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aveExternalLinkValues="0" updateLinks="never" codeName="DieseArbeitsmappe"/>
  <mc:AlternateContent xmlns:mc="http://schemas.openxmlformats.org/markup-compatibility/2006">
    <mc:Choice Requires="x15">
      <x15ac:absPath xmlns:x15ac="http://schemas.microsoft.com/office/spreadsheetml/2010/11/ac" url="https://d.docs.live.net/a7fa01d38a6bdd72/Kaffeerunde/Internet/Kapitalwertkontrolle/"/>
    </mc:Choice>
  </mc:AlternateContent>
  <xr:revisionPtr revIDLastSave="0" documentId="14_{7868927B-B512-4076-A443-2394223F4139}" xr6:coauthVersionLast="47" xr6:coauthVersionMax="47" xr10:uidLastSave="{00000000-0000-0000-0000-000000000000}"/>
  <workbookProtection workbookAlgorithmName="SHA-512" workbookHashValue="vFHGYPME3AcPWugJhfNDEgB7VSKFcD0yaCXx8HqkdN2zIUay97dFEZ9F96L/XRmw4t0PiFxdXfF7jTlWqks6OQ==" workbookSaltValue="Ci3iE6Ckqvbq3dIUGmrH2A==" workbookSpinCount="100000" lockStructure="1"/>
  <bookViews>
    <workbookView xWindow="-120" yWindow="-120" windowWidth="29040" windowHeight="15720" tabRatio="943" firstSheet="10" activeTab="10"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DRV vs. BeamtV" sheetId="164" state="hidden" r:id="rId13"/>
    <sheet name="Einzel-Bewertung" sheetId="19" r:id="rId14"/>
    <sheet name="Berechnungstext" sheetId="22" r:id="rId15"/>
    <sheet name="Ehezeitanteil" sheetId="29" r:id="rId16"/>
    <sheet name="Sterbetafel_P" sheetId="96" state="hidden" r:id="rId17"/>
    <sheet name="Adressen DRV" sheetId="108" state="hidden" r:id="rId18"/>
    <sheet name="Hilfstabelle für Grafik" sheetId="106" state="hidden" r:id="rId19"/>
    <sheet name="Berechnungen BVerfG" sheetId="99" state="hidden" r:id="rId20"/>
    <sheet name="Experten-Diagrammdaten" sheetId="161" state="hidden" r:id="rId21"/>
    <sheet name="Expertendiagramm" sheetId="162" state="hidden" r:id="rId22"/>
    <sheet name="BVerfG 1 BvL 5-18" sheetId="98" r:id="rId23"/>
    <sheet name="Gewinn &amp; Verlust" sheetId="126" state="hidden" r:id="rId24"/>
    <sheet name="TO-Prüfung" sheetId="134" r:id="rId25"/>
    <sheet name="sVA § 20" sheetId="117" r:id="rId26"/>
    <sheet name="§§ 23, 24" sheetId="156" r:id="rId27"/>
    <sheet name="§ 22" sheetId="157" r:id="rId28"/>
    <sheet name="§ 33" sheetId="105" state="hidden" r:id="rId29"/>
    <sheet name="Renteneintritt" sheetId="12" state="hidden" r:id="rId30"/>
    <sheet name="Grundrentenrechner" sheetId="127" state="hidden" r:id="rId31"/>
    <sheet name="BarwertVO" sheetId="139" state="hidden" r:id="rId32"/>
    <sheet name="Abänderungsgründe" sheetId="135" state="hidden" r:id="rId33"/>
    <sheet name="Abänderungsampel" sheetId="140" r:id="rId34"/>
    <sheet name="Verzinsung" sheetId="115" r:id="rId35"/>
    <sheet name="Parameter" sheetId="103" r:id="rId36"/>
    <sheet name="Dies &amp; Das" sheetId="17" r:id="rId37"/>
    <sheet name="Tabelle1" sheetId="166" state="hidden" r:id="rId38"/>
    <sheet name="unbesetzt" sheetId="165" r:id="rId39"/>
    <sheet name="Zeichen" sheetId="158" state="hidden" r:id="rId40"/>
    <sheet name="BW-Faktoren" sheetId="154" state="hidden" r:id="rId41"/>
    <sheet name="Formulare &amp; Muster" sheetId="159" state="hidden" r:id="rId42"/>
    <sheet name="KV&amp;PV" sheetId="149" state="hidden" r:id="rId43"/>
    <sheet name="BarwertVglDFGT" sheetId="123" state="hidden" r:id="rId44"/>
    <sheet name="HIRI-Zuschläge66" sheetId="9" state="hidden" r:id="rId45"/>
    <sheet name="HRIR-Zuschläge" sheetId="8" state="hidden" r:id="rId46"/>
    <sheet name="HIRI-Zuschläge67" sheetId="10" state="hidden" r:id="rId47"/>
    <sheet name="HRIR64" sheetId="24" state="hidden" r:id="rId48"/>
    <sheet name="HRIR63" sheetId="25" state="hidden" r:id="rId49"/>
    <sheet name="HRIR62" sheetId="26" state="hidden" r:id="rId50"/>
    <sheet name="HRIR61" sheetId="27" state="hidden" r:id="rId51"/>
    <sheet name="HRIR60" sheetId="28"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2" hidden="1">Abänderungsgründe!$B$4:$J$19</definedName>
    <definedName name="_xlnm._FilterDatabase" localSheetId="0" hidden="1">'TO Ziff.5'!$A$5:$XFA$466</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Zins'!$K$5:$M$30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BilMoG10!$A$9:$AY$700</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'BilMoG-7'!$A$9:$AY$209</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8">'§ 33'!$C$2:$F$25</definedName>
    <definedName name="_xlnm.Print_Area" localSheetId="26">'§§ 23, 24'!$B$2:$M$42,'§§ 23, 24'!$O$2:$Q$15</definedName>
    <definedName name="_xlnm.Print_Area" localSheetId="19">INDIRECT('Berechnungen BVerfG'!$T$1)</definedName>
    <definedName name="_xlnm.Print_Area" localSheetId="14">Berechnungstext!$B$3:$C$26</definedName>
    <definedName name="_xlnm.Print_Area" localSheetId="22">'BVerfG 1 BvL 5-18'!$B$2:$H$27,'BVerfG 1 BvL 5-18'!$X$2:$Y$27</definedName>
    <definedName name="_xlnm.Print_Area" localSheetId="36">'Dies &amp; Das'!$B$1:$P$41</definedName>
    <definedName name="_xlnm.Print_Area" localSheetId="15">Ehezeitanteil!$B$2:$AA$32</definedName>
    <definedName name="_xlnm.Print_Area" localSheetId="13">'Einzel-Bewertung'!$B$2:$J$26</definedName>
    <definedName name="_xlnm.Print_Area" localSheetId="11">Fallerfassung!$B$2:$AC$41</definedName>
    <definedName name="_xlnm.Print_Area" localSheetId="23">'Gewinn &amp; Verlust'!$B$3:$D$25</definedName>
    <definedName name="_xlnm.Print_Area" localSheetId="30">Grundrentenrechner!$D$1:$L$30</definedName>
    <definedName name="_xlnm.Print_Area" localSheetId="45">'HRIR-Zuschläge'!$B$2:$AB$51</definedName>
    <definedName name="_xlnm.Print_Area" localSheetId="10">Inhalt!$B$4:$J$40</definedName>
    <definedName name="_xlnm.Print_Area" localSheetId="35">Parameter!$B$1:$X$59</definedName>
    <definedName name="_xlnm.Print_Area" localSheetId="25">'sVA § 20'!$B$3:$I$38,'sVA § 20'!$M$2:$W$33</definedName>
    <definedName name="_xlnm.Print_Area" localSheetId="0">'TO Ziff.5'!$C$1:$G$319</definedName>
    <definedName name="_xlnm.Print_Area" localSheetId="24">'TO-Prüfung'!$B$2:$H$21</definedName>
    <definedName name="_xlnm.Print_Area" localSheetId="34">Verzinsung!$I$19:$L$40</definedName>
    <definedName name="_xlnm.Print_Area">INDIRECT('Berechnungen BVerfG'!$T$1)</definedName>
    <definedName name="DruckbereichII">Berechnungstext!$B$3:$C$26</definedName>
    <definedName name="_xlnm.Print_Titles" localSheetId="45">'HRIR-Zuschläge'!$2:$3</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Ziff.5'!$B$7:$O$245</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13" i="138" l="1"/>
  <c r="AA13" i="138"/>
  <c r="V3" i="17"/>
  <c r="W3" i="17"/>
  <c r="C34" i="94"/>
  <c r="C35" i="94"/>
  <c r="C798" i="74"/>
  <c r="C799" i="74" s="1"/>
  <c r="C800" i="74" s="1"/>
  <c r="R43" i="96"/>
  <c r="W57" i="103"/>
  <c r="Y57" i="103" s="1"/>
  <c r="X57" i="103"/>
  <c r="Z57" i="103" s="1"/>
  <c r="V57" i="103"/>
  <c r="S57" i="103"/>
  <c r="E60" i="103"/>
  <c r="F60" i="103"/>
  <c r="K60" i="103"/>
  <c r="E41" i="149"/>
  <c r="E42" i="149"/>
  <c r="J42" i="149"/>
  <c r="J14" i="156"/>
  <c r="B14"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X10" i="17"/>
  <c r="X11" i="17"/>
  <c r="S23" i="17"/>
  <c r="R24" i="17"/>
  <c r="U3" i="17"/>
  <c r="T23" i="17"/>
  <c r="R23" i="17"/>
  <c r="C795" i="74"/>
  <c r="C796" i="74" s="1"/>
  <c r="C797" i="74" s="1"/>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C794" i="74"/>
  <c r="H4" i="117"/>
  <c r="S40" i="17"/>
  <c r="F274" i="124"/>
  <c r="G274" i="124"/>
  <c r="P274" i="124"/>
  <c r="A274" i="124"/>
  <c r="B274" i="124"/>
  <c r="A261" i="124"/>
  <c r="B261"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C789" i="74"/>
  <c r="C790" i="74" s="1"/>
  <c r="C791" i="74" s="1"/>
  <c r="C792" i="74" s="1"/>
  <c r="C793" i="74" s="1"/>
  <c r="F36" i="166" l="1"/>
  <c r="C36" i="166"/>
  <c r="B30" i="166"/>
  <c r="B34" i="166"/>
  <c r="G22" i="166"/>
  <c r="G24" i="166" s="1"/>
  <c r="B25" i="166" s="1"/>
  <c r="I20" i="166"/>
  <c r="K15" i="166"/>
  <c r="I16" i="166"/>
  <c r="AR13" i="138"/>
  <c r="G26" i="166" l="1"/>
  <c r="C33" i="166" s="1"/>
  <c r="G35" i="124"/>
  <c r="A35" i="124"/>
  <c r="B35"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G298" i="124"/>
  <c r="B298" i="124"/>
  <c r="A298" i="124"/>
  <c r="P107" i="124"/>
  <c r="G107" i="124"/>
  <c r="B107" i="124"/>
  <c r="A107" i="124"/>
  <c r="L12" i="164" l="1"/>
  <c r="M12" i="164" s="1"/>
  <c r="N12" i="164" s="1"/>
  <c r="L13" i="164"/>
  <c r="G224" i="124"/>
  <c r="G223" i="124"/>
  <c r="A224" i="124"/>
  <c r="B224" i="124"/>
  <c r="A225" i="124"/>
  <c r="B256" i="124"/>
  <c r="A256" i="124"/>
  <c r="A255" i="124"/>
  <c r="B255" i="124"/>
  <c r="L14" i="164" l="1"/>
  <c r="M13" i="164"/>
  <c r="N13" i="164" s="1"/>
  <c r="G305" i="124"/>
  <c r="A305" i="124"/>
  <c r="B305"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G272" i="124" l="1"/>
  <c r="P272" i="124"/>
  <c r="A272" i="124"/>
  <c r="B272" i="124"/>
  <c r="G204" i="124" l="1"/>
  <c r="A204" i="124"/>
  <c r="B204" i="124"/>
  <c r="W26" i="17" l="1"/>
  <c r="P152" i="124"/>
  <c r="G152" i="124"/>
  <c r="A152" i="124"/>
  <c r="B152" i="124"/>
  <c r="E31" i="17" l="1"/>
  <c r="E14" i="158" l="1"/>
  <c r="D23" i="158"/>
  <c r="G179" i="124" l="1"/>
  <c r="G180" i="124"/>
  <c r="B179" i="124"/>
  <c r="A179" i="124"/>
  <c r="B180" i="124"/>
  <c r="A180" i="124"/>
  <c r="BH25" i="138" l="1"/>
  <c r="G28" i="124" l="1"/>
  <c r="B28" i="124"/>
  <c r="A28" i="124"/>
  <c r="D23" i="17" l="1"/>
  <c r="AD32" i="17" l="1"/>
  <c r="B40" i="156"/>
  <c r="AP13" i="138" l="1"/>
  <c r="AP12" i="138"/>
  <c r="AP14" i="138"/>
  <c r="T6" i="138"/>
  <c r="AZ5" i="138" s="1"/>
  <c r="S3" i="17" l="1"/>
  <c r="F5" i="19"/>
  <c r="V6" i="138"/>
  <c r="L21" i="17" s="1"/>
  <c r="X6" i="156"/>
  <c r="J24" i="105"/>
  <c r="T3" i="17" l="1"/>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G14" i="124" l="1"/>
  <c r="A14" i="124"/>
  <c r="BC7" i="138" l="1"/>
  <c r="AY22" i="138" l="1"/>
  <c r="AK15" i="138" l="1"/>
  <c r="AK16" i="138"/>
  <c r="AK17" i="138"/>
  <c r="AK18" i="138"/>
  <c r="AK19" i="138"/>
  <c r="AK20" i="138"/>
  <c r="AK21" i="138"/>
  <c r="AK22" i="138"/>
  <c r="AK23" i="138"/>
  <c r="AK24" i="138"/>
  <c r="AK25" i="138"/>
  <c r="AK26" i="138"/>
  <c r="AK27" i="138"/>
  <c r="AK28" i="138"/>
  <c r="AK29" i="138"/>
  <c r="AK30" i="138"/>
  <c r="AK31" i="138"/>
  <c r="AK32" i="138"/>
  <c r="AK33" i="138"/>
  <c r="AK34" i="138"/>
  <c r="AK35" i="138"/>
  <c r="AK36" i="138"/>
  <c r="AK37" i="138"/>
  <c r="AK14" i="138"/>
  <c r="AM15" i="138" l="1"/>
  <c r="AM16" i="138"/>
  <c r="AM17" i="138"/>
  <c r="AM18" i="138"/>
  <c r="AM19" i="138"/>
  <c r="AM20" i="138"/>
  <c r="AM21" i="138"/>
  <c r="AM22" i="138"/>
  <c r="AM23" i="138"/>
  <c r="AM24" i="138"/>
  <c r="AM25" i="138"/>
  <c r="AM26" i="138"/>
  <c r="AM27" i="138"/>
  <c r="AM28" i="138"/>
  <c r="AM29" i="138"/>
  <c r="AM30" i="138"/>
  <c r="AM31" i="138"/>
  <c r="AM32" i="138"/>
  <c r="AM33" i="138"/>
  <c r="AM34" i="138"/>
  <c r="AM35" i="138"/>
  <c r="AM36" i="138"/>
  <c r="AM37" i="138"/>
  <c r="AM14" i="138"/>
  <c r="AI12" i="138"/>
  <c r="AI15" i="138" l="1"/>
  <c r="AI16" i="138"/>
  <c r="AI17" i="138"/>
  <c r="AI18" i="138"/>
  <c r="AI19" i="138"/>
  <c r="AI20" i="138"/>
  <c r="AI21" i="138"/>
  <c r="AI22" i="138"/>
  <c r="AI23" i="138"/>
  <c r="AI24" i="138"/>
  <c r="AI25" i="138"/>
  <c r="AI26" i="138"/>
  <c r="AI27" i="138"/>
  <c r="AI28" i="138"/>
  <c r="AI29" i="138"/>
  <c r="AI30" i="138"/>
  <c r="AI31" i="138"/>
  <c r="AI32" i="138"/>
  <c r="AI33" i="138"/>
  <c r="AI34" i="138"/>
  <c r="AI35" i="138"/>
  <c r="AI36" i="138"/>
  <c r="AI37" i="138"/>
  <c r="AI14" i="138"/>
  <c r="AI38" i="138" l="1"/>
  <c r="F30" i="154" l="1"/>
  <c r="D8" i="154"/>
  <c r="D9" i="154" s="1"/>
  <c r="E32" i="17" l="1"/>
  <c r="C9" i="154"/>
  <c r="G26" i="154"/>
  <c r="S56" i="103" l="1"/>
  <c r="X56" i="103" s="1"/>
  <c r="Z56" i="103" s="1"/>
  <c r="R56" i="103"/>
  <c r="U56" i="103" s="1"/>
  <c r="M59" i="103"/>
  <c r="E59" i="103"/>
  <c r="F59" i="103"/>
  <c r="I59" i="103" l="1"/>
  <c r="K29" i="164"/>
  <c r="W56" i="103"/>
  <c r="Y56" i="103" s="1"/>
  <c r="V56" i="103"/>
  <c r="K30" i="164" l="1"/>
  <c r="K31" i="164"/>
  <c r="L29" i="164"/>
  <c r="E15" i="140"/>
  <c r="M29" i="164" l="1"/>
  <c r="L31" i="164"/>
  <c r="L30" i="164"/>
  <c r="B18" i="140"/>
  <c r="N29" i="164" l="1"/>
  <c r="M30" i="164"/>
  <c r="M31" i="164"/>
  <c r="B14" i="140"/>
  <c r="P7" i="17" l="1"/>
  <c r="O7" i="17"/>
  <c r="W21" i="156"/>
  <c r="Z21" i="156" s="1"/>
  <c r="B15" i="156" s="1"/>
  <c r="X6" i="17" l="1"/>
  <c r="G38" i="124" l="1"/>
  <c r="F38" i="124"/>
  <c r="A38" i="124"/>
  <c r="B38" i="124"/>
  <c r="G135" i="124"/>
  <c r="G138" i="124"/>
  <c r="F137" i="124"/>
  <c r="F138" i="124"/>
  <c r="A135" i="124"/>
  <c r="B135" i="124"/>
  <c r="U13" i="138" l="1"/>
  <c r="S13" i="138"/>
  <c r="I50" i="124" l="1"/>
  <c r="P176" i="124"/>
  <c r="G176" i="124"/>
  <c r="F176" i="124"/>
  <c r="B176" i="124"/>
  <c r="A176" i="124"/>
  <c r="AA5" i="117" l="1"/>
  <c r="AA28" i="117" l="1"/>
  <c r="AC28" i="117" s="1"/>
  <c r="E20" i="117" l="1"/>
  <c r="H23" i="117" s="1"/>
  <c r="I23" i="117" s="1"/>
  <c r="E4" i="117"/>
  <c r="C33" i="117" s="1"/>
  <c r="I29" i="117"/>
  <c r="AA31" i="117"/>
  <c r="AA30" i="117"/>
  <c r="AA29" i="117"/>
  <c r="A171" i="124"/>
  <c r="G171" i="124"/>
  <c r="F171" i="124"/>
  <c r="B171" i="124"/>
  <c r="A129" i="124"/>
  <c r="B129" i="124"/>
  <c r="F129" i="124"/>
  <c r="G129" i="124"/>
  <c r="A128" i="124"/>
  <c r="G295" i="124"/>
  <c r="B295" i="124"/>
  <c r="A295"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G113" i="124" l="1"/>
  <c r="F113" i="124"/>
  <c r="A113" i="124"/>
  <c r="B113" i="124"/>
  <c r="G112" i="124"/>
  <c r="F112" i="124"/>
  <c r="B112" i="124"/>
  <c r="A112" i="124"/>
  <c r="I37" i="115" l="1"/>
  <c r="F40" i="138" l="1"/>
  <c r="E40" i="138"/>
  <c r="R20" i="138" l="1"/>
  <c r="D6" i="19" l="1"/>
  <c r="X6" i="29" l="1"/>
  <c r="AA6" i="29"/>
  <c r="G5" i="29"/>
  <c r="E8" i="29"/>
  <c r="E9" i="29"/>
  <c r="E10" i="29"/>
  <c r="E11" i="29"/>
  <c r="E12" i="29"/>
  <c r="E13" i="29"/>
  <c r="E14" i="29"/>
  <c r="E15" i="29"/>
  <c r="E7" i="29"/>
  <c r="P38" i="138"/>
  <c r="P33" i="138"/>
  <c r="P34" i="138"/>
  <c r="P35" i="138"/>
  <c r="P36" i="138"/>
  <c r="P37" i="138"/>
  <c r="D7" i="134" l="1"/>
  <c r="F39" i="138" l="1"/>
  <c r="Y17" i="138" l="1"/>
  <c r="J17" i="138"/>
  <c r="J14" i="138"/>
  <c r="G159" i="124" l="1"/>
  <c r="B159" i="124"/>
  <c r="A159"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23" i="124" l="1"/>
  <c r="A223" i="124"/>
  <c r="G195" i="124" l="1"/>
  <c r="A195" i="124"/>
  <c r="B195" i="124"/>
  <c r="P49" i="124" l="1"/>
  <c r="G49" i="124"/>
  <c r="A49" i="124"/>
  <c r="B49" i="124"/>
  <c r="B67" i="124" l="1"/>
  <c r="A67" i="124"/>
  <c r="G40" i="138" l="1"/>
  <c r="E39" i="138"/>
  <c r="G52" i="124" l="1"/>
  <c r="B52" i="124"/>
  <c r="A52" i="124"/>
  <c r="G308" i="124"/>
  <c r="A308" i="124"/>
  <c r="B308" i="124"/>
  <c r="G21" i="124" l="1"/>
  <c r="B21" i="124"/>
  <c r="A21" i="124"/>
  <c r="A51" i="124" l="1"/>
  <c r="N30" i="17" l="1"/>
  <c r="X31" i="17"/>
  <c r="C8" i="140" l="1"/>
  <c r="E10" i="140" l="1"/>
  <c r="E6" i="140"/>
  <c r="Y6" i="138"/>
  <c r="O23" i="138"/>
  <c r="P32" i="138" l="1"/>
  <c r="P31" i="138"/>
  <c r="P29" i="138"/>
  <c r="P30" i="138"/>
  <c r="P27" i="138"/>
  <c r="P28" i="138"/>
  <c r="F15" i="19"/>
  <c r="AL13" i="138" l="1"/>
  <c r="AK10" i="138" s="1"/>
  <c r="D17" i="19" l="1"/>
  <c r="J3" i="156"/>
  <c r="AV6" i="138"/>
  <c r="AK2" i="138"/>
  <c r="T5" i="138" s="1"/>
  <c r="AV5" i="138"/>
  <c r="AL2" i="138"/>
  <c r="V5" i="138" s="1"/>
  <c r="U7" i="138"/>
  <c r="D5" i="19"/>
  <c r="Q6" i="19" s="1"/>
  <c r="S7" i="138"/>
  <c r="H4" i="138"/>
  <c r="C5" i="19"/>
  <c r="Q40" i="19" l="1"/>
  <c r="BD5" i="138"/>
  <c r="AW6" i="138" l="1"/>
  <c r="V7" i="138" s="1"/>
  <c r="AW5" i="138"/>
  <c r="T7" i="138" s="1"/>
  <c r="L3" i="140" l="1"/>
  <c r="L2" i="140" s="1"/>
  <c r="B8" i="140"/>
  <c r="K3" i="140"/>
  <c r="K2" i="140" s="1"/>
  <c r="R9" i="140"/>
  <c r="C7" i="98" l="1"/>
  <c r="B9" i="98" s="1"/>
  <c r="W11" i="98"/>
  <c r="N4" i="98"/>
  <c r="O4" i="98" s="1"/>
  <c r="BD6" i="138" l="1"/>
  <c r="E34" i="17"/>
  <c r="B26" i="17" l="1"/>
  <c r="I25" i="115"/>
  <c r="C4" i="98"/>
  <c r="H8" i="98" l="1"/>
  <c r="P15" i="98"/>
  <c r="AC22" i="17"/>
  <c r="AC23" i="17" s="1"/>
  <c r="P76" i="124"/>
  <c r="G76" i="124"/>
  <c r="B76" i="124"/>
  <c r="A76" i="124"/>
  <c r="C6" i="19" l="1"/>
  <c r="G79" i="124" l="1"/>
  <c r="P79" i="124"/>
  <c r="A79" i="124"/>
  <c r="B79"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S6" i="19"/>
  <c r="F6" i="19" s="1"/>
  <c r="W5" i="29"/>
  <c r="V5" i="29"/>
  <c r="M9" i="19" l="1"/>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B16" i="140" l="1"/>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D18" i="140"/>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G27" i="124" l="1"/>
  <c r="B27" i="124"/>
  <c r="A27"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P23" i="140"/>
  <c r="R23" i="140"/>
  <c r="AQ28" i="138" l="1"/>
  <c r="AR28" i="138" s="1"/>
  <c r="AQ27" i="138"/>
  <c r="AX27" i="138" s="1"/>
  <c r="AR27" i="138" l="1"/>
  <c r="BA22" i="138"/>
  <c r="AT28" i="138"/>
  <c r="AT27" i="138"/>
  <c r="AU27" i="138"/>
  <c r="AU28" i="138"/>
  <c r="AV27" i="138" l="1"/>
  <c r="AV28" i="138"/>
  <c r="AY28" i="138"/>
  <c r="AL28" i="138"/>
  <c r="AS38" i="138"/>
  <c r="AS34" i="138"/>
  <c r="AS35" i="138"/>
  <c r="AB35" i="138" s="1"/>
  <c r="AS32" i="138"/>
  <c r="AS36" i="138"/>
  <c r="AS33" i="138"/>
  <c r="AO36" i="138"/>
  <c r="AS31" i="138"/>
  <c r="AO37" i="138"/>
  <c r="AO38" i="138"/>
  <c r="AO35" i="138"/>
  <c r="AO33" i="138"/>
  <c r="AO31" i="138"/>
  <c r="AS37" i="138"/>
  <c r="AO34" i="138"/>
  <c r="AO32" i="138"/>
  <c r="AO29" i="138"/>
  <c r="AS29" i="138"/>
  <c r="AS30" i="138"/>
  <c r="AO30" i="138"/>
  <c r="AO27" i="138"/>
  <c r="AO28" i="138"/>
  <c r="AS27" i="138"/>
  <c r="AB38" i="138" l="1"/>
  <c r="AC38" i="138"/>
  <c r="AB37" i="138"/>
  <c r="AC37" i="138"/>
  <c r="AB36" i="138"/>
  <c r="AC36" i="138"/>
  <c r="AY27" i="138"/>
  <c r="AZ27" i="138" s="1"/>
  <c r="AY29" i="138"/>
  <c r="AZ29" i="138" s="1"/>
  <c r="AL30" i="138"/>
  <c r="AL29" i="138"/>
  <c r="AL31" i="138"/>
  <c r="AL35" i="138"/>
  <c r="AL33" i="138"/>
  <c r="AL32" i="138"/>
  <c r="AL34" i="138"/>
  <c r="AL36" i="138"/>
  <c r="AL37" i="138"/>
  <c r="AL38" i="138"/>
  <c r="AL27" i="138"/>
  <c r="AY30" i="138"/>
  <c r="AZ30" i="138" s="1"/>
  <c r="AY31" i="138"/>
  <c r="AZ31" i="138" s="1"/>
  <c r="AY37" i="138"/>
  <c r="AZ37" i="138" s="1"/>
  <c r="BA37" i="138" s="1"/>
  <c r="V37" i="138" s="1"/>
  <c r="AY33" i="138"/>
  <c r="AZ33" i="138" s="1"/>
  <c r="AY36" i="138"/>
  <c r="AZ36" i="138" s="1"/>
  <c r="AY32" i="138"/>
  <c r="AZ32" i="138" s="1"/>
  <c r="BA32" i="138" s="1"/>
  <c r="V32" i="138" s="1"/>
  <c r="AY35" i="138"/>
  <c r="AZ35" i="138" s="1"/>
  <c r="AY34" i="138"/>
  <c r="AZ34" i="138" s="1"/>
  <c r="AY38" i="138"/>
  <c r="AZ38" i="138" s="1"/>
  <c r="BA38" i="138" s="1"/>
  <c r="F267" i="124"/>
  <c r="F266" i="124"/>
  <c r="F265" i="124"/>
  <c r="F270" i="124"/>
  <c r="G267" i="124"/>
  <c r="A267" i="124"/>
  <c r="B267" i="124"/>
  <c r="G266" i="124"/>
  <c r="A266" i="124"/>
  <c r="B266" i="124"/>
  <c r="G265" i="124"/>
  <c r="B265" i="124"/>
  <c r="A265" i="124"/>
  <c r="T38" i="138" l="1"/>
  <c r="V38" i="138"/>
  <c r="Y38" i="138"/>
  <c r="T32" i="138"/>
  <c r="BH32" i="138" s="1"/>
  <c r="BI37" i="138"/>
  <c r="BJ37" i="138" s="1"/>
  <c r="BK37" i="138" s="1"/>
  <c r="T37" i="138"/>
  <c r="Q37" i="138" s="1"/>
  <c r="BI38" i="138"/>
  <c r="BJ38" i="138" s="1"/>
  <c r="BK38" i="138" s="1"/>
  <c r="BI32" i="138"/>
  <c r="BJ32" i="138" s="1"/>
  <c r="BK32" i="138" s="1"/>
  <c r="BA36" i="138"/>
  <c r="V36" i="138" s="1"/>
  <c r="BA33" i="138"/>
  <c r="V33" i="138" s="1"/>
  <c r="BA35" i="138"/>
  <c r="T35" i="138" s="1"/>
  <c r="BA30" i="138"/>
  <c r="V30" i="138" s="1"/>
  <c r="N3" i="124"/>
  <c r="M3" i="124"/>
  <c r="L3" i="124"/>
  <c r="K3" i="124"/>
  <c r="F16" i="124"/>
  <c r="F13" i="124"/>
  <c r="F15" i="124"/>
  <c r="F12" i="124"/>
  <c r="F17" i="124"/>
  <c r="F18" i="124"/>
  <c r="F19" i="124"/>
  <c r="F20" i="124"/>
  <c r="F22" i="124"/>
  <c r="F23" i="124"/>
  <c r="F24" i="124"/>
  <c r="F25" i="124"/>
  <c r="F26" i="124"/>
  <c r="F29" i="124"/>
  <c r="F30" i="124"/>
  <c r="F31" i="124"/>
  <c r="F32" i="124"/>
  <c r="F33" i="124"/>
  <c r="F34" i="124"/>
  <c r="F36" i="124"/>
  <c r="F37" i="124"/>
  <c r="F39" i="124"/>
  <c r="F40" i="124"/>
  <c r="F41" i="124"/>
  <c r="F42" i="124"/>
  <c r="F43" i="124"/>
  <c r="F44" i="124"/>
  <c r="F45" i="124"/>
  <c r="F46" i="124"/>
  <c r="F47" i="124"/>
  <c r="F48" i="124"/>
  <c r="F50" i="124"/>
  <c r="F53" i="124"/>
  <c r="F54" i="124"/>
  <c r="F55" i="124"/>
  <c r="F56" i="124"/>
  <c r="F57" i="124"/>
  <c r="F58" i="124"/>
  <c r="F59" i="124"/>
  <c r="F60" i="124"/>
  <c r="F61" i="124"/>
  <c r="F63" i="124"/>
  <c r="F62" i="124"/>
  <c r="F64" i="124"/>
  <c r="F65" i="124"/>
  <c r="F66" i="124"/>
  <c r="F68" i="124"/>
  <c r="F71" i="124"/>
  <c r="F69" i="124"/>
  <c r="F70" i="124"/>
  <c r="F72" i="124"/>
  <c r="F73" i="124"/>
  <c r="F74" i="124"/>
  <c r="F75" i="124"/>
  <c r="F77" i="124"/>
  <c r="F78" i="124"/>
  <c r="F80" i="124"/>
  <c r="F81" i="124"/>
  <c r="F82" i="124"/>
  <c r="F83" i="124"/>
  <c r="F84" i="124"/>
  <c r="F85" i="124"/>
  <c r="F86" i="124"/>
  <c r="F87" i="124"/>
  <c r="F88" i="124"/>
  <c r="F89" i="124"/>
  <c r="F90" i="124"/>
  <c r="F91" i="124"/>
  <c r="F92" i="124"/>
  <c r="F93" i="124"/>
  <c r="F94" i="124"/>
  <c r="F95" i="124"/>
  <c r="F97" i="124"/>
  <c r="F96" i="124"/>
  <c r="F98" i="124"/>
  <c r="F99" i="124"/>
  <c r="F100" i="124"/>
  <c r="F101" i="124"/>
  <c r="F102" i="124"/>
  <c r="F103" i="124"/>
  <c r="F104" i="124"/>
  <c r="F105" i="124"/>
  <c r="F106" i="124"/>
  <c r="F108" i="124"/>
  <c r="F110" i="124"/>
  <c r="F111" i="124"/>
  <c r="F109" i="124"/>
  <c r="F114" i="124"/>
  <c r="F115" i="124"/>
  <c r="F116" i="124"/>
  <c r="F117" i="124"/>
  <c r="F118" i="124"/>
  <c r="F119" i="124"/>
  <c r="F120" i="124"/>
  <c r="F121" i="124"/>
  <c r="F122" i="124"/>
  <c r="F123" i="124"/>
  <c r="F124" i="124"/>
  <c r="F125" i="124"/>
  <c r="F126" i="124"/>
  <c r="F127" i="124"/>
  <c r="F128" i="124"/>
  <c r="F130" i="124"/>
  <c r="F131" i="124"/>
  <c r="F132" i="124"/>
  <c r="F133" i="124"/>
  <c r="F136" i="124"/>
  <c r="F134" i="124"/>
  <c r="F139" i="124"/>
  <c r="F141" i="124"/>
  <c r="F140" i="124"/>
  <c r="F142" i="124"/>
  <c r="F143" i="124"/>
  <c r="F144" i="124"/>
  <c r="F145" i="124"/>
  <c r="F146" i="124"/>
  <c r="F149" i="124"/>
  <c r="F147" i="124"/>
  <c r="F148" i="124"/>
  <c r="F150" i="124"/>
  <c r="F151" i="124"/>
  <c r="F154" i="124"/>
  <c r="F153" i="124"/>
  <c r="F155" i="124"/>
  <c r="F156" i="124"/>
  <c r="F157" i="124"/>
  <c r="F158" i="124"/>
  <c r="F160" i="124"/>
  <c r="F161" i="124"/>
  <c r="F162" i="124"/>
  <c r="F163" i="124"/>
  <c r="F164" i="124"/>
  <c r="F165" i="124"/>
  <c r="F166" i="124"/>
  <c r="F167" i="124"/>
  <c r="F168" i="124"/>
  <c r="F169" i="124"/>
  <c r="F170" i="124"/>
  <c r="F172" i="124"/>
  <c r="F173" i="124"/>
  <c r="F174" i="124"/>
  <c r="F175" i="124"/>
  <c r="F177" i="124"/>
  <c r="F178" i="124"/>
  <c r="F181" i="124"/>
  <c r="F182" i="124"/>
  <c r="F183" i="124"/>
  <c r="F184" i="124"/>
  <c r="F185" i="124"/>
  <c r="F186" i="124"/>
  <c r="F187" i="124"/>
  <c r="F188" i="124"/>
  <c r="F190" i="124"/>
  <c r="F189" i="124"/>
  <c r="F191" i="124"/>
  <c r="F192" i="124"/>
  <c r="F193" i="124"/>
  <c r="F194" i="124"/>
  <c r="F196" i="124"/>
  <c r="F197" i="124"/>
  <c r="F198" i="124"/>
  <c r="F199" i="124"/>
  <c r="F200" i="124"/>
  <c r="F201" i="124"/>
  <c r="F202" i="124"/>
  <c r="F203" i="124"/>
  <c r="F205" i="124"/>
  <c r="F206" i="124"/>
  <c r="F207" i="124"/>
  <c r="F208" i="124"/>
  <c r="F209" i="124"/>
  <c r="F210" i="124"/>
  <c r="F211" i="124"/>
  <c r="F212" i="124"/>
  <c r="F213" i="124"/>
  <c r="F214" i="124"/>
  <c r="F215" i="124"/>
  <c r="F217" i="124"/>
  <c r="F216" i="124"/>
  <c r="F219" i="124"/>
  <c r="F220" i="124"/>
  <c r="F218" i="124"/>
  <c r="F221" i="124"/>
  <c r="F222" i="124"/>
  <c r="F228" i="124"/>
  <c r="F225" i="124"/>
  <c r="F227" i="124"/>
  <c r="F226" i="124"/>
  <c r="F230" i="124"/>
  <c r="F229" i="124"/>
  <c r="F231" i="124"/>
  <c r="F232" i="124"/>
  <c r="F233" i="124"/>
  <c r="F234" i="124"/>
  <c r="F235" i="124"/>
  <c r="F236" i="124"/>
  <c r="F237" i="124"/>
  <c r="F243" i="124"/>
  <c r="F238" i="124"/>
  <c r="F239" i="124"/>
  <c r="F241" i="124"/>
  <c r="F240" i="124"/>
  <c r="F242" i="124"/>
  <c r="F245" i="124"/>
  <c r="F244" i="124"/>
  <c r="F246" i="124"/>
  <c r="F248" i="124"/>
  <c r="F247" i="124"/>
  <c r="F249" i="124"/>
  <c r="F250" i="124"/>
  <c r="F251" i="124"/>
  <c r="F252" i="124"/>
  <c r="F253" i="124"/>
  <c r="F254" i="124"/>
  <c r="F257" i="124"/>
  <c r="F258" i="124"/>
  <c r="F259" i="124"/>
  <c r="F260" i="124"/>
  <c r="F262" i="124"/>
  <c r="F263" i="124"/>
  <c r="F264" i="124"/>
  <c r="F268" i="124"/>
  <c r="F269" i="124"/>
  <c r="F271" i="124"/>
  <c r="F273" i="124"/>
  <c r="F275" i="124"/>
  <c r="F276" i="124"/>
  <c r="F278" i="124"/>
  <c r="F277" i="124"/>
  <c r="F279" i="124"/>
  <c r="F280" i="124"/>
  <c r="F281" i="124"/>
  <c r="F282" i="124"/>
  <c r="F283" i="124"/>
  <c r="F284" i="124"/>
  <c r="F285" i="124"/>
  <c r="F286" i="124"/>
  <c r="F287" i="124"/>
  <c r="F288" i="124"/>
  <c r="F289" i="124"/>
  <c r="F290" i="124"/>
  <c r="F291" i="124"/>
  <c r="F292" i="124"/>
  <c r="F293" i="124"/>
  <c r="F294" i="124"/>
  <c r="F296" i="124"/>
  <c r="F297" i="124"/>
  <c r="F299" i="124"/>
  <c r="F300" i="124"/>
  <c r="F301" i="124"/>
  <c r="F302" i="124"/>
  <c r="F303" i="124"/>
  <c r="F304" i="124"/>
  <c r="F306" i="124"/>
  <c r="F307" i="124"/>
  <c r="F309" i="124"/>
  <c r="F310" i="124"/>
  <c r="F311" i="124"/>
  <c r="F312" i="124"/>
  <c r="F313" i="124"/>
  <c r="F314" i="124"/>
  <c r="F315" i="124"/>
  <c r="F316" i="124"/>
  <c r="F317" i="124"/>
  <c r="F318" i="124"/>
  <c r="F319" i="124"/>
  <c r="F51" i="124"/>
  <c r="F320" i="124"/>
  <c r="F321" i="124"/>
  <c r="F322" i="124"/>
  <c r="F323" i="124"/>
  <c r="F324" i="124"/>
  <c r="F325" i="124"/>
  <c r="F326" i="124"/>
  <c r="F327" i="124"/>
  <c r="F328"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7" i="124"/>
  <c r="F8" i="124"/>
  <c r="F9" i="124"/>
  <c r="F10" i="124"/>
  <c r="F11" i="124"/>
  <c r="F6" i="124"/>
  <c r="P239" i="124"/>
  <c r="P242" i="124"/>
  <c r="P245" i="124"/>
  <c r="P244" i="124"/>
  <c r="P246" i="124"/>
  <c r="P248" i="124"/>
  <c r="P247" i="124"/>
  <c r="G239" i="124"/>
  <c r="A239" i="124"/>
  <c r="B239" i="124"/>
  <c r="A228" i="124"/>
  <c r="P193" i="124"/>
  <c r="G193" i="124"/>
  <c r="A193" i="124"/>
  <c r="B193" i="124"/>
  <c r="P192" i="124"/>
  <c r="G192" i="124"/>
  <c r="A192" i="124"/>
  <c r="B192" i="124"/>
  <c r="B51" i="124"/>
  <c r="B320" i="124"/>
  <c r="B321" i="124"/>
  <c r="B322" i="124"/>
  <c r="B323" i="124"/>
  <c r="B324" i="124"/>
  <c r="B325" i="124"/>
  <c r="B326" i="124"/>
  <c r="B327" i="124"/>
  <c r="B328" i="124"/>
  <c r="B329" i="124"/>
  <c r="B330" i="124"/>
  <c r="B331" i="124"/>
  <c r="B332" i="124"/>
  <c r="B333" i="124"/>
  <c r="B334" i="124"/>
  <c r="B335" i="124"/>
  <c r="B336" i="124"/>
  <c r="B337" i="124"/>
  <c r="B338" i="124"/>
  <c r="B339" i="124"/>
  <c r="S32" i="138" l="1"/>
  <c r="AB32" i="138" s="1"/>
  <c r="U32" i="138"/>
  <c r="AC32" i="138" s="1"/>
  <c r="S38" i="138"/>
  <c r="U38" i="138"/>
  <c r="AG38" i="138" s="1"/>
  <c r="S37" i="138"/>
  <c r="BB37" i="138" s="1"/>
  <c r="U37" i="138"/>
  <c r="BB38" i="138"/>
  <c r="Q38" i="138"/>
  <c r="BH38" i="138"/>
  <c r="BI33" i="138"/>
  <c r="BJ33" i="138" s="1"/>
  <c r="BK33" i="138" s="1"/>
  <c r="T33" i="138"/>
  <c r="Q32" i="138"/>
  <c r="T30" i="138"/>
  <c r="BH30" i="138" s="1"/>
  <c r="BH37" i="138"/>
  <c r="Y37" i="138"/>
  <c r="BI36" i="138"/>
  <c r="BJ36" i="138" s="1"/>
  <c r="BK36" i="138" s="1"/>
  <c r="T36" i="138"/>
  <c r="Q36" i="138" s="1"/>
  <c r="BI35" i="138"/>
  <c r="BJ35" i="138" s="1"/>
  <c r="BK35" i="138" s="1"/>
  <c r="U35" i="138" s="1"/>
  <c r="AC35" i="138" s="1"/>
  <c r="V35" i="138"/>
  <c r="Q35" i="138" s="1"/>
  <c r="BI30" i="138"/>
  <c r="BJ30" i="138" s="1"/>
  <c r="BK30" i="138" s="1"/>
  <c r="F3" i="124"/>
  <c r="G18" i="124"/>
  <c r="G19" i="124"/>
  <c r="A18" i="124"/>
  <c r="B18" i="124"/>
  <c r="BB32" i="138" l="1"/>
  <c r="S33" i="138"/>
  <c r="AB33" i="138" s="1"/>
  <c r="U33" i="138"/>
  <c r="AC33" i="138" s="1"/>
  <c r="BC37" i="138"/>
  <c r="BC35" i="138"/>
  <c r="BC38" i="138"/>
  <c r="S30" i="138"/>
  <c r="AB30" i="138" s="1"/>
  <c r="U30" i="138"/>
  <c r="AC30" i="138" s="1"/>
  <c r="BC32" i="138"/>
  <c r="S36" i="138"/>
  <c r="BB36" i="138" s="1"/>
  <c r="U36" i="138"/>
  <c r="S35" i="138"/>
  <c r="BH33" i="138"/>
  <c r="Q33" i="138"/>
  <c r="Y33" i="138"/>
  <c r="Q30" i="138"/>
  <c r="BH36" i="138"/>
  <c r="Y36" i="138"/>
  <c r="BH35" i="138"/>
  <c r="Y35" i="138"/>
  <c r="B12" i="98"/>
  <c r="BB33" i="138" l="1"/>
  <c r="BC33" i="138"/>
  <c r="BB30" i="138"/>
  <c r="BC36" i="138"/>
  <c r="BC30" i="138"/>
  <c r="BB35" i="138"/>
  <c r="A279" i="124"/>
  <c r="B247" i="124" l="1"/>
  <c r="A247" i="124"/>
  <c r="P218" i="124"/>
  <c r="G218" i="124"/>
  <c r="B218" i="124"/>
  <c r="A218" i="124"/>
  <c r="M23" i="74" l="1"/>
  <c r="X15" i="17"/>
  <c r="E13" i="17" l="1"/>
  <c r="E16" i="29"/>
  <c r="E17" i="29"/>
  <c r="E18" i="29"/>
  <c r="E19" i="29"/>
  <c r="E20" i="29"/>
  <c r="E21" i="29"/>
  <c r="E22" i="29"/>
  <c r="E23" i="29"/>
  <c r="E24" i="29"/>
  <c r="E25" i="29"/>
  <c r="E26" i="29"/>
  <c r="E27" i="29" l="1"/>
  <c r="Q32" i="74"/>
  <c r="G10" i="124" l="1"/>
  <c r="G17" i="124"/>
  <c r="G20" i="124"/>
  <c r="G160" i="124"/>
  <c r="G231" i="124"/>
  <c r="G32" i="124"/>
  <c r="G51" i="124"/>
  <c r="G320" i="124"/>
  <c r="G321" i="124"/>
  <c r="G322" i="124"/>
  <c r="G323" i="124"/>
  <c r="G324" i="124"/>
  <c r="G325" i="124"/>
  <c r="G326" i="124"/>
  <c r="G327" i="124"/>
  <c r="G328" i="124"/>
  <c r="G177" i="124"/>
  <c r="G96" i="124"/>
  <c r="G181" i="124"/>
  <c r="G140" i="124"/>
  <c r="G182" i="124"/>
  <c r="G184" i="124"/>
  <c r="G279" i="124"/>
  <c r="G280" i="124"/>
  <c r="G276" i="124"/>
  <c r="G173" i="124"/>
  <c r="G258" i="124"/>
  <c r="G131" i="124"/>
  <c r="G170" i="124"/>
  <c r="G7" i="124"/>
  <c r="B115" i="124" l="1"/>
  <c r="P315" i="124" l="1"/>
  <c r="G315" i="124"/>
  <c r="A315" i="124"/>
  <c r="B315" i="124"/>
  <c r="P269" i="124"/>
  <c r="G269" i="124"/>
  <c r="B269" i="124"/>
  <c r="A269" i="124"/>
  <c r="A271" i="124"/>
  <c r="P225" i="124" l="1"/>
  <c r="P227" i="124"/>
  <c r="P226" i="124"/>
  <c r="P230" i="124"/>
  <c r="P229" i="124"/>
  <c r="P232" i="124"/>
  <c r="P233" i="124"/>
  <c r="P235" i="124"/>
  <c r="P236" i="124"/>
  <c r="P237" i="124"/>
  <c r="P238" i="124"/>
  <c r="P241" i="124"/>
  <c r="P240" i="124"/>
  <c r="P243" i="124"/>
  <c r="P249" i="124"/>
  <c r="P250" i="124"/>
  <c r="P251" i="124"/>
  <c r="P252" i="124"/>
  <c r="P253" i="124"/>
  <c r="P254" i="124"/>
  <c r="P259" i="124"/>
  <c r="P260" i="124"/>
  <c r="P262" i="124"/>
  <c r="P263" i="124"/>
  <c r="P264" i="124"/>
  <c r="P268" i="124"/>
  <c r="P270" i="124"/>
  <c r="P271" i="124"/>
  <c r="P273" i="124"/>
  <c r="P275" i="124"/>
  <c r="P278" i="124"/>
  <c r="P277" i="124"/>
  <c r="P281" i="124"/>
  <c r="P282" i="124"/>
  <c r="P283" i="124"/>
  <c r="P284" i="124"/>
  <c r="P285" i="124"/>
  <c r="P286" i="124"/>
  <c r="P287" i="124"/>
  <c r="P288" i="124"/>
  <c r="P289" i="124"/>
  <c r="P290" i="124"/>
  <c r="P291" i="124"/>
  <c r="P292" i="124"/>
  <c r="P293" i="124"/>
  <c r="P294" i="124"/>
  <c r="P296" i="124"/>
  <c r="P297" i="124"/>
  <c r="P299" i="124"/>
  <c r="P300" i="124"/>
  <c r="P301" i="124"/>
  <c r="P302" i="124"/>
  <c r="P303" i="124"/>
  <c r="P304" i="124"/>
  <c r="P306" i="124"/>
  <c r="P307" i="124"/>
  <c r="P309" i="124"/>
  <c r="P310" i="124"/>
  <c r="P311" i="124"/>
  <c r="P312" i="124"/>
  <c r="P313" i="124"/>
  <c r="P314" i="124"/>
  <c r="P316" i="124"/>
  <c r="P317" i="124"/>
  <c r="P318" i="124"/>
  <c r="P319" i="124"/>
  <c r="P234" i="124"/>
  <c r="P257" i="124"/>
  <c r="P177" i="124"/>
  <c r="P96" i="124"/>
  <c r="P181" i="124"/>
  <c r="P140" i="124"/>
  <c r="P182" i="124"/>
  <c r="P184" i="124"/>
  <c r="P279" i="124"/>
  <c r="P280" i="124"/>
  <c r="P276" i="124"/>
  <c r="P173" i="124"/>
  <c r="P258" i="124"/>
  <c r="P131" i="124"/>
  <c r="P170" i="124"/>
  <c r="P7" i="124"/>
  <c r="P10" i="124"/>
  <c r="P17" i="124"/>
  <c r="P20" i="124"/>
  <c r="P160" i="124"/>
  <c r="P231" i="124"/>
  <c r="P32" i="124"/>
  <c r="P51" i="124"/>
  <c r="P320" i="124"/>
  <c r="P321" i="124"/>
  <c r="P322" i="124"/>
  <c r="P323" i="124"/>
  <c r="P324" i="124"/>
  <c r="P325" i="124"/>
  <c r="P326" i="124"/>
  <c r="P327" i="124"/>
  <c r="P328" i="124"/>
  <c r="P329" i="124"/>
  <c r="P330" i="124"/>
  <c r="P331" i="124"/>
  <c r="P332" i="124"/>
  <c r="P333" i="124"/>
  <c r="P334" i="124"/>
  <c r="P335" i="124"/>
  <c r="P336" i="124"/>
  <c r="P337" i="124"/>
  <c r="P338" i="124"/>
  <c r="P339" i="124"/>
  <c r="P340" i="124"/>
  <c r="P341" i="124"/>
  <c r="P8" i="124"/>
  <c r="P9" i="124"/>
  <c r="P11" i="124"/>
  <c r="P16" i="124"/>
  <c r="P13" i="124"/>
  <c r="P15" i="124"/>
  <c r="P12" i="124"/>
  <c r="P19" i="124"/>
  <c r="P22" i="124"/>
  <c r="P23" i="124"/>
  <c r="P24" i="124"/>
  <c r="P25" i="124"/>
  <c r="P26" i="124"/>
  <c r="P29" i="124"/>
  <c r="P30" i="124"/>
  <c r="P31" i="124"/>
  <c r="P33" i="124"/>
  <c r="P34" i="124"/>
  <c r="P36" i="124"/>
  <c r="P37" i="124"/>
  <c r="P39" i="124"/>
  <c r="P40" i="124"/>
  <c r="P41" i="124"/>
  <c r="P42" i="124"/>
  <c r="P43" i="124"/>
  <c r="P44" i="124"/>
  <c r="P45" i="124"/>
  <c r="P46" i="124"/>
  <c r="P47" i="124"/>
  <c r="P48" i="124"/>
  <c r="P50" i="124"/>
  <c r="P53" i="124"/>
  <c r="P54" i="124"/>
  <c r="P55" i="124"/>
  <c r="P56" i="124"/>
  <c r="P57" i="124"/>
  <c r="P58" i="124"/>
  <c r="P59" i="124"/>
  <c r="P60" i="124"/>
  <c r="P61" i="124"/>
  <c r="P63" i="124"/>
  <c r="P62" i="124"/>
  <c r="P64" i="124"/>
  <c r="P66" i="124"/>
  <c r="P65" i="124"/>
  <c r="P68" i="124"/>
  <c r="P71" i="124"/>
  <c r="P69" i="124"/>
  <c r="P70" i="124"/>
  <c r="P72" i="124"/>
  <c r="P73" i="124"/>
  <c r="P74" i="124"/>
  <c r="P75" i="124"/>
  <c r="P77" i="124"/>
  <c r="P78" i="124"/>
  <c r="P80" i="124"/>
  <c r="P81" i="124"/>
  <c r="P82" i="124"/>
  <c r="P83" i="124"/>
  <c r="P84" i="124"/>
  <c r="P85" i="124"/>
  <c r="P86" i="124"/>
  <c r="P87" i="124"/>
  <c r="P88" i="124"/>
  <c r="P89" i="124"/>
  <c r="P90" i="124"/>
  <c r="P91" i="124"/>
  <c r="P92" i="124"/>
  <c r="P93" i="124"/>
  <c r="P94" i="124"/>
  <c r="P95" i="124"/>
  <c r="P97" i="124"/>
  <c r="P98" i="124"/>
  <c r="P99" i="124"/>
  <c r="P100" i="124"/>
  <c r="P101" i="124"/>
  <c r="P102" i="124"/>
  <c r="P103" i="124"/>
  <c r="P104" i="124"/>
  <c r="P105" i="124"/>
  <c r="P106" i="124"/>
  <c r="P108" i="124"/>
  <c r="P110" i="124"/>
  <c r="P111" i="124"/>
  <c r="P109" i="124"/>
  <c r="P114" i="124"/>
  <c r="P115" i="124"/>
  <c r="P116" i="124"/>
  <c r="P117" i="124"/>
  <c r="P118" i="124"/>
  <c r="P119" i="124"/>
  <c r="P120" i="124"/>
  <c r="P121" i="124"/>
  <c r="P122" i="124"/>
  <c r="P123" i="124"/>
  <c r="P124" i="124"/>
  <c r="P125" i="124"/>
  <c r="P126" i="124"/>
  <c r="P127" i="124"/>
  <c r="P128" i="124"/>
  <c r="P130" i="124"/>
  <c r="P132" i="124"/>
  <c r="P133" i="124"/>
  <c r="P136" i="124"/>
  <c r="P134" i="124"/>
  <c r="P137" i="124"/>
  <c r="P138" i="124"/>
  <c r="P139" i="124"/>
  <c r="P141" i="124"/>
  <c r="P142" i="124"/>
  <c r="P143" i="124"/>
  <c r="P144" i="124"/>
  <c r="P145" i="124"/>
  <c r="P146" i="124"/>
  <c r="P149" i="124"/>
  <c r="P147" i="124"/>
  <c r="P148" i="124"/>
  <c r="P150" i="124"/>
  <c r="P151" i="124"/>
  <c r="P154" i="124"/>
  <c r="P153" i="124"/>
  <c r="P155" i="124"/>
  <c r="P156" i="124"/>
  <c r="P157" i="124"/>
  <c r="P158" i="124"/>
  <c r="P161" i="124"/>
  <c r="P162" i="124"/>
  <c r="P163" i="124"/>
  <c r="P164" i="124"/>
  <c r="P165" i="124"/>
  <c r="P166" i="124"/>
  <c r="P167" i="124"/>
  <c r="P168" i="124"/>
  <c r="P169" i="124"/>
  <c r="P172" i="124"/>
  <c r="P174" i="124"/>
  <c r="P175" i="124"/>
  <c r="P178" i="124"/>
  <c r="P183" i="124"/>
  <c r="P185" i="124"/>
  <c r="P186" i="124"/>
  <c r="P187" i="124"/>
  <c r="P188" i="124"/>
  <c r="P190" i="124"/>
  <c r="P189" i="124"/>
  <c r="P191" i="124"/>
  <c r="P194" i="124"/>
  <c r="P196" i="124"/>
  <c r="P197" i="124"/>
  <c r="P198" i="124"/>
  <c r="P199" i="124"/>
  <c r="P200" i="124"/>
  <c r="P201" i="124"/>
  <c r="P202" i="124"/>
  <c r="P203" i="124"/>
  <c r="P205" i="124"/>
  <c r="P206" i="124"/>
  <c r="P207" i="124"/>
  <c r="P208" i="124"/>
  <c r="P209" i="124"/>
  <c r="P210" i="124"/>
  <c r="P211" i="124"/>
  <c r="P212" i="124"/>
  <c r="P213" i="124"/>
  <c r="P214" i="124"/>
  <c r="P215" i="124"/>
  <c r="P217" i="124"/>
  <c r="P216" i="124"/>
  <c r="P219" i="124"/>
  <c r="P220" i="124"/>
  <c r="P221" i="124"/>
  <c r="P222" i="124"/>
  <c r="P228" i="124"/>
  <c r="P6" i="124"/>
  <c r="H5" i="98"/>
  <c r="G115" i="124" l="1"/>
  <c r="A115" i="124"/>
  <c r="G6" i="124" l="1"/>
  <c r="G8" i="124"/>
  <c r="G9" i="124"/>
  <c r="G11" i="124"/>
  <c r="G16" i="124"/>
  <c r="G13" i="124"/>
  <c r="G15" i="124"/>
  <c r="G12" i="124"/>
  <c r="G22" i="124"/>
  <c r="G23" i="124"/>
  <c r="G24" i="124"/>
  <c r="G25" i="124"/>
  <c r="G26" i="124"/>
  <c r="G29" i="124"/>
  <c r="G30" i="124"/>
  <c r="G31" i="124"/>
  <c r="G33" i="124"/>
  <c r="G34" i="124"/>
  <c r="G36" i="124"/>
  <c r="G37" i="124"/>
  <c r="G39" i="124"/>
  <c r="G40" i="124"/>
  <c r="G41" i="124"/>
  <c r="G42" i="124"/>
  <c r="G43" i="124"/>
  <c r="G44" i="124"/>
  <c r="G45" i="124"/>
  <c r="G46" i="124"/>
  <c r="G47" i="124"/>
  <c r="G48" i="124"/>
  <c r="G50" i="124"/>
  <c r="G53" i="124"/>
  <c r="G54" i="124"/>
  <c r="G55" i="124"/>
  <c r="G56" i="124"/>
  <c r="G57" i="124"/>
  <c r="G58" i="124"/>
  <c r="G59" i="124"/>
  <c r="G60" i="124"/>
  <c r="G61" i="124"/>
  <c r="G63" i="124"/>
  <c r="G62" i="124"/>
  <c r="G64" i="124"/>
  <c r="G66" i="124"/>
  <c r="G65" i="124"/>
  <c r="G68" i="124"/>
  <c r="G71" i="124"/>
  <c r="G69" i="124"/>
  <c r="G70" i="124"/>
  <c r="G72" i="124"/>
  <c r="G73" i="124"/>
  <c r="G74" i="124"/>
  <c r="G75" i="124"/>
  <c r="G77" i="124"/>
  <c r="G78" i="124"/>
  <c r="G80" i="124"/>
  <c r="G81" i="124"/>
  <c r="G82" i="124"/>
  <c r="G83" i="124"/>
  <c r="G84" i="124"/>
  <c r="G85" i="124"/>
  <c r="G86" i="124"/>
  <c r="G87" i="124"/>
  <c r="G88" i="124"/>
  <c r="G89" i="124"/>
  <c r="G90" i="124"/>
  <c r="G91" i="124"/>
  <c r="G92" i="124"/>
  <c r="G93" i="124"/>
  <c r="G94" i="124"/>
  <c r="G95" i="124"/>
  <c r="G97" i="124"/>
  <c r="G98" i="124"/>
  <c r="G99" i="124"/>
  <c r="G100" i="124"/>
  <c r="G101" i="124"/>
  <c r="G102" i="124"/>
  <c r="G103" i="124"/>
  <c r="G104" i="124"/>
  <c r="G105" i="124"/>
  <c r="G106" i="124"/>
  <c r="G108" i="124"/>
  <c r="G110" i="124"/>
  <c r="G111" i="124"/>
  <c r="G109" i="124"/>
  <c r="G114" i="124"/>
  <c r="G116" i="124"/>
  <c r="G117" i="124"/>
  <c r="G118" i="124"/>
  <c r="G119" i="124"/>
  <c r="G120" i="124"/>
  <c r="G121" i="124"/>
  <c r="G122" i="124"/>
  <c r="G123" i="124"/>
  <c r="G124" i="124"/>
  <c r="G125" i="124"/>
  <c r="G126" i="124"/>
  <c r="G127" i="124"/>
  <c r="G128" i="124"/>
  <c r="G130" i="124"/>
  <c r="G132" i="124"/>
  <c r="G133" i="124"/>
  <c r="G136" i="124"/>
  <c r="G134" i="124"/>
  <c r="G137" i="124"/>
  <c r="G139" i="124"/>
  <c r="G141" i="124"/>
  <c r="G142" i="124"/>
  <c r="G143" i="124"/>
  <c r="G144" i="124"/>
  <c r="G145" i="124"/>
  <c r="G146" i="124"/>
  <c r="G149" i="124"/>
  <c r="G147" i="124"/>
  <c r="G148" i="124"/>
  <c r="G150" i="124"/>
  <c r="G151" i="124"/>
  <c r="G154" i="124"/>
  <c r="G153" i="124"/>
  <c r="G155" i="124"/>
  <c r="G156" i="124"/>
  <c r="G157" i="124"/>
  <c r="G158" i="124"/>
  <c r="G161" i="124"/>
  <c r="G162" i="124"/>
  <c r="G163" i="124"/>
  <c r="G164" i="124"/>
  <c r="G165" i="124"/>
  <c r="G166" i="124"/>
  <c r="G167" i="124"/>
  <c r="G168" i="124"/>
  <c r="G169" i="124"/>
  <c r="G172" i="124"/>
  <c r="G174" i="124"/>
  <c r="G175" i="124"/>
  <c r="G178" i="124"/>
  <c r="G183" i="124"/>
  <c r="G185" i="124"/>
  <c r="G186" i="124"/>
  <c r="G187" i="124"/>
  <c r="G188" i="124"/>
  <c r="G190" i="124"/>
  <c r="G189" i="124"/>
  <c r="G191" i="124"/>
  <c r="G194" i="124"/>
  <c r="G196" i="124"/>
  <c r="G197" i="124"/>
  <c r="G198" i="124"/>
  <c r="G199" i="124"/>
  <c r="G200" i="124"/>
  <c r="G201" i="124"/>
  <c r="G202" i="124"/>
  <c r="G203" i="124"/>
  <c r="G205" i="124"/>
  <c r="G206" i="124"/>
  <c r="G207" i="124"/>
  <c r="G208" i="124"/>
  <c r="G209" i="124"/>
  <c r="G210" i="124"/>
  <c r="G211" i="124"/>
  <c r="G212" i="124"/>
  <c r="G213" i="124"/>
  <c r="G214" i="124"/>
  <c r="G215" i="124"/>
  <c r="G217" i="124"/>
  <c r="G216" i="124"/>
  <c r="G219" i="124"/>
  <c r="G220" i="124"/>
  <c r="G221" i="124"/>
  <c r="G222" i="124"/>
  <c r="G228" i="124"/>
  <c r="G225" i="124"/>
  <c r="G227" i="124"/>
  <c r="G226" i="124"/>
  <c r="G230" i="124"/>
  <c r="G229" i="124"/>
  <c r="G232" i="124"/>
  <c r="G233" i="124"/>
  <c r="G235" i="124"/>
  <c r="G236" i="124"/>
  <c r="G237" i="124"/>
  <c r="G238" i="124"/>
  <c r="G241" i="124"/>
  <c r="G240" i="124"/>
  <c r="G243" i="124"/>
  <c r="G242" i="124"/>
  <c r="G245" i="124"/>
  <c r="G244" i="124"/>
  <c r="G246" i="124"/>
  <c r="G248" i="124"/>
  <c r="G249" i="124"/>
  <c r="G250" i="124"/>
  <c r="G251" i="124"/>
  <c r="G252" i="124"/>
  <c r="G253" i="124"/>
  <c r="G254" i="124"/>
  <c r="G259" i="124"/>
  <c r="G260" i="124"/>
  <c r="G262" i="124"/>
  <c r="G263" i="124"/>
  <c r="G264" i="124"/>
  <c r="G268" i="124"/>
  <c r="G270" i="124"/>
  <c r="G271" i="124"/>
  <c r="G273" i="124"/>
  <c r="G275" i="124"/>
  <c r="G278" i="124"/>
  <c r="G277" i="124"/>
  <c r="G281" i="124"/>
  <c r="G282" i="124"/>
  <c r="G284" i="124"/>
  <c r="G285" i="124"/>
  <c r="G286" i="124"/>
  <c r="G287" i="124"/>
  <c r="G288" i="124"/>
  <c r="G289" i="124"/>
  <c r="G290" i="124"/>
  <c r="G291" i="124"/>
  <c r="G292" i="124"/>
  <c r="G293" i="124"/>
  <c r="G294" i="124"/>
  <c r="G296" i="124"/>
  <c r="G297" i="124"/>
  <c r="G299" i="124"/>
  <c r="G300" i="124"/>
  <c r="G301" i="124"/>
  <c r="G302" i="124"/>
  <c r="G303" i="124"/>
  <c r="G304" i="124"/>
  <c r="G306" i="124"/>
  <c r="G307" i="124"/>
  <c r="G309" i="124"/>
  <c r="G310" i="124"/>
  <c r="G311" i="124"/>
  <c r="G312" i="124"/>
  <c r="G313" i="124"/>
  <c r="G314" i="124"/>
  <c r="G316" i="124"/>
  <c r="G317" i="124"/>
  <c r="G318" i="124"/>
  <c r="G319" i="124"/>
  <c r="G283" i="124"/>
  <c r="B177" i="124"/>
  <c r="B96" i="124"/>
  <c r="B181" i="124"/>
  <c r="B140" i="124"/>
  <c r="B182" i="124"/>
  <c r="B184" i="124"/>
  <c r="B279" i="124"/>
  <c r="B280" i="124"/>
  <c r="B276" i="124"/>
  <c r="B173" i="124"/>
  <c r="B258" i="124"/>
  <c r="B131" i="124"/>
  <c r="B170" i="124"/>
  <c r="B7" i="124"/>
  <c r="B10" i="124"/>
  <c r="B17" i="124"/>
  <c r="B20" i="124"/>
  <c r="B160" i="124"/>
  <c r="B231" i="124"/>
  <c r="B32" i="124"/>
  <c r="N5" i="124"/>
  <c r="M5" i="124"/>
  <c r="L5" i="124"/>
  <c r="K5" i="124"/>
  <c r="N19" i="105" l="1"/>
  <c r="W36" i="17"/>
  <c r="L24" i="17"/>
  <c r="AE6" i="98"/>
  <c r="B35" i="17" l="1"/>
  <c r="B36" i="17"/>
  <c r="V6" i="19"/>
  <c r="Z14" i="19" l="1"/>
  <c r="A104" i="124"/>
  <c r="B104" i="124"/>
  <c r="B99" i="124"/>
  <c r="A99" i="124"/>
  <c r="A89" i="124"/>
  <c r="B89" i="124"/>
  <c r="B85" i="124"/>
  <c r="A85" i="124"/>
  <c r="B83" i="124"/>
  <c r="A83" i="124"/>
  <c r="B264" i="124"/>
  <c r="A264" i="124"/>
  <c r="A283" i="124"/>
  <c r="A93" i="124"/>
  <c r="B283" i="124"/>
  <c r="B93" i="124"/>
  <c r="A46" i="124"/>
  <c r="B46" i="124"/>
  <c r="N15" i="105" l="1"/>
  <c r="N28" i="105" s="1"/>
  <c r="T62" i="96" l="1"/>
  <c r="T65" i="96" s="1"/>
  <c r="T64" i="96" l="1"/>
  <c r="E5" i="127" l="1"/>
  <c r="N25" i="105" l="1"/>
  <c r="P22" i="115" l="1"/>
  <c r="B21" i="22" l="1"/>
  <c r="B14" i="19"/>
  <c r="V2" i="19" l="1"/>
  <c r="W2" i="19" s="1"/>
  <c r="V1" i="19"/>
  <c r="X1" i="19" s="1"/>
  <c r="AG5" i="19" l="1"/>
  <c r="AG6" i="19" s="1"/>
  <c r="A294" i="124" l="1"/>
  <c r="S55" i="103"/>
  <c r="X55" i="103" s="1"/>
  <c r="Z55" i="103" s="1"/>
  <c r="R55" i="103"/>
  <c r="J29" i="115" s="1"/>
  <c r="S54" i="103"/>
  <c r="L55" i="103"/>
  <c r="L54" i="103"/>
  <c r="W55" i="103" l="1"/>
  <c r="Y55" i="103" s="1"/>
  <c r="U55" i="103"/>
  <c r="V55" i="103"/>
  <c r="Y32" i="138" l="1"/>
  <c r="Y30" i="138"/>
  <c r="X16" i="17"/>
  <c r="E17" i="17" s="1"/>
  <c r="O32" i="17"/>
  <c r="P22" i="17"/>
  <c r="P30" i="17"/>
  <c r="E21" i="17" l="1"/>
  <c r="E19" i="17"/>
  <c r="P32" i="17"/>
  <c r="N33" i="17"/>
  <c r="P33" i="17"/>
  <c r="E58" i="103"/>
  <c r="F58" i="103"/>
  <c r="C22" i="139" l="1"/>
  <c r="A77" i="124"/>
  <c r="A5" i="124" l="1"/>
  <c r="G234" i="124"/>
  <c r="G257" i="124"/>
  <c r="B303" i="124"/>
  <c r="B178" i="124"/>
  <c r="B117" i="124"/>
  <c r="B6" i="124"/>
  <c r="B63" i="124"/>
  <c r="B294" i="124"/>
  <c r="B310" i="124"/>
  <c r="B311" i="124"/>
  <c r="B309" i="124"/>
  <c r="B19" i="124"/>
  <c r="B213" i="124"/>
  <c r="B109" i="124"/>
  <c r="B62" i="124"/>
  <c r="B68" i="124"/>
  <c r="B316" i="124"/>
  <c r="B313" i="124"/>
  <c r="B314" i="124"/>
  <c r="B121" i="124"/>
  <c r="B118" i="124"/>
  <c r="B123" i="124"/>
  <c r="B124" i="124"/>
  <c r="B122" i="124"/>
  <c r="B37" i="124"/>
  <c r="B234" i="124"/>
  <c r="B257" i="124"/>
  <c r="D2" i="98" l="1"/>
  <c r="A8" i="124"/>
  <c r="A236" i="124"/>
  <c r="B236" i="124"/>
  <c r="A216" i="124"/>
  <c r="B216" i="124"/>
  <c r="A207" i="124"/>
  <c r="B207" i="124"/>
  <c r="A203" i="124"/>
  <c r="B203" i="124"/>
  <c r="A143" i="124"/>
  <c r="B143" i="124"/>
  <c r="A141" i="124"/>
  <c r="B141" i="124"/>
  <c r="B8" i="98" l="1"/>
  <c r="A262" i="124"/>
  <c r="A263" i="124"/>
  <c r="A268" i="124"/>
  <c r="A270" i="124"/>
  <c r="A273" i="124"/>
  <c r="A275" i="124"/>
  <c r="A278" i="124"/>
  <c r="A277" i="124"/>
  <c r="A281" i="124"/>
  <c r="A282" i="124"/>
  <c r="A284" i="124"/>
  <c r="A285" i="124"/>
  <c r="A286" i="124"/>
  <c r="A287" i="124"/>
  <c r="A288" i="124"/>
  <c r="A289" i="124"/>
  <c r="A290" i="124"/>
  <c r="A291" i="124"/>
  <c r="A292" i="124"/>
  <c r="A293" i="124"/>
  <c r="A296" i="124"/>
  <c r="A297" i="124"/>
  <c r="A299" i="124"/>
  <c r="A300" i="124"/>
  <c r="A301" i="124"/>
  <c r="A302" i="124"/>
  <c r="A304" i="124"/>
  <c r="A306" i="124"/>
  <c r="A307" i="124"/>
  <c r="A312" i="124"/>
  <c r="A317" i="124"/>
  <c r="A318" i="124"/>
  <c r="A319" i="124"/>
  <c r="A303" i="124"/>
  <c r="A178" i="124"/>
  <c r="A117" i="124"/>
  <c r="A6" i="124"/>
  <c r="A63" i="124"/>
  <c r="A310" i="124"/>
  <c r="A311" i="124"/>
  <c r="A309" i="124"/>
  <c r="A19" i="124"/>
  <c r="A213" i="124"/>
  <c r="A109" i="124"/>
  <c r="A62" i="124"/>
  <c r="A68" i="124"/>
  <c r="A316" i="124"/>
  <c r="A313" i="124"/>
  <c r="A314" i="124"/>
  <c r="A121" i="124"/>
  <c r="A118" i="124"/>
  <c r="A123" i="124"/>
  <c r="A124" i="124"/>
  <c r="A122" i="124"/>
  <c r="A37" i="124"/>
  <c r="A234" i="124"/>
  <c r="A257" i="124"/>
  <c r="A177" i="124"/>
  <c r="A96" i="124"/>
  <c r="A181" i="124"/>
  <c r="A140" i="124"/>
  <c r="A182" i="124"/>
  <c r="A184" i="124"/>
  <c r="A280" i="124"/>
  <c r="A276" i="124"/>
  <c r="A173" i="124"/>
  <c r="A258" i="124"/>
  <c r="A131" i="124"/>
  <c r="A170" i="124"/>
  <c r="A7" i="124"/>
  <c r="A10" i="124"/>
  <c r="A17" i="124"/>
  <c r="A20" i="124"/>
  <c r="A160" i="124"/>
  <c r="A231" i="124"/>
  <c r="A32" i="124"/>
  <c r="A320" i="124"/>
  <c r="A321" i="124"/>
  <c r="A322" i="124"/>
  <c r="A323" i="124"/>
  <c r="A324" i="124"/>
  <c r="A325" i="124"/>
  <c r="A326" i="124"/>
  <c r="A327" i="124"/>
  <c r="A328"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B319" i="124" l="1"/>
  <c r="B268" i="124"/>
  <c r="B167" i="124"/>
  <c r="B65" i="124"/>
  <c r="B162" i="124"/>
  <c r="B242" i="124"/>
  <c r="P38" i="17" l="1"/>
  <c r="N38" i="17"/>
  <c r="P25" i="17"/>
  <c r="L20" i="127" l="1"/>
  <c r="K20" i="127"/>
  <c r="L16" i="127"/>
  <c r="K16" i="127"/>
  <c r="L12" i="127"/>
  <c r="K12" i="127"/>
  <c r="K9" i="127"/>
  <c r="A260" i="124" l="1"/>
  <c r="A259" i="124"/>
  <c r="A254" i="124" l="1"/>
  <c r="A253" i="124" l="1"/>
  <c r="A252" i="124"/>
  <c r="B226" i="124"/>
  <c r="B29" i="124"/>
  <c r="B271" i="124"/>
  <c r="B273" i="124"/>
  <c r="B275" i="124"/>
  <c r="B278" i="124"/>
  <c r="B277" i="124"/>
  <c r="B281" i="124"/>
  <c r="B282" i="124"/>
  <c r="B284" i="124"/>
  <c r="B285" i="124"/>
  <c r="B286" i="124"/>
  <c r="B287" i="124"/>
  <c r="B288" i="124"/>
  <c r="B289" i="124"/>
  <c r="B290" i="124"/>
  <c r="B291" i="124"/>
  <c r="B292" i="124"/>
  <c r="B293" i="124"/>
  <c r="B296" i="124"/>
  <c r="B297" i="124"/>
  <c r="B299" i="124"/>
  <c r="B300" i="124"/>
  <c r="B301" i="124"/>
  <c r="B302" i="124"/>
  <c r="B304" i="124"/>
  <c r="B306" i="124"/>
  <c r="B307" i="124"/>
  <c r="B312" i="124"/>
  <c r="B317" i="124"/>
  <c r="B318" i="124"/>
  <c r="B72" i="124"/>
  <c r="B73" i="124"/>
  <c r="B249" i="124"/>
  <c r="A251"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0"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49" i="124" l="1"/>
  <c r="A242" i="124" l="1"/>
  <c r="A243" i="124"/>
  <c r="A245" i="124"/>
  <c r="A244" i="124"/>
  <c r="A246" i="124"/>
  <c r="A248" i="124"/>
  <c r="B254" i="124"/>
  <c r="B60" i="124"/>
  <c r="B156" i="124"/>
  <c r="B59" i="124"/>
  <c r="B58" i="124"/>
  <c r="B205" i="124"/>
  <c r="B260" i="124"/>
  <c r="B127" i="124"/>
  <c r="B84" i="124"/>
  <c r="B82" i="124"/>
  <c r="P26" i="17" l="1"/>
  <c r="P29" i="17"/>
  <c r="P34" i="17" s="1"/>
  <c r="A73" i="124" l="1"/>
  <c r="O35" i="17" l="1"/>
  <c r="P35" i="17"/>
  <c r="P36" i="17" s="1"/>
  <c r="P39" i="17" l="1"/>
  <c r="N39" i="17" s="1"/>
  <c r="N36" i="17"/>
  <c r="A219" i="124"/>
  <c r="A220" i="124"/>
  <c r="A221" i="124"/>
  <c r="A222" i="124"/>
  <c r="A227" i="124"/>
  <c r="A226" i="124"/>
  <c r="A230" i="124"/>
  <c r="A229" i="124"/>
  <c r="A232" i="124"/>
  <c r="A233" i="124"/>
  <c r="A235" i="124"/>
  <c r="A237" i="124"/>
  <c r="A238" i="124"/>
  <c r="A241" i="124"/>
  <c r="A240" i="124"/>
  <c r="B243" i="124"/>
  <c r="B108" i="124"/>
  <c r="B33" i="124"/>
  <c r="B31" i="124"/>
  <c r="B64" i="124"/>
  <c r="B71" i="124"/>
  <c r="B66" i="124"/>
  <c r="B69" i="124"/>
  <c r="B70" i="124"/>
  <c r="B44" i="124"/>
  <c r="B41" i="124"/>
  <c r="B110" i="124"/>
  <c r="B111" i="124"/>
  <c r="B155" i="124"/>
  <c r="B23" i="124"/>
  <c r="A215" i="124"/>
  <c r="A217" i="124"/>
  <c r="A214" i="124"/>
  <c r="A212" i="124"/>
  <c r="A211" i="124"/>
  <c r="N40" i="17" l="1"/>
  <c r="T88" i="74"/>
  <c r="U88" i="74" s="1"/>
  <c r="A206" i="124"/>
  <c r="A208" i="124"/>
  <c r="A209" i="124"/>
  <c r="A210" i="124"/>
  <c r="B116" i="124" l="1"/>
  <c r="B90" i="124"/>
  <c r="B235" i="124"/>
  <c r="B26" i="124"/>
  <c r="B24" i="124"/>
  <c r="B114" i="124"/>
  <c r="B253" i="124"/>
  <c r="B245" i="124"/>
  <c r="B252" i="124"/>
  <c r="B251" i="124"/>
  <c r="W14" i="17" l="1"/>
  <c r="B20" i="22" l="1"/>
  <c r="B172" i="124" l="1"/>
  <c r="B175" i="124"/>
  <c r="B188" i="124"/>
  <c r="B190" i="124"/>
  <c r="B189" i="124"/>
  <c r="B191" i="124"/>
  <c r="B194" i="124"/>
  <c r="B196" i="124"/>
  <c r="B197" i="124"/>
  <c r="B198" i="124"/>
  <c r="B200" i="124"/>
  <c r="B201" i="124"/>
  <c r="B199" i="124"/>
  <c r="B202" i="124"/>
  <c r="B206" i="124"/>
  <c r="B208" i="124"/>
  <c r="B210" i="124"/>
  <c r="B211" i="124"/>
  <c r="B212" i="124"/>
  <c r="B214" i="124"/>
  <c r="B215" i="124"/>
  <c r="B217" i="124"/>
  <c r="B221" i="124"/>
  <c r="B222" i="124"/>
  <c r="B225" i="124"/>
  <c r="B227" i="124"/>
  <c r="B229" i="124"/>
  <c r="B228" i="124"/>
  <c r="B232" i="124"/>
  <c r="B237" i="124"/>
  <c r="B238" i="124"/>
  <c r="B240" i="124"/>
  <c r="B244" i="124"/>
  <c r="B246" i="124"/>
  <c r="B248" i="124"/>
  <c r="B250" i="124"/>
  <c r="B262" i="124"/>
  <c r="B263" i="124"/>
  <c r="B270" i="124"/>
  <c r="B233" i="124"/>
  <c r="B241" i="124"/>
  <c r="B185" i="124"/>
  <c r="B186" i="124"/>
  <c r="B187" i="124"/>
  <c r="B183" i="124"/>
  <c r="B145" i="124"/>
  <c r="B78" i="124"/>
  <c r="B61" i="124"/>
  <c r="B30" i="124"/>
  <c r="B34" i="124"/>
  <c r="B164" i="124"/>
  <c r="B209" i="124"/>
  <c r="B220" i="124"/>
  <c r="B259" i="124"/>
  <c r="B86" i="124"/>
  <c r="B174" i="124"/>
  <c r="B219" i="124"/>
  <c r="B230" i="124"/>
  <c r="B88" i="124"/>
  <c r="B22" i="124"/>
  <c r="B8" i="124"/>
  <c r="B9" i="124"/>
  <c r="B11" i="124"/>
  <c r="B16" i="124"/>
  <c r="B13" i="124"/>
  <c r="B15" i="124"/>
  <c r="B12" i="124"/>
  <c r="B25" i="124"/>
  <c r="B36" i="124"/>
  <c r="B39" i="124"/>
  <c r="B42" i="124"/>
  <c r="B43" i="124"/>
  <c r="B40" i="124"/>
  <c r="B45" i="124"/>
  <c r="B47" i="124"/>
  <c r="B48" i="124"/>
  <c r="B50" i="124"/>
  <c r="B53" i="124"/>
  <c r="B54" i="124"/>
  <c r="B55" i="124"/>
  <c r="B56" i="124"/>
  <c r="B57" i="124"/>
  <c r="B74" i="124"/>
  <c r="B75" i="124"/>
  <c r="B77" i="124"/>
  <c r="B80" i="124"/>
  <c r="B81" i="124"/>
  <c r="B87" i="124"/>
  <c r="B91" i="124"/>
  <c r="B92" i="124"/>
  <c r="B94" i="124"/>
  <c r="B95" i="124"/>
  <c r="B97" i="124"/>
  <c r="B98" i="124"/>
  <c r="B100" i="124"/>
  <c r="B101" i="124"/>
  <c r="B102" i="124"/>
  <c r="B103" i="124"/>
  <c r="B105" i="124"/>
  <c r="B106" i="124"/>
  <c r="B119" i="124"/>
  <c r="B120" i="124"/>
  <c r="B125" i="124"/>
  <c r="B126" i="124"/>
  <c r="B128" i="124"/>
  <c r="B130" i="124"/>
  <c r="B132" i="124"/>
  <c r="B133" i="124"/>
  <c r="B136" i="124"/>
  <c r="B134" i="124"/>
  <c r="B137" i="124"/>
  <c r="B138" i="124"/>
  <c r="B139" i="124"/>
  <c r="B142" i="124"/>
  <c r="B144" i="124"/>
  <c r="B146" i="124"/>
  <c r="B149" i="124"/>
  <c r="B147" i="124"/>
  <c r="B148" i="124"/>
  <c r="B150" i="124"/>
  <c r="B151" i="124"/>
  <c r="B154" i="124"/>
  <c r="B153" i="124"/>
  <c r="B157" i="124"/>
  <c r="B158" i="124"/>
  <c r="B161" i="124"/>
  <c r="B163" i="124"/>
  <c r="B165" i="124"/>
  <c r="B166" i="124"/>
  <c r="B168" i="124"/>
  <c r="B169"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2"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56" i="124"/>
  <c r="A157" i="124"/>
  <c r="A158" i="124"/>
  <c r="A161" i="124"/>
  <c r="A163" i="124"/>
  <c r="A164" i="124"/>
  <c r="A165" i="124"/>
  <c r="A166" i="124"/>
  <c r="A167" i="124"/>
  <c r="A168" i="124"/>
  <c r="A169" i="124"/>
  <c r="A172" i="124"/>
  <c r="A174" i="124"/>
  <c r="A175" i="124"/>
  <c r="A183" i="124"/>
  <c r="A185" i="124"/>
  <c r="A186" i="124"/>
  <c r="A187" i="124"/>
  <c r="A188" i="124"/>
  <c r="A190" i="124"/>
  <c r="A189" i="124"/>
  <c r="A191" i="124"/>
  <c r="A194" i="124"/>
  <c r="A196" i="124"/>
  <c r="A197" i="124"/>
  <c r="A198" i="124"/>
  <c r="A200" i="124"/>
  <c r="A201" i="124"/>
  <c r="A199" i="124"/>
  <c r="A202" i="124"/>
  <c r="A205" i="124"/>
  <c r="A153" i="124"/>
  <c r="A155" i="124"/>
  <c r="P71" i="74" l="1"/>
  <c r="R16" i="74" s="1"/>
  <c r="Y9" i="74"/>
  <c r="Y14" i="74" s="1"/>
  <c r="X12" i="74"/>
  <c r="X13" i="74"/>
  <c r="X11" i="74"/>
  <c r="A154"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1" i="124"/>
  <c r="P2" i="19"/>
  <c r="I4" i="117" s="1"/>
  <c r="I9" i="117" s="1"/>
  <c r="H19" i="117" l="1"/>
  <c r="H18" i="117"/>
  <c r="H16" i="117"/>
  <c r="H17" i="117"/>
  <c r="H25" i="117"/>
  <c r="H24" i="117"/>
  <c r="C9" i="117"/>
  <c r="C34" i="117"/>
  <c r="I8" i="117"/>
  <c r="C8" i="117"/>
  <c r="T11" i="17"/>
  <c r="T13" i="17" s="1"/>
  <c r="D4" i="157"/>
  <c r="X13" i="17"/>
  <c r="S11" i="17"/>
  <c r="V1" i="17" s="1"/>
  <c r="S14" i="19"/>
  <c r="U14" i="19" s="1"/>
  <c r="AI16" i="74"/>
  <c r="AI15" i="74"/>
  <c r="AI12" i="74"/>
  <c r="AI13" i="74"/>
  <c r="AI14" i="74"/>
  <c r="AI23" i="74"/>
  <c r="AI20" i="74"/>
  <c r="AI21" i="74"/>
  <c r="AI11" i="74"/>
  <c r="AI22" i="74"/>
  <c r="AJ9" i="74"/>
  <c r="P82" i="74"/>
  <c r="R27" i="74" s="1"/>
  <c r="AI19" i="74"/>
  <c r="AI18" i="74"/>
  <c r="AI17" i="74"/>
  <c r="I25" i="117" l="1"/>
  <c r="H20" i="117"/>
  <c r="R17" i="17"/>
  <c r="S13" i="17"/>
  <c r="C25" i="117"/>
  <c r="G13" i="117"/>
  <c r="I13" i="117"/>
  <c r="I18" i="117"/>
  <c r="I16" i="117"/>
  <c r="I19" i="117"/>
  <c r="I17" i="117"/>
  <c r="Y13" i="17"/>
  <c r="R19" i="17" s="1"/>
  <c r="T18" i="17"/>
  <c r="T12" i="17"/>
  <c r="T14" i="17" s="1"/>
  <c r="S12" i="17"/>
  <c r="S14" i="17" s="1"/>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C24" i="117" l="1"/>
  <c r="S15" i="17"/>
  <c r="S16" i="17" s="1"/>
  <c r="T15" i="17"/>
  <c r="T19" i="17"/>
  <c r="S19" i="17"/>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T16" i="17" l="1"/>
  <c r="B16" i="157"/>
  <c r="C16" i="157" s="1"/>
  <c r="D16" i="157" s="1"/>
  <c r="E16" i="157" s="1"/>
  <c r="B17" i="157"/>
  <c r="C17" i="157" s="1"/>
  <c r="D17" i="157" s="1"/>
  <c r="E17" i="157" s="1"/>
  <c r="E14" i="157"/>
  <c r="E13" i="157"/>
  <c r="F10" i="157"/>
  <c r="B11" i="157" s="1"/>
  <c r="B10" i="157"/>
  <c r="F11" i="157"/>
  <c r="E15" i="157"/>
  <c r="B12" i="22"/>
  <c r="B18" i="157" l="1"/>
  <c r="B12" i="157"/>
  <c r="F12" i="157"/>
  <c r="A150" i="124"/>
  <c r="C18" i="157" l="1"/>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48" i="124"/>
  <c r="C21" i="157" l="1"/>
  <c r="D21" i="157" s="1"/>
  <c r="E21" i="157" s="1"/>
  <c r="F21" i="157" s="1"/>
  <c r="G21" i="157" s="1"/>
  <c r="B22" i="157"/>
  <c r="A147" i="124"/>
  <c r="A149"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46" i="124"/>
  <c r="A15" i="124" l="1"/>
  <c r="A12" i="124"/>
  <c r="A22" i="124"/>
  <c r="A23" i="124"/>
  <c r="A24" i="124"/>
  <c r="A26" i="124"/>
  <c r="A25" i="124"/>
  <c r="A29" i="124"/>
  <c r="A30" i="124"/>
  <c r="A31" i="124"/>
  <c r="A33" i="124"/>
  <c r="A34" i="124"/>
  <c r="A36" i="124"/>
  <c r="A39" i="124"/>
  <c r="A42" i="124"/>
  <c r="A43" i="124"/>
  <c r="A40" i="124"/>
  <c r="A41" i="124"/>
  <c r="A44" i="124"/>
  <c r="A45" i="124"/>
  <c r="A47" i="124"/>
  <c r="A48" i="124"/>
  <c r="A50" i="124"/>
  <c r="A53" i="124"/>
  <c r="A54" i="124"/>
  <c r="A55" i="124"/>
  <c r="A56" i="124"/>
  <c r="A57" i="124"/>
  <c r="A58" i="124"/>
  <c r="A59" i="124"/>
  <c r="A60" i="124"/>
  <c r="A61" i="124"/>
  <c r="A64" i="124"/>
  <c r="A66" i="124"/>
  <c r="A65" i="124"/>
  <c r="A71" i="124"/>
  <c r="A69" i="124"/>
  <c r="A70" i="124"/>
  <c r="A72" i="124"/>
  <c r="A74" i="124"/>
  <c r="A75" i="124"/>
  <c r="A78" i="124"/>
  <c r="A80" i="124"/>
  <c r="A81" i="124"/>
  <c r="A82" i="124"/>
  <c r="A84" i="124"/>
  <c r="A86" i="124"/>
  <c r="A87" i="124"/>
  <c r="A88" i="124"/>
  <c r="A90" i="124"/>
  <c r="A91" i="124"/>
  <c r="A92" i="124"/>
  <c r="A94" i="124"/>
  <c r="A95" i="124"/>
  <c r="A97" i="124"/>
  <c r="A98" i="124"/>
  <c r="A100" i="124"/>
  <c r="A101" i="124"/>
  <c r="A102" i="124"/>
  <c r="A103" i="124"/>
  <c r="A105" i="124"/>
  <c r="A106" i="124"/>
  <c r="A108" i="124"/>
  <c r="A110" i="124"/>
  <c r="A111" i="124"/>
  <c r="A114" i="124"/>
  <c r="A116" i="124"/>
  <c r="A119" i="124"/>
  <c r="A120" i="124"/>
  <c r="A125" i="124"/>
  <c r="A126" i="124"/>
  <c r="A127" i="124"/>
  <c r="A130" i="124"/>
  <c r="A132" i="124"/>
  <c r="A133" i="124"/>
  <c r="A136" i="124"/>
  <c r="A134" i="124"/>
  <c r="A137" i="124"/>
  <c r="A138" i="124"/>
  <c r="A139" i="124"/>
  <c r="A142" i="124"/>
  <c r="A144" i="124"/>
  <c r="A145" i="124"/>
  <c r="A9" i="124"/>
  <c r="A11" i="124"/>
  <c r="A16" i="124"/>
  <c r="A13" i="124"/>
  <c r="S6" i="124" l="1"/>
  <c r="S7" i="124" s="1"/>
  <c r="C3" i="124"/>
  <c r="P9" i="99"/>
  <c r="S12" i="124" l="1"/>
  <c r="S16" i="124"/>
  <c r="S13" i="124"/>
  <c r="S18" i="124"/>
  <c r="S19" i="124"/>
  <c r="S17" i="124"/>
  <c r="S15" i="124"/>
  <c r="S11" i="124"/>
  <c r="S10" i="124"/>
  <c r="S9"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P41" i="138" l="1"/>
  <c r="AQ41" i="138"/>
  <c r="B20" i="17"/>
  <c r="BA31" i="138"/>
  <c r="T31" i="138" s="1"/>
  <c r="AK5" i="138"/>
  <c r="F14" i="98"/>
  <c r="J9" i="99" s="1"/>
  <c r="F13" i="98"/>
  <c r="E14" i="98"/>
  <c r="I9" i="99" s="1"/>
  <c r="E13" i="98"/>
  <c r="V31" i="138" l="1"/>
  <c r="Y31" i="138" s="1"/>
  <c r="E22" i="17"/>
  <c r="AR41" i="138"/>
  <c r="K41" i="138" s="1"/>
  <c r="BI31" i="138"/>
  <c r="BJ31" i="138" s="1"/>
  <c r="BK31" i="138" s="1"/>
  <c r="B22" i="17"/>
  <c r="BA20" i="138"/>
  <c r="J7" i="99"/>
  <c r="I7" i="99"/>
  <c r="H14" i="98"/>
  <c r="Q7" i="99"/>
  <c r="R7" i="99"/>
  <c r="R9" i="99"/>
  <c r="R6" i="99"/>
  <c r="R5" i="99"/>
  <c r="Q9" i="99"/>
  <c r="Q6" i="99"/>
  <c r="Q5" i="99"/>
  <c r="I7" i="98"/>
  <c r="S31" i="138" l="1"/>
  <c r="AB31" i="138" s="1"/>
  <c r="U31" i="138"/>
  <c r="AC31" i="138" s="1"/>
  <c r="BH31" i="138"/>
  <c r="Q31" i="138"/>
  <c r="I8" i="98"/>
  <c r="O2" i="99"/>
  <c r="M18" i="99" s="1"/>
  <c r="J7" i="98"/>
  <c r="J8" i="98" s="1"/>
  <c r="BB31" i="138" l="1"/>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X8" i="17"/>
  <c r="AX28" i="138"/>
  <c r="BE28" i="138"/>
  <c r="AW28" i="138"/>
  <c r="BD28" i="138"/>
  <c r="S8" i="138"/>
  <c r="BE27" i="138"/>
  <c r="BD27" i="138"/>
  <c r="U10" i="19"/>
  <c r="S39" i="19"/>
  <c r="U39" i="19"/>
  <c r="Q10" i="19"/>
  <c r="AG14" i="19" s="1"/>
  <c r="S36" i="19"/>
  <c r="S22" i="19"/>
  <c r="Q35" i="19"/>
  <c r="S35" i="19"/>
  <c r="M15" i="19" s="1"/>
  <c r="N12" i="98"/>
  <c r="E9" i="98" s="1"/>
  <c r="N19" i="98"/>
  <c r="AS10" i="138"/>
  <c r="BB7" i="138"/>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R21" i="17" l="1"/>
  <c r="T21" i="17"/>
  <c r="T22" i="17" s="1"/>
  <c r="S21" i="17"/>
  <c r="S22" i="17" s="1"/>
  <c r="B22" i="166"/>
  <c r="Q13" i="166"/>
  <c r="Q15" i="166"/>
  <c r="Q11" i="166"/>
  <c r="N6" i="166"/>
  <c r="I24" i="166"/>
  <c r="B7" i="166"/>
  <c r="Y8" i="17"/>
  <c r="R8" i="17"/>
  <c r="Y7" i="17"/>
  <c r="AD33" i="17"/>
  <c r="E24" i="17" s="1"/>
  <c r="T13" i="98"/>
  <c r="T12" i="98"/>
  <c r="Q13" i="98"/>
  <c r="Q12" i="98"/>
  <c r="Q17" i="98"/>
  <c r="Q19" i="98" s="1"/>
  <c r="BC6" i="138"/>
  <c r="BE6" i="138" s="1"/>
  <c r="AS20" i="138" s="1"/>
  <c r="BB6" i="138"/>
  <c r="BC5" i="138"/>
  <c r="BE5" i="138" s="1"/>
  <c r="AS19" i="138" s="1"/>
  <c r="BB5" i="138"/>
  <c r="AB13" i="138" s="1"/>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R6" i="140"/>
  <c r="M14" i="140" s="1"/>
  <c r="S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W10" i="138"/>
  <c r="AC13" i="138"/>
  <c r="Q26" i="19"/>
  <c r="F13" i="19" s="1"/>
  <c r="Z35" i="138"/>
  <c r="BG35" i="138" s="1"/>
  <c r="Z38" i="138"/>
  <c r="BG38" i="138" s="1"/>
  <c r="Z37" i="138"/>
  <c r="BG37" i="138" s="1"/>
  <c r="BF12" i="138"/>
  <c r="BG12" i="138" s="1"/>
  <c r="AA18" i="19"/>
  <c r="Z18" i="19" s="1"/>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1"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C26" i="19" s="1"/>
  <c r="B12" i="99" l="1"/>
  <c r="E4" i="98"/>
  <c r="AV19" i="138"/>
  <c r="B20" i="19"/>
  <c r="B19" i="19" s="1"/>
  <c r="AG13" i="19"/>
  <c r="AG15" i="19" s="1"/>
  <c r="I6" i="19" s="1"/>
  <c r="Y14" i="99"/>
  <c r="G60" i="98"/>
  <c r="K11" i="99"/>
  <c r="E60" i="98"/>
  <c r="I11" i="99"/>
  <c r="M21" i="99"/>
  <c r="Q20" i="98"/>
  <c r="AW19" i="138" l="1"/>
  <c r="AX19" i="138" s="1"/>
  <c r="AY19" i="138" s="1"/>
  <c r="T20" i="138" s="1"/>
  <c r="Q24" i="19"/>
  <c r="B23" i="22"/>
  <c r="U28" i="19"/>
  <c r="X32" i="19"/>
  <c r="X33" i="19" s="1"/>
  <c r="X34" i="19"/>
  <c r="V34" i="19"/>
  <c r="V32" i="19"/>
  <c r="V33" i="19" s="1"/>
  <c r="M22" i="99"/>
  <c r="C13" i="22"/>
  <c r="Q18" i="19"/>
  <c r="V35" i="19" l="1"/>
  <c r="H15" i="19"/>
  <c r="G38" i="19"/>
  <c r="G40" i="19" s="1"/>
  <c r="M23" i="99"/>
  <c r="B21" i="19"/>
  <c r="B25" i="22" s="1"/>
  <c r="S16" i="19" l="1"/>
  <c r="T16" i="19" s="1"/>
  <c r="Q16" i="19"/>
  <c r="H17" i="19" s="1"/>
  <c r="R16" i="19"/>
  <c r="I8" i="19"/>
  <c r="M8" i="19"/>
  <c r="M11" i="19" s="1"/>
  <c r="M13" i="19" s="1"/>
  <c r="M17" i="19" s="1"/>
  <c r="I16" i="19"/>
  <c r="I17" i="19"/>
  <c r="U5" i="19"/>
  <c r="W6" i="19" s="1"/>
  <c r="X6" i="19" s="1"/>
  <c r="E29" i="19"/>
  <c r="E30" i="19" s="1"/>
  <c r="I25" i="19" s="1"/>
  <c r="I19" i="19"/>
  <c r="C21" i="22"/>
  <c r="Q20" i="19"/>
  <c r="B18" i="19" s="1"/>
  <c r="M24" i="99"/>
  <c r="G11" i="98"/>
  <c r="G15" i="98" s="1"/>
  <c r="G16" i="98" s="1"/>
  <c r="F11" i="98"/>
  <c r="F15" i="98" s="1"/>
  <c r="F16" i="98" s="1"/>
  <c r="Z19" i="19" l="1"/>
  <c r="F26" i="19" s="1"/>
  <c r="X8" i="19"/>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BA27" i="138"/>
  <c r="T27" i="138" l="1"/>
  <c r="V27" i="138"/>
  <c r="BI27" i="138"/>
  <c r="BJ27" i="138" s="1"/>
  <c r="BK27" i="138" s="1"/>
  <c r="E28" i="127"/>
  <c r="F28" i="127"/>
  <c r="E29" i="127"/>
  <c r="F29" i="127"/>
  <c r="G28" i="127"/>
  <c r="H28" i="127"/>
  <c r="H29" i="127"/>
  <c r="G29" i="127"/>
  <c r="K15" i="140"/>
  <c r="M6" i="140"/>
  <c r="M15" i="140" s="1"/>
  <c r="AZ28" i="138"/>
  <c r="S27" i="138" l="1"/>
  <c r="AB27" i="138" s="1"/>
  <c r="U27" i="138"/>
  <c r="AC27" i="138" s="1"/>
  <c r="BH27" i="138"/>
  <c r="Q27" i="138"/>
  <c r="Y27" i="138"/>
  <c r="AJ9" i="138"/>
  <c r="D30" i="127"/>
  <c r="F30" i="127"/>
  <c r="H30" i="127"/>
  <c r="K16" i="140"/>
  <c r="L17" i="140" s="1"/>
  <c r="P19" i="140" s="1"/>
  <c r="M20" i="140"/>
  <c r="M16" i="140"/>
  <c r="Q23" i="140"/>
  <c r="T27" i="140" s="1"/>
  <c r="K32" i="140"/>
  <c r="M23" i="140"/>
  <c r="M32" i="140" s="1"/>
  <c r="M33" i="140" s="1"/>
  <c r="BC27" i="138" l="1"/>
  <c r="BG18" i="138"/>
  <c r="T13" i="138"/>
  <c r="AJ10" i="138"/>
  <c r="R10" i="138" s="1"/>
  <c r="Z27" i="138"/>
  <c r="BG27" i="138" s="1"/>
  <c r="R9" i="138"/>
  <c r="E31" i="127"/>
  <c r="BB27" i="138"/>
  <c r="M36" i="140"/>
  <c r="M37" i="140" s="1"/>
  <c r="M39" i="140" s="1"/>
  <c r="K17" i="140"/>
  <c r="P20" i="140" s="1"/>
  <c r="P21" i="140" s="1"/>
  <c r="K18" i="140" s="1"/>
  <c r="K33" i="140"/>
  <c r="K34" i="140" s="1"/>
  <c r="AA27" i="138" l="1"/>
  <c r="BI17" i="138"/>
  <c r="BA19" i="138"/>
  <c r="BB19" i="138" s="1"/>
  <c r="BC19" i="138" s="1"/>
  <c r="Z18" i="138" s="1"/>
  <c r="Z19" i="138" s="1"/>
  <c r="AX14" i="138"/>
  <c r="AJ11" i="138"/>
  <c r="BC41" i="138"/>
  <c r="L34" i="140"/>
  <c r="K37" i="140"/>
  <c r="K36" i="140"/>
  <c r="AX15" i="138" l="1"/>
  <c r="AV20" i="138"/>
  <c r="AW20" i="138" s="1"/>
  <c r="AX20" i="138" s="1"/>
  <c r="AZ20" i="138" s="1"/>
  <c r="V20" i="138" s="1"/>
  <c r="R11" i="138"/>
  <c r="AJ15" i="138"/>
  <c r="K39" i="140"/>
  <c r="R15" i="138" l="1"/>
  <c r="AJ16" i="138"/>
  <c r="R16" i="138" s="1"/>
  <c r="AA19" i="138"/>
  <c r="BA28" i="138"/>
  <c r="AJ19" i="138" l="1"/>
  <c r="R19" i="138" s="1"/>
  <c r="T28" i="138"/>
  <c r="V28" i="138"/>
  <c r="BI28" i="138"/>
  <c r="BJ28" i="138" s="1"/>
  <c r="BK28" i="138" s="1"/>
  <c r="U28" i="138" s="1"/>
  <c r="AC28" i="138" s="1"/>
  <c r="AJ27" i="138" l="1"/>
  <c r="R27" i="138" s="1"/>
  <c r="BH28" i="138"/>
  <c r="Q28" i="138"/>
  <c r="S28" i="138"/>
  <c r="AB28" i="138" s="1"/>
  <c r="BC28" i="138"/>
  <c r="Y28" i="138"/>
  <c r="Z28" i="138" l="1"/>
  <c r="BG28" i="138" s="1"/>
  <c r="BB28" i="138"/>
  <c r="AJ28" i="138"/>
  <c r="R28" i="138" s="1"/>
  <c r="BA29" i="138"/>
  <c r="BA34" i="138"/>
  <c r="G39" i="138"/>
  <c r="AA28" i="138" l="1"/>
  <c r="V34" i="138"/>
  <c r="T34" i="138"/>
  <c r="Y34" i="138" s="1"/>
  <c r="T29" i="138"/>
  <c r="V29" i="138"/>
  <c r="S8" i="124"/>
  <c r="S5" i="124" s="1"/>
  <c r="B15" i="138" s="1"/>
  <c r="BI29" i="138"/>
  <c r="BJ29" i="138" s="1"/>
  <c r="BK29" i="138" s="1"/>
  <c r="BI34" i="138"/>
  <c r="BJ34" i="138" s="1"/>
  <c r="BK34" i="138" s="1"/>
  <c r="V39" i="138" l="1"/>
  <c r="S34" i="138"/>
  <c r="AB34" i="138" s="1"/>
  <c r="U34" i="138"/>
  <c r="AC34" i="138" s="1"/>
  <c r="T39" i="138"/>
  <c r="Q34" i="138"/>
  <c r="BH34" i="138"/>
  <c r="Z34" i="138"/>
  <c r="BG34" i="138" s="1"/>
  <c r="BH29" i="138"/>
  <c r="S29" i="138"/>
  <c r="AB29" i="138" s="1"/>
  <c r="U29" i="138"/>
  <c r="AC29" i="138" s="1"/>
  <c r="Y29" i="138"/>
  <c r="Z29" i="138" s="1"/>
  <c r="BG29" i="138" s="1"/>
  <c r="Q29" i="138"/>
  <c r="BB34" i="138" l="1"/>
  <c r="U41" i="138"/>
  <c r="AC40" i="138"/>
  <c r="BC34" i="138"/>
  <c r="AA34" i="138"/>
  <c r="AA29" i="138"/>
  <c r="AB40" i="138"/>
  <c r="BC29" i="138"/>
  <c r="BB29" i="138"/>
  <c r="AJ29" i="138"/>
  <c r="S39" i="138"/>
  <c r="U39" i="138"/>
  <c r="BB39" i="138" l="1"/>
  <c r="S40" i="138" s="1"/>
  <c r="BC39" i="138"/>
  <c r="U40" i="138" s="1"/>
  <c r="AB41" i="138"/>
  <c r="R29" i="138"/>
  <c r="AJ30" i="138"/>
  <c r="AJ31" i="138" s="1"/>
  <c r="R31" i="138" s="1"/>
  <c r="R30" i="138" l="1"/>
  <c r="AJ32" i="138"/>
  <c r="R32" i="138" l="1"/>
  <c r="AJ33" i="138"/>
  <c r="R33" i="138" l="1"/>
  <c r="AJ34" i="138"/>
  <c r="R34" i="138" l="1"/>
  <c r="AJ35" i="138"/>
  <c r="R35" i="138" l="1"/>
  <c r="AJ36" i="138"/>
  <c r="R36" i="138" l="1"/>
  <c r="AJ37" i="138"/>
  <c r="I26" i="117"/>
  <c r="C27" i="117"/>
  <c r="I20" i="117"/>
  <c r="I24" i="117"/>
  <c r="R37" i="138" l="1"/>
  <c r="AJ38" i="138"/>
  <c r="R38" i="138" s="1"/>
  <c r="I27" i="117"/>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<sst xmlns="http://schemas.openxmlformats.org/spreadsheetml/2006/main" count="3164" uniqueCount="2022">
  <si>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</si>
  <si>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</si>
  <si>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</si>
  <si>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</si>
  <si>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</si>
  <si>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</si>
  <si>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</si>
  <si>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</si>
  <si>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</si>
  <si>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</si>
  <si>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</si>
  <si>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</si>
  <si>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</si>
  <si>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</si>
  <si>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</si>
  <si>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</si>
  <si>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</si>
  <si>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</si>
  <si>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</si>
  <si>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</si>
  <si>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</si>
  <si>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</si>
  <si>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</si>
  <si>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</si>
  <si>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</si>
  <si>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</si>
  <si>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</si>
  <si>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</si>
  <si>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</si>
  <si>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</si>
  <si>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</si>
  <si>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</si>
  <si>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</si>
  <si>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</si>
  <si>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</si>
  <si>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</si>
  <si>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</si>
  <si>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</si>
  <si>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</si>
  <si>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</si>
  <si>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</si>
  <si>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</si>
  <si>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</si>
  <si>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</si>
  <si>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</si>
  <si>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</si>
  <si>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</si>
  <si>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</si>
  <si>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</si>
  <si>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</si>
  <si>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</si>
  <si>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</si>
  <si>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</si>
  <si>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</si>
  <si>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</si>
  <si>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</si>
  <si>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</si>
  <si>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</si>
  <si>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</si>
  <si>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</si>
  <si>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</si>
  <si>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</si>
  <si>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</si>
  <si>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</si>
  <si>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</si>
  <si>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</si>
  <si>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</si>
  <si>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</si>
  <si>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</si>
  <si>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</si>
  <si>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</si>
  <si>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</si>
  <si>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</si>
  <si>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</si>
  <si>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</si>
  <si>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</si>
  <si>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</si>
  <si>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</si>
  <si>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</si>
  <si>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</si>
  <si>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</si>
  <si>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</si>
  <si>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</si>
  <si>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</si>
  <si>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</si>
  <si>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</si>
  <si>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</si>
  <si>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</si>
  <si>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</si>
  <si>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</si>
  <si>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</si>
  <si>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</si>
  <si>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</si>
  <si>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</si>
  <si>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</si>
  <si>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</si>
  <si>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</si>
  <si>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</si>
  <si>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</si>
  <si>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</si>
  <si>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</si>
  <si>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</si>
  <si>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</si>
  <si>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</si>
  <si>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</si>
  <si>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</si>
  <si>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</si>
  <si>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</si>
  <si>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</si>
  <si>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</si>
  <si>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</si>
  <si>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</si>
  <si>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</si>
  <si>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</si>
  <si>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</si>
  <si>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</si>
  <si>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</si>
  <si>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</si>
  <si>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</si>
  <si>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</si>
  <si>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</si>
  <si>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</si>
  <si>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</si>
  <si>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</si>
  <si>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</si>
  <si>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</si>
  <si>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</si>
  <si>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</si>
  <si>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</si>
  <si>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</si>
  <si>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</si>
  <si>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</si>
  <si>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</si>
  <si>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</si>
  <si>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</si>
  <si>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</si>
  <si>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</si>
  <si>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</si>
  <si>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</si>
  <si>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</si>
  <si>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</si>
  <si>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</si>
  <si>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</si>
  <si>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</si>
  <si>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</si>
  <si>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</si>
  <si>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</si>
  <si>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</si>
  <si>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</si>
  <si>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</si>
  <si>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</si>
  <si>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</si>
  <si>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</si>
  <si>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</si>
  <si>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</si>
  <si>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</si>
  <si>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</si>
  <si>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</si>
  <si>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</si>
  <si>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</si>
  <si>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</si>
  <si>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</si>
  <si>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</si>
  <si>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</si>
  <si>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</si>
  <si>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</si>
  <si>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</si>
  <si>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</si>
  <si>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</si>
  <si>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</si>
  <si>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</si>
  <si>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</si>
  <si>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</si>
  <si>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</si>
  <si>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</si>
  <si>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</si>
  <si>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</si>
  <si>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</si>
  <si>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</si>
  <si>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</si>
  <si>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</si>
  <si>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</si>
  <si>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</si>
  <si>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</si>
  <si>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</si>
  <si>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</si>
  <si>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</si>
  <si>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</si>
  <si>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</si>
  <si>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</si>
  <si>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</si>
  <si>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</si>
  <si>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</si>
  <si>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</si>
  <si>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</si>
  <si>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</si>
  <si>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</si>
  <si>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</si>
  <si>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</si>
  <si>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</si>
  <si>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</si>
  <si>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</si>
  <si>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</si>
  <si>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</si>
  <si>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</si>
  <si>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</si>
  <si>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</si>
  <si>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</si>
  <si>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Dynamik:</t>
  </si>
  <si>
    <t>Beamtenversorgung</t>
  </si>
  <si>
    <t>Anpassung</t>
  </si>
  <si>
    <t>Forderungshöhe</t>
  </si>
  <si>
    <t>Programm zur Unterstützung im Versorgungsausgleich</t>
  </si>
  <si>
    <t>Jörn Hauß</t>
  </si>
  <si>
    <t>Fachanwalt für Familienrecht</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</si>
  <si>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</si>
  <si>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</si>
  <si>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</si>
  <si>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</si>
  <si>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</si>
  <si>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</si>
  <si>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</si>
  <si>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</si>
  <si>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</si>
  <si>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</si>
  <si>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</si>
  <si>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</si>
  <si>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</si>
  <si>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</si>
  <si>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</si>
  <si>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</si>
  <si>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</si>
  <si>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</si>
  <si>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</si>
  <si>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</si>
  <si>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</si>
  <si>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</si>
  <si>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</si>
  <si>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</si>
  <si>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</si>
  <si>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</si>
  <si>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</si>
  <si>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</si>
  <si>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</si>
  <si>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</si>
  <si>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</si>
  <si>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</si>
  <si>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</si>
  <si>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</si>
  <si>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</si>
  <si>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</si>
  <si>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</si>
  <si>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</si>
  <si>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</si>
  <si>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</si>
  <si>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</si>
  <si>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</si>
  <si>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</si>
  <si>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</si>
  <si>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</si>
  <si>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</si>
  <si>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</si>
  <si>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</si>
  <si>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</si>
  <si>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</si>
  <si>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</si>
  <si>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</si>
  <si>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</si>
  <si>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</si>
  <si>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</si>
  <si>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</si>
  <si>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</si>
  <si>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</si>
  <si>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</si>
  <si>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</si>
  <si>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</si>
  <si>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</si>
  <si>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</si>
  <si>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</si>
  <si>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</si>
  <si>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</si>
  <si>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</si>
  <si>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</si>
  <si>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</si>
  <si>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</si>
  <si>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</si>
  <si>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</si>
  <si>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</si>
  <si>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</si>
  <si>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</si>
  <si>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</si>
  <si>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</si>
  <si>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</si>
  <si>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</si>
  <si>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</si>
  <si>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</si>
  <si>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</si>
  <si>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</si>
  <si>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</si>
  <si>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</si>
  <si>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</si>
  <si>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</si>
  <si>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</si>
  <si>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</si>
  <si>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</si>
  <si>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</si>
  <si>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</si>
  <si>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</si>
  <si>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</si>
  <si>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</si>
  <si>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</si>
  <si>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</si>
  <si>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</si>
  <si>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</si>
  <si>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</si>
  <si>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</si>
  <si>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</si>
  <si>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</si>
  <si>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</si>
  <si>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</si>
  <si>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</si>
  <si>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</si>
  <si>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</si>
  <si>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</si>
  <si>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</si>
  <si>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</si>
  <si>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</si>
  <si>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</si>
  <si>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</si>
  <si>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</si>
  <si>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</si>
  <si>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</si>
  <si>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</si>
  <si>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</si>
  <si>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</si>
  <si>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</si>
  <si>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</si>
  <si>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</si>
  <si>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</si>
  <si>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</si>
  <si>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</si>
  <si>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</si>
  <si>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</si>
  <si>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</si>
  <si>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</si>
  <si>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</si>
  <si>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</si>
  <si>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</si>
  <si>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</si>
  <si>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</si>
  <si>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</si>
  <si>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</si>
  <si>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</si>
  <si>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</si>
  <si>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</si>
  <si>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</si>
  <si>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</si>
  <si>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</si>
  <si>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</si>
  <si>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</si>
  <si>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</si>
  <si>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</si>
  <si>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</si>
  <si>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</si>
  <si>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</si>
  <si>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</si>
  <si>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</si>
  <si>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</si>
  <si>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</si>
  <si>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</si>
  <si>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</si>
  <si>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</si>
  <si>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</si>
  <si>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</si>
  <si>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</si>
  <si>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</si>
  <si>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</si>
  <si>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</si>
  <si>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</si>
  <si>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</si>
  <si>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</si>
  <si>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</si>
  <si>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</si>
  <si>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</si>
  <si>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</si>
  <si>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</si>
  <si>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</si>
  <si>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</si>
  <si>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</si>
  <si>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</si>
  <si>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</si>
  <si>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</si>
  <si>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</si>
  <si>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</si>
  <si>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</si>
  <si>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</si>
  <si>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</si>
  <si>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</si>
  <si>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</si>
  <si>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</si>
  <si>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</si>
  <si>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</si>
  <si>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</si>
  <si>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</si>
  <si>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</si>
  <si>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</si>
  <si>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</si>
  <si>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</si>
  <si>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</si>
  <si>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</si>
  <si>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</si>
  <si>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</si>
  <si>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</si>
  <si>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</si>
  <si>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</si>
  <si>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</si>
  <si>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</si>
  <si>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</si>
  <si>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</si>
  <si>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</si>
  <si>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</si>
  <si>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</si>
  <si>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</si>
  <si>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</si>
  <si>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</si>
  <si>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</si>
  <si>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</si>
  <si>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</si>
  <si>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</si>
  <si>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</si>
  <si>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</si>
  <si>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</si>
  <si>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</si>
  <si>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</si>
  <si>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</si>
  <si>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</si>
  <si>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</si>
  <si>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</si>
  <si>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</si>
  <si>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</si>
  <si>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</si>
  <si>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</si>
  <si>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</si>
  <si>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</si>
  <si>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</si>
  <si>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</si>
  <si>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</si>
  <si>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</si>
  <si>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</si>
  <si>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</si>
  <si>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</si>
  <si>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</si>
  <si>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</si>
  <si>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</si>
  <si>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</si>
  <si>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</si>
  <si>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</si>
  <si>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</si>
  <si>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</si>
  <si>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</si>
  <si>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</si>
  <si>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</si>
  <si>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</si>
  <si>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</si>
  <si>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</si>
  <si>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</si>
  <si>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</si>
  <si>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</si>
  <si>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</si>
  <si>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</si>
  <si>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</si>
  <si>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</si>
  <si>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</si>
  <si>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</si>
  <si>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</si>
  <si>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</si>
  <si>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</si>
  <si>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</si>
  <si>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</si>
  <si>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</si>
  <si>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</si>
  <si>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</si>
  <si>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</si>
  <si>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</si>
  <si>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</si>
  <si>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</si>
  <si>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</si>
  <si>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</si>
  <si>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</si>
  <si>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</si>
  <si>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</si>
  <si>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</si>
  <si>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</si>
  <si>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</si>
  <si>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</si>
  <si>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</si>
  <si>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</si>
  <si>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</si>
  <si>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</si>
  <si>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</si>
  <si>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</si>
  <si>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</si>
  <si>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</si>
  <si>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</si>
  <si>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</si>
  <si>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</si>
  <si>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</si>
  <si>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</si>
  <si>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</si>
  <si>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</si>
  <si>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</si>
  <si>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</si>
  <si>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</si>
  <si>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</si>
  <si>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</si>
  <si>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</si>
  <si>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</si>
  <si>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</si>
  <si>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</si>
  <si>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</si>
  <si>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</si>
  <si>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</si>
  <si>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</si>
  <si>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</si>
  <si>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</si>
  <si>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</si>
  <si>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</si>
  <si>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</si>
  <si>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</si>
  <si>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</si>
  <si>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</si>
  <si>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</si>
  <si>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</si>
  <si>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</si>
  <si>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</si>
  <si>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</si>
  <si>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</si>
  <si>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</si>
  <si>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</si>
  <si>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</si>
  <si>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</si>
  <si>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</si>
  <si>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</si>
  <si>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</si>
  <si>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</si>
  <si>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</si>
  <si>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</si>
  <si>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</si>
  <si>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</si>
  <si>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</si>
  <si>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</si>
  <si>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</si>
  <si>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</si>
  <si>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</si>
  <si>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</si>
  <si>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</si>
  <si>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</si>
  <si>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</si>
  <si>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</si>
  <si>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</si>
  <si>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</si>
  <si>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</si>
  <si>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</si>
  <si>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</si>
  <si>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</si>
  <si>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</si>
  <si>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</si>
  <si>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</si>
  <si>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</si>
  <si>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</si>
  <si>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</si>
  <si>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</si>
  <si>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</si>
  <si>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</si>
  <si>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</si>
  <si>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</si>
  <si>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</si>
  <si>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</si>
  <si>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</si>
  <si>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</si>
  <si>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</si>
  <si>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</si>
  <si>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</si>
  <si>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</si>
  <si>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</si>
  <si>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</si>
  <si>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</si>
  <si>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</si>
  <si>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</si>
  <si>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</si>
  <si>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</si>
  <si>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</si>
  <si>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</si>
  <si>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</si>
  <si>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</si>
  <si>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</si>
  <si>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</si>
  <si>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</si>
  <si>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</si>
  <si>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</si>
  <si>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</si>
  <si>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</si>
  <si>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</si>
  <si>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</si>
  <si>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</si>
  <si>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</si>
  <si>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</si>
  <si>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</si>
  <si>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</si>
  <si>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</si>
  <si>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</si>
  <si>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</si>
  <si>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</si>
  <si>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</si>
  <si>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</si>
  <si>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</si>
  <si>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</si>
  <si>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</si>
  <si>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</si>
  <si>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</si>
  <si>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</si>
  <si>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</si>
  <si>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</si>
  <si>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</si>
  <si>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</si>
  <si>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</si>
  <si>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</si>
  <si>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</si>
  <si>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</si>
  <si>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</si>
  <si>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</si>
  <si>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</si>
  <si>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</si>
  <si>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</si>
  <si>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</si>
  <si>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</si>
  <si>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</si>
  <si>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</si>
  <si>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</si>
  <si>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</si>
  <si>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</si>
  <si>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</si>
  <si>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</si>
  <si>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</si>
  <si>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</si>
  <si>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</si>
  <si>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</si>
  <si>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</si>
  <si>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</si>
  <si>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</si>
  <si>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</si>
  <si>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</si>
  <si>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</si>
  <si>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</si>
  <si>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</si>
  <si>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</si>
  <si>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</si>
  <si>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</si>
  <si>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</si>
  <si>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</si>
  <si>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</si>
  <si>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</si>
  <si>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</si>
  <si>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</si>
  <si>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</si>
  <si>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</si>
  <si>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</si>
  <si>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</si>
  <si>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</si>
  <si>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</si>
  <si>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</si>
  <si>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</si>
  <si>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</si>
  <si>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</si>
  <si>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</si>
  <si>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</si>
  <si>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</si>
  <si>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</si>
  <si>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</si>
  <si>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</si>
  <si>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</si>
  <si>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</si>
  <si>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</si>
  <si>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</si>
  <si>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</si>
  <si>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</si>
  <si>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</si>
  <si>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</si>
  <si>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</si>
  <si>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</si>
  <si>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</si>
  <si>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</si>
  <si>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</si>
  <si>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</si>
  <si>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</si>
  <si>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</si>
  <si>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</si>
  <si>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</si>
  <si>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</si>
  <si>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</si>
  <si>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</si>
  <si>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</si>
  <si>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</si>
  <si>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</si>
  <si>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</si>
  <si>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</si>
  <si>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</si>
  <si>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</si>
  <si>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</si>
  <si>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</si>
  <si>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</si>
  <si>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</si>
  <si>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</si>
  <si>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</si>
  <si>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</si>
  <si>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</si>
  <si>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</si>
  <si>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</si>
  <si>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</si>
  <si>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</si>
  <si>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</si>
  <si>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</si>
  <si>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</si>
  <si>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</si>
  <si>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</si>
  <si>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</si>
  <si>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</si>
  <si>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</si>
  <si>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</si>
  <si>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</si>
  <si>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</si>
  <si>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</si>
  <si>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</si>
  <si>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</si>
  <si>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</si>
  <si>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</si>
  <si>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</si>
  <si>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</si>
  <si>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</si>
  <si>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</si>
  <si>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</si>
  <si>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</si>
  <si>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</si>
  <si>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</si>
  <si>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</si>
  <si>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</si>
  <si>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</si>
  <si>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</si>
  <si>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</si>
  <si>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</si>
  <si>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</si>
  <si>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</si>
  <si>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</si>
  <si>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</si>
  <si>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</si>
  <si>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</si>
  <si>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</si>
  <si>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</si>
  <si>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</si>
  <si>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</si>
  <si>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</si>
  <si>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</si>
  <si>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</si>
  <si>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</si>
  <si>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</si>
  <si>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</si>
  <si>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</si>
  <si>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</si>
  <si>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</si>
  <si>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</si>
  <si>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</si>
  <si>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</si>
  <si>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</si>
  <si>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</si>
  <si>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</si>
  <si>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</si>
  <si>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</si>
  <si>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</si>
  <si>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</si>
  <si>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</si>
  <si>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</si>
  <si>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</si>
  <si>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</si>
  <si>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</si>
  <si>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</si>
  <si>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</si>
  <si>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</si>
  <si>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</si>
  <si>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</si>
  <si>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</si>
  <si>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</si>
  <si>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</si>
  <si>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</si>
  <si>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</si>
  <si>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</si>
  <si>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</si>
  <si>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</si>
  <si>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</si>
  <si>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</si>
  <si>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</si>
  <si>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</si>
  <si>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</si>
  <si>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</si>
  <si>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</si>
  <si>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</si>
  <si>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</si>
  <si>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</si>
  <si>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</si>
  <si>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</si>
  <si>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</si>
  <si>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</si>
  <si>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</si>
  <si>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</si>
  <si>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</si>
  <si>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</si>
  <si>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</si>
  <si>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</si>
  <si>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</si>
  <si>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</si>
  <si>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</si>
  <si>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</si>
  <si>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</si>
  <si>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</si>
  <si>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</si>
  <si>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</si>
  <si>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</si>
  <si>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</si>
  <si>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</si>
  <si>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</si>
  <si>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</si>
  <si>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</si>
  <si>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</si>
  <si>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</si>
  <si>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</si>
  <si>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</si>
  <si>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</si>
  <si>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</si>
  <si>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</si>
  <si>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</si>
  <si>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</si>
  <si>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</si>
  <si>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</si>
  <si>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</si>
  <si>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</si>
  <si>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</si>
  <si>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</si>
  <si>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</si>
  <si>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</si>
  <si>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</si>
  <si>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</si>
  <si>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</si>
  <si>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</si>
  <si>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</si>
  <si>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</si>
  <si>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</si>
  <si>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</si>
  <si>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</si>
  <si>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</si>
  <si>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</si>
  <si>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</si>
  <si>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</si>
  <si>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</si>
  <si>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</si>
  <si>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</si>
  <si>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</si>
  <si>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</si>
  <si>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</si>
  <si>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</si>
  <si>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</si>
  <si>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</si>
  <si>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</si>
  <si>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</si>
  <si>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</si>
  <si>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</si>
  <si>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</si>
  <si>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</si>
  <si>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</si>
  <si>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</si>
  <si>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</si>
  <si>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</si>
  <si>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</si>
  <si>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</si>
  <si>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</si>
  <si>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</si>
  <si>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</si>
  <si>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</si>
  <si>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</si>
  <si>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</si>
  <si>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</si>
  <si>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</si>
  <si>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</si>
  <si>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</si>
  <si>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</si>
  <si>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</si>
  <si>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</si>
  <si>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</si>
  <si>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</si>
  <si>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</si>
  <si>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</si>
  <si>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</si>
  <si>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</si>
  <si>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</si>
  <si>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</si>
  <si>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</si>
  <si>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</si>
  <si>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</si>
  <si>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</si>
  <si>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</si>
  <si>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</si>
  <si>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</si>
  <si>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</si>
  <si>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</si>
  <si>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</si>
  <si>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</si>
  <si>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</si>
  <si>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</si>
  <si>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</si>
  <si>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</si>
  <si>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</si>
  <si>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</si>
  <si>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</si>
  <si>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</si>
  <si>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</si>
  <si>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</si>
  <si>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</si>
  <si>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</si>
  <si>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</si>
  <si>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</si>
  <si>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</si>
  <si>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</si>
  <si>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</si>
  <si>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</si>
  <si>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</si>
  <si>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</si>
  <si>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</si>
  <si>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</si>
  <si>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</si>
  <si>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</si>
  <si>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</si>
  <si>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</si>
  <si>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</si>
  <si>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</si>
  <si>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</si>
  <si>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</si>
  <si>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</si>
  <si>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</si>
  <si>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</si>
  <si>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</si>
  <si>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</si>
  <si>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</si>
  <si>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</si>
  <si>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</si>
  <si>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</si>
  <si>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</si>
  <si>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</si>
  <si>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</si>
  <si>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</si>
  <si>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</si>
  <si>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</si>
  <si>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</si>
  <si>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</si>
  <si>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</si>
  <si>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</si>
  <si>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</si>
  <si>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</si>
  <si>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</si>
  <si>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</si>
  <si>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</si>
  <si>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</si>
  <si>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</si>
  <si>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</si>
  <si>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</si>
  <si>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</si>
  <si>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</si>
  <si>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</si>
  <si>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</si>
  <si>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</si>
  <si>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</si>
  <si>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</si>
  <si>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</si>
  <si>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</si>
  <si>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</si>
  <si>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</si>
  <si>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</si>
  <si>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</si>
  <si>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</si>
  <si>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</si>
  <si>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</si>
  <si>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</si>
  <si>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</si>
  <si>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</si>
  <si>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</si>
  <si>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</si>
  <si>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</si>
  <si>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</si>
  <si>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</si>
  <si>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</si>
  <si>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</si>
  <si>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</si>
  <si>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</si>
  <si>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</si>
  <si>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</si>
  <si>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</si>
  <si>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</si>
  <si>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</si>
  <si>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</si>
  <si>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</si>
  <si>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</si>
  <si>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</si>
  <si>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</si>
  <si>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</si>
  <si>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</si>
  <si>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</si>
  <si>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</si>
  <si>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</si>
  <si>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</si>
  <si>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</si>
  <si>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</si>
  <si>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</si>
  <si>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</si>
  <si>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</si>
  <si>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</si>
  <si>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</si>
  <si>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</si>
  <si>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</si>
  <si>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</si>
  <si>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</si>
  <si>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</si>
  <si>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</si>
  <si>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</si>
  <si>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</si>
  <si>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</si>
  <si>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</si>
  <si>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</si>
  <si>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</si>
  <si>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</si>
  <si>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</si>
  <si>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</si>
  <si>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</si>
  <si>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</si>
  <si>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</si>
  <si>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</si>
  <si>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</si>
  <si>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</si>
  <si>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</si>
  <si>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</si>
  <si>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</si>
  <si>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</si>
  <si>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</si>
  <si>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</si>
  <si>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</si>
  <si>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</si>
  <si>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</si>
  <si>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</si>
  <si>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</si>
  <si>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</si>
  <si>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</si>
  <si>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</si>
  <si>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</si>
  <si>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</si>
  <si>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</si>
  <si>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</si>
  <si>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</si>
  <si>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</si>
  <si>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</si>
  <si>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</si>
  <si>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</si>
  <si>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</si>
  <si>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</si>
  <si>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</si>
  <si>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</si>
  <si>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</si>
  <si>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</si>
  <si>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</si>
  <si>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</si>
  <si>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</si>
  <si>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</si>
  <si>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</si>
  <si>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</si>
  <si>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</si>
  <si>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</si>
  <si>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</si>
  <si>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</si>
  <si>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</si>
  <si>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</si>
  <si>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</si>
  <si>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</si>
  <si>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</si>
  <si>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</si>
  <si>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</si>
  <si>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</si>
  <si>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</si>
  <si>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</si>
  <si>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</si>
  <si>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</si>
  <si>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</si>
  <si>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</si>
  <si>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</si>
  <si>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</si>
  <si>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</si>
  <si>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</si>
  <si>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</si>
  <si>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</si>
  <si>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</si>
  <si>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</si>
  <si>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</si>
  <si>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</si>
  <si>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</si>
  <si>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</si>
  <si>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</si>
  <si>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</si>
  <si>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</si>
  <si>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</si>
  <si>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</si>
  <si>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</si>
  <si>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</si>
  <si>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</si>
  <si>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</si>
  <si>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</si>
  <si>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</si>
  <si>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</si>
  <si>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</si>
  <si>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</si>
  <si>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</si>
  <si>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</si>
  <si>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</si>
  <si>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</si>
  <si>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</si>
  <si>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</si>
  <si>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</si>
  <si>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</si>
  <si>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</si>
  <si>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</si>
  <si>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</si>
  <si>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</si>
  <si>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</si>
  <si>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</si>
  <si>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</si>
  <si>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</si>
  <si>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</si>
  <si>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</si>
  <si>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</si>
  <si>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</si>
  <si>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</si>
  <si>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</si>
  <si>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</si>
  <si>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</si>
  <si>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</si>
  <si>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</si>
  <si>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</si>
  <si>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</si>
  <si>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</si>
  <si>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</si>
  <si>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</si>
  <si>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</si>
  <si>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</si>
  <si>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</si>
  <si>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</si>
  <si>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</si>
  <si>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</si>
  <si>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</si>
  <si>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</si>
  <si>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</si>
  <si>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</si>
  <si>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</si>
  <si>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</si>
  <si>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</si>
  <si>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</si>
  <si>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</si>
  <si>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</si>
  <si>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</si>
  <si>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</si>
  <si>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</si>
  <si>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</si>
  <si>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</si>
  <si>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</si>
  <si>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</si>
  <si>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</si>
  <si>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</si>
  <si>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</si>
  <si>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</si>
  <si>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</si>
  <si>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</si>
  <si>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</si>
  <si>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</si>
  <si>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</si>
  <si>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</si>
  <si>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</si>
  <si>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</si>
  <si>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</si>
  <si>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</si>
  <si>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</si>
  <si>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</si>
  <si>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</si>
  <si>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</si>
  <si>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</si>
  <si>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</si>
  <si>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</si>
  <si>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</si>
  <si>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</si>
  <si>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Download über FamRB</t>
  </si>
  <si>
    <t>Download über Rechtsanwalt Hauß</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</si>
  <si>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</si>
  <si>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</si>
  <si>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</si>
  <si>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</si>
  <si>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</si>
  <si>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</si>
  <si>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</si>
  <si>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</si>
  <si>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</si>
  <si>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</si>
  <si>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</si>
  <si>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</si>
  <si>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</si>
  <si>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</si>
  <si>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</si>
  <si>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</si>
  <si>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</si>
  <si>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</si>
  <si>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</si>
  <si>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</si>
  <si>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</si>
  <si>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</si>
  <si>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</si>
  <si>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</si>
  <si>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</si>
  <si>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</si>
  <si>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</si>
  <si>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</si>
  <si>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</si>
  <si>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</si>
  <si>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</si>
  <si>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</si>
  <si>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</si>
  <si>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</si>
  <si>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</si>
  <si>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</si>
  <si>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</si>
  <si>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</si>
  <si>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</si>
  <si>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</si>
  <si>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</si>
  <si>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</si>
  <si>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</si>
  <si>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</si>
  <si>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</si>
  <si>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</si>
  <si>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</si>
  <si>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</si>
  <si>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</si>
  <si>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</si>
  <si>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</si>
  <si>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</si>
  <si>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</si>
  <si>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</si>
  <si>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</si>
  <si>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</si>
  <si>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</si>
  <si>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</si>
  <si>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</si>
  <si>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</si>
  <si>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</si>
  <si>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</si>
  <si>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</si>
  <si>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</si>
  <si>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</si>
  <si>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</si>
  <si>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</si>
  <si>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</si>
  <si>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</si>
  <si>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</si>
  <si>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</si>
  <si>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</si>
  <si>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</si>
  <si>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</si>
  <si>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</si>
  <si>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</si>
  <si>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</si>
  <si>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</si>
  <si>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</si>
  <si>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</si>
  <si>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</si>
  <si>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</si>
  <si>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</si>
  <si>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</si>
  <si>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</si>
  <si>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</si>
  <si>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</si>
  <si>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</si>
  <si>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</si>
  <si>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</si>
  <si>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</si>
  <si>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</si>
  <si>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</si>
  <si>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</si>
  <si>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</si>
  <si>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</si>
  <si>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</si>
  <si>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</si>
  <si>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</si>
  <si>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</si>
  <si>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</si>
  <si>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</si>
  <si>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</si>
  <si>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</si>
  <si>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</si>
  <si>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</si>
  <si>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</si>
  <si>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</si>
  <si>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</si>
  <si>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</si>
  <si>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</si>
  <si>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t xml:space="preserve">jeden 1. und 3. Mittwoch im Monat </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</si>
  <si>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</si>
  <si>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</si>
  <si>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</si>
  <si>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</si>
  <si>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</si>
  <si>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</si>
  <si>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</si>
  <si>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</si>
  <si>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</si>
  <si>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</si>
  <si>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</si>
  <si>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</si>
  <si>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</si>
  <si>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</si>
  <si>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</si>
  <si>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</si>
  <si>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</si>
  <si>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enthält in § 8 ein Bekenntnis zur Priorität der gerischtlichen Entscheidung, falls diese von TO abweicht.</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</si>
  <si>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</si>
  <si>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</si>
  <si>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</si>
  <si>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</si>
  <si>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</si>
  <si>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</si>
  <si>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</si>
  <si>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</si>
  <si>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</si>
  <si>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</si>
  <si>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</si>
  <si>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</si>
  <si>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</si>
  <si>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</si>
  <si>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</si>
  <si>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</si>
  <si>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</si>
  <si>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</si>
  <si>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</si>
  <si>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</si>
  <si>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</si>
  <si>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</si>
  <si>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</si>
  <si>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</si>
  <si>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</si>
  <si>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</si>
  <si>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</si>
  <si>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</si>
  <si>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</si>
  <si>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</si>
  <si>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</si>
  <si>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</si>
  <si>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</si>
  <si>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</si>
  <si>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</si>
  <si>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</si>
  <si>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</si>
  <si>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</si>
  <si>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</si>
  <si>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</si>
  <si>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</si>
  <si>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</si>
  <si>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</si>
  <si>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</si>
  <si>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</si>
  <si>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</si>
  <si>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</si>
  <si>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</si>
  <si>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</si>
  <si>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</si>
  <si>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</si>
  <si>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</si>
  <si>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</si>
  <si>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</si>
  <si>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</si>
  <si>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</si>
  <si>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</si>
  <si>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</si>
  <si>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</si>
  <si>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</si>
  <si>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</si>
  <si>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</si>
  <si>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</si>
  <si>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r>
      <rPr>
        <sz val="12"/>
        <color rgb="FFFF0000"/>
        <rFont val="Wingdings 2"/>
        <family val="1"/>
        <charset val="2"/>
      </rPr>
      <t>¢</t>
    </r>
    <r>
      <rPr>
        <b/>
        <sz val="12"/>
        <color theme="1"/>
        <rFont val="Arial"/>
        <family val="2"/>
      </rPr>
      <t>=</t>
    </r>
    <r>
      <rPr>
        <sz val="10"/>
        <color theme="1"/>
        <rFont val="Arial"/>
        <family val="2"/>
      </rPr>
      <t xml:space="preserve"> § 17 VersAusglG</t>
    </r>
    <r>
      <rPr>
        <sz val="10"/>
        <color theme="1"/>
        <rFont val="Arial"/>
        <family val="1"/>
        <charset val="2"/>
      </rPr>
      <t xml:space="preserve"> / § 14 VersAusglG</t>
    </r>
  </si>
  <si>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</si>
  <si>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</si>
  <si>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</si>
  <si>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</si>
  <si>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</si>
  <si>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</si>
  <si>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</si>
  <si>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</si>
  <si>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</si>
  <si>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</si>
  <si>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</si>
  <si>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</si>
  <si>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</si>
  <si>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</si>
  <si>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</si>
  <si>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</si>
  <si>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</si>
  <si>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</si>
  <si>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</si>
  <si>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</si>
  <si>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</si>
  <si>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</si>
  <si>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</si>
  <si>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</si>
  <si>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</si>
  <si>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</si>
  <si>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</si>
  <si>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</si>
  <si>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</si>
  <si>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</si>
  <si>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</si>
  <si>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</si>
  <si>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</si>
  <si>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</si>
  <si>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</si>
  <si>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</si>
  <si>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</si>
  <si>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</si>
  <si>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</si>
  <si>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</si>
  <si>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</si>
  <si>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</si>
  <si>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</si>
  <si>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</si>
  <si>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</si>
  <si>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</si>
  <si>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</si>
  <si>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</si>
  <si>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</si>
  <si>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</si>
  <si>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</si>
  <si>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</si>
  <si>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</si>
  <si>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</si>
  <si>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</si>
  <si>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</si>
  <si>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</si>
  <si>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</si>
  <si>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</si>
  <si>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</si>
  <si>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</si>
  <si>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</si>
  <si>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</si>
  <si>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</si>
  <si>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</si>
  <si>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</si>
  <si>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</si>
  <si>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</si>
  <si>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</si>
  <si>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</si>
  <si>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</si>
  <si>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</si>
  <si>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</si>
  <si>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</si>
  <si>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</si>
  <si>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</si>
  <si>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</si>
  <si>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</si>
  <si>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</si>
  <si>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</si>
  <si>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</si>
  <si>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</si>
  <si>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</si>
  <si>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</si>
  <si>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</si>
  <si>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</si>
  <si>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</si>
  <si>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</si>
  <si>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</si>
  <si>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</si>
  <si>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</si>
  <si>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</si>
  <si>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</si>
  <si>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</si>
  <si>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</si>
  <si>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</si>
  <si>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</si>
  <si>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</si>
  <si>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</si>
  <si>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</si>
  <si>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</si>
  <si>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</si>
  <si>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</si>
  <si>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</si>
  <si>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</si>
  <si>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</si>
  <si>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</si>
  <si>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14 I Nr. 2 und § 18  VersAusglG</t>
    </r>
  </si>
  <si>
    <t>Name, Vorname d. Ehemannes:</t>
  </si>
  <si>
    <t>Name, Vorname Ehefrau:</t>
  </si>
  <si>
    <t xml:space="preserve">  M a n n</t>
  </si>
  <si>
    <t xml:space="preserve">  F r a u</t>
  </si>
  <si>
    <t>Barwert:</t>
  </si>
  <si>
    <t>alternat. einheitl. ReZins:</t>
  </si>
  <si>
    <t>Renten- bzw. Barwertsumme (kein KoKa!) EzE:</t>
  </si>
  <si>
    <t>Renten- und Barwertsummen aller Versorgungen:</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</si>
  <si>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</si>
  <si>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</si>
  <si>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</si>
  <si>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</si>
  <si>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</si>
  <si>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</si>
  <si>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</si>
  <si>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</si>
  <si>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</si>
  <si>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</si>
  <si>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</si>
  <si>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</si>
  <si>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</si>
  <si>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</si>
  <si>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</si>
  <si>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</si>
  <si>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</si>
  <si>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</si>
  <si>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</si>
  <si>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</si>
  <si>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</si>
  <si>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</si>
  <si>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</si>
  <si>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</si>
  <si>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</si>
  <si>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</si>
  <si>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</si>
  <si>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</si>
  <si>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</si>
  <si>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</si>
  <si>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</si>
  <si>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</si>
  <si>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</si>
  <si>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</si>
  <si>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</si>
  <si>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</si>
  <si>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</si>
  <si>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</si>
  <si>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</si>
  <si>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</si>
  <si>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</si>
  <si>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</si>
  <si>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</si>
  <si>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</si>
  <si>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</si>
  <si>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</si>
  <si>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</si>
  <si>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</si>
  <si>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</si>
  <si>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</si>
  <si>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</si>
  <si>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</si>
  <si>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</si>
  <si>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</si>
  <si>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</si>
  <si>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</si>
  <si>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</si>
  <si>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</si>
  <si>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</si>
  <si>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</si>
  <si>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</si>
  <si>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</si>
  <si>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</si>
  <si>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</si>
  <si>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</si>
  <si>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</si>
  <si>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</si>
  <si>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</si>
  <si>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</si>
  <si>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</si>
  <si>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</si>
  <si>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</si>
  <si>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</si>
  <si>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</si>
  <si>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</si>
  <si>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</si>
  <si>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</si>
  <si>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</si>
  <si>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</si>
  <si>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</si>
  <si>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</si>
  <si>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</si>
  <si>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</si>
  <si>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</si>
  <si>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</si>
  <si>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</si>
  <si>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</si>
  <si>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</si>
  <si>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</si>
  <si>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</si>
  <si>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</si>
  <si>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</si>
  <si>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</si>
  <si>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</si>
  <si>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</si>
  <si>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</si>
  <si>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</si>
  <si>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</si>
  <si>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</si>
  <si>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</si>
  <si>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</si>
  <si>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</si>
  <si>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</si>
  <si>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</si>
  <si>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</si>
  <si>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</si>
  <si>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</si>
  <si>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</si>
  <si>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</si>
  <si>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</si>
  <si>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</si>
  <si>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</si>
  <si>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</si>
  <si>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</si>
  <si>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</si>
  <si>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</si>
  <si>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</si>
  <si>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</si>
  <si>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</si>
  <si>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</si>
  <si>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</si>
  <si>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</si>
  <si>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</si>
  <si>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</si>
  <si>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</si>
  <si>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</si>
  <si>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</si>
  <si>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</si>
  <si>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</si>
  <si>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</si>
  <si>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</si>
  <si>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</si>
  <si>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</si>
  <si>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</si>
  <si>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</si>
  <si>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</si>
  <si>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</si>
  <si>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</si>
  <si>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</si>
  <si>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</si>
  <si>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</si>
  <si>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</si>
  <si>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</si>
  <si>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</si>
  <si>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</si>
  <si>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</si>
  <si>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</si>
  <si>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</si>
  <si>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</si>
  <si>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</si>
  <si>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</si>
  <si>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</si>
  <si>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</si>
  <si>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</si>
  <si>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</si>
  <si>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</si>
  <si>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</si>
  <si>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</si>
  <si>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</si>
  <si>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</si>
  <si>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</si>
  <si>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</si>
  <si>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</si>
  <si>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</si>
  <si>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</si>
  <si>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</si>
  <si>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</si>
  <si>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</si>
  <si>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</si>
  <si>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</si>
  <si>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</si>
  <si>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</si>
  <si>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</si>
  <si>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</si>
  <si>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</si>
  <si>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</si>
  <si>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</si>
  <si>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</si>
  <si>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</si>
  <si>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</si>
  <si>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</si>
  <si>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</si>
  <si>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</si>
  <si>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</si>
  <si>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</si>
  <si>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</si>
  <si>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</si>
  <si>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</si>
  <si>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</si>
  <si>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</si>
  <si>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</si>
  <si>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</si>
  <si>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</si>
  <si>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</si>
  <si>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</si>
  <si>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</si>
  <si>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</si>
  <si>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</si>
  <si>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</si>
  <si>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</si>
  <si>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</si>
  <si>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</si>
  <si>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</si>
  <si>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</si>
  <si>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</si>
  <si>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</si>
  <si>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</si>
  <si>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</si>
  <si>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</si>
  <si>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</si>
  <si>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</si>
  <si>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</si>
  <si>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</si>
  <si>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</si>
  <si>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</si>
  <si>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</si>
  <si>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</si>
  <si>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</si>
  <si>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</si>
  <si>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</si>
  <si>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</si>
  <si>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</si>
  <si>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</si>
  <si>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</si>
  <si>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</si>
  <si>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</si>
  <si>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</si>
  <si>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</si>
  <si>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</si>
  <si>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</si>
  <si>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</si>
  <si>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</si>
  <si>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</si>
  <si>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</si>
  <si>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</si>
  <si>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</si>
  <si>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</si>
  <si>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</si>
  <si>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</si>
  <si>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</si>
  <si>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</si>
  <si>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</si>
  <si>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</si>
  <si>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</si>
  <si>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</si>
  <si>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</si>
  <si>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</si>
  <si>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</si>
  <si>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</si>
  <si>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</si>
  <si>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</si>
  <si>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</si>
  <si>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</si>
  <si>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</si>
  <si>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</si>
  <si>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</si>
  <si>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</si>
  <si>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</si>
  <si>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</si>
  <si>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</si>
  <si>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</si>
  <si>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</si>
  <si>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</si>
  <si>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</si>
  <si>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</si>
  <si>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</si>
  <si>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</si>
  <si>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</si>
  <si>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</si>
  <si>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</si>
  <si>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</si>
  <si>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</si>
  <si>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</si>
  <si>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</si>
  <si>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</si>
  <si>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</si>
  <si>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</si>
  <si>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</si>
  <si>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</si>
  <si>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</si>
  <si>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</si>
  <si>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</si>
  <si>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</si>
  <si>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</si>
  <si>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</si>
  <si>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</si>
  <si>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</si>
  <si>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</si>
  <si>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</si>
  <si>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</si>
  <si>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</si>
  <si>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</si>
  <si>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</si>
  <si>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</si>
  <si>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</si>
  <si>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</si>
  <si>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</si>
  <si>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</si>
  <si>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</si>
  <si>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</si>
  <si>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</si>
  <si>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</si>
  <si>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</si>
  <si>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</si>
  <si>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</si>
  <si>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</si>
  <si>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</si>
  <si>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</si>
  <si>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</si>
  <si>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</si>
  <si>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</si>
  <si>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</si>
  <si>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</si>
  <si>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</si>
  <si>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</si>
  <si>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</si>
  <si>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</si>
  <si>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</si>
  <si>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</si>
  <si>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</si>
  <si>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</si>
  <si>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</si>
  <si>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</si>
  <si>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</si>
  <si>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</si>
  <si>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</si>
  <si>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</si>
  <si>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</si>
  <si>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</si>
  <si>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</si>
  <si>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</si>
  <si>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</si>
  <si>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</si>
  <si>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</si>
  <si>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</si>
  <si>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</si>
  <si>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</si>
  <si>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</si>
  <si>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</si>
  <si>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</si>
  <si>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</si>
  <si>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</si>
  <si>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</si>
  <si>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</si>
  <si>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</si>
  <si>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</si>
  <si>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</si>
  <si>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</si>
  <si>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</si>
  <si>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</si>
  <si>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</si>
  <si>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</si>
  <si>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</si>
  <si>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</si>
  <si>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</si>
  <si>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</si>
  <si>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</si>
  <si>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</si>
  <si>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</si>
  <si>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</si>
  <si>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</si>
  <si>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</si>
  <si>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</si>
  <si>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</si>
  <si>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</si>
  <si>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</si>
  <si>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</si>
  <si>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</si>
  <si>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</si>
  <si>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</si>
  <si>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</si>
  <si>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</si>
  <si>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</si>
  <si>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</si>
  <si>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Nach</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</si>
  <si>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</si>
  <si>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</si>
  <si>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</si>
  <si>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</si>
  <si>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</si>
  <si>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</si>
  <si>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</si>
  <si>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</si>
  <si>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</si>
  <si>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</si>
  <si>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</si>
  <si>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</si>
  <si>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</si>
  <si>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</si>
  <si>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</si>
  <si>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</si>
  <si>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</si>
  <si>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</si>
  <si>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</si>
  <si>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</si>
  <si>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</si>
  <si>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</si>
  <si>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</si>
  <si>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</si>
  <si>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</si>
  <si>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</si>
  <si>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</si>
  <si>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</si>
  <si>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</si>
  <si>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</si>
  <si>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</si>
  <si>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</si>
  <si>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</si>
  <si>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</si>
  <si>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</si>
  <si>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</si>
  <si>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</si>
  <si>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</si>
  <si>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</si>
  <si>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Versorgungsanstalt Kulturorchester</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</si>
  <si>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</si>
  <si>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</si>
  <si>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</si>
  <si>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</si>
  <si>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</si>
  <si>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</si>
  <si>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</si>
  <si>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</si>
  <si>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</si>
  <si>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</si>
  <si>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</si>
  <si>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</si>
  <si>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</si>
  <si>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</si>
  <si>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</si>
  <si>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</si>
  <si>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</si>
  <si>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</si>
  <si>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</si>
  <si>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</si>
  <si>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</si>
  <si>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</si>
  <si>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</si>
  <si>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</si>
  <si>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</si>
  <si>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t>11. Versorgungserwerb aus Barwert (BW)
der b &amp; p Versorgungen in DRV</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</si>
  <si>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</si>
  <si>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</si>
  <si>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</si>
  <si>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</si>
  <si>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</si>
  <si>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</si>
  <si>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</si>
  <si>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</si>
  <si>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1974, 3%,0,67</t>
  </si>
  <si>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</si>
  <si>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</si>
  <si>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</si>
  <si>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</si>
  <si>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</si>
  <si>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</si>
  <si>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</si>
  <si>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</si>
  <si>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</si>
  <si>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</si>
  <si>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</si>
  <si>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</si>
  <si>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</si>
  <si>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</si>
  <si>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</si>
  <si>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</si>
  <si>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</si>
  <si>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</si>
  <si>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</si>
  <si>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</si>
  <si>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</si>
  <si>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</si>
  <si>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13. Summe erwartbarer Rentenzahlungen: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</si>
  <si>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</si>
  <si>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</si>
  <si>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</si>
  <si>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</si>
  <si>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</si>
  <si>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</si>
  <si>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</si>
  <si>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</si>
  <si>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</si>
  <si>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</si>
  <si>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</si>
  <si>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</si>
  <si>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</si>
  <si>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</si>
  <si>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</si>
  <si>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</si>
  <si>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</si>
  <si>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</si>
  <si>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</si>
  <si>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</si>
  <si>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</si>
  <si>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</si>
  <si>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</si>
  <si>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</si>
  <si>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</si>
  <si>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XY-AG</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</si>
  <si>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</si>
  <si>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</si>
  <si>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</si>
  <si>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</si>
  <si>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</si>
  <si>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</si>
  <si>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</si>
  <si>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</si>
  <si>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Versorgungsausgleich 2025</t>
  </si>
  <si>
    <t>ab 1.1.2025</t>
  </si>
  <si>
    <t>Neue Version des Programms hier downloaden (klicken)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</si>
</sst>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s>
  <fonts count="28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theme="9" tint="0.59999389629810485"/>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1">
    <xf numFmtId="0" fontId="0" fillId="0" borderId="0"/>
    <xf numFmtId="166" fontId="78" fillId="0" borderId="0" applyFont="0" applyFill="0" applyBorder="0" applyAlignment="0" applyProtection="0"/>
    <xf numFmtId="169" fontId="54" fillId="0" borderId="0" applyNumberFormat="0" applyFill="0" applyBorder="0" applyAlignment="0" applyProtection="0">
      <alignment vertical="top"/>
      <protection locked="0"/>
    </xf>
    <xf numFmtId="9" fontId="67" fillId="0" borderId="0" applyFont="0" applyFill="0" applyBorder="0" applyAlignment="0" applyProtection="0"/>
    <xf numFmtId="0" fontId="92" fillId="0" borderId="0"/>
    <xf numFmtId="0" fontId="92" fillId="0" borderId="0"/>
    <xf numFmtId="169" fontId="49" fillId="0" borderId="0"/>
    <xf numFmtId="169" fontId="49" fillId="0" borderId="0"/>
    <xf numFmtId="166" fontId="67" fillId="0" borderId="0" applyFont="0" applyFill="0" applyBorder="0" applyAlignment="0" applyProtection="0"/>
    <xf numFmtId="0" fontId="45" fillId="0" borderId="0"/>
    <xf numFmtId="0" fontId="49" fillId="0" borderId="0"/>
    <xf numFmtId="0" fontId="43" fillId="0" borderId="0"/>
    <xf numFmtId="0" fontId="117" fillId="0" borderId="0"/>
    <xf numFmtId="0" fontId="42" fillId="0" borderId="0"/>
    <xf numFmtId="0" fontId="41" fillId="0" borderId="0"/>
    <xf numFmtId="0" fontId="40" fillId="0" borderId="0"/>
    <xf numFmtId="0" fontId="39" fillId="0" borderId="0"/>
    <xf numFmtId="185" fontId="20" fillId="0" borderId="21" applyFont="0" applyBorder="0">
      <alignment horizontal="center" vertical="center"/>
      <protection locked="0"/>
    </xf>
    <xf numFmtId="178" fontId="194" fillId="0" borderId="2" applyBorder="0">
      <alignment horizontal="center" vertical="center"/>
      <protection locked="0"/>
    </xf>
    <xf numFmtId="178" fontId="194" fillId="0" borderId="2" applyBorder="0">
      <alignment horizontal="center" vertical="center"/>
      <protection hidden="1"/>
    </xf>
    <xf numFmtId="164" fontId="90" fillId="0" borderId="0" applyFont="0" applyFill="0" applyBorder="0" applyAlignment="0" applyProtection="0"/>
    <xf numFmtId="0" fontId="7" fillId="0" borderId="0"/>
    <xf numFmtId="0" fontId="49" fillId="0" borderId="0"/>
    <xf numFmtId="0" fontId="49" fillId="0" borderId="0"/>
    <xf numFmtId="0" fontId="93" fillId="0" borderId="0"/>
    <xf numFmtId="0" fontId="49" fillId="0" borderId="0"/>
    <xf numFmtId="0" fontId="278" fillId="0" borderId="0" applyNumberFormat="0" applyFill="0" applyBorder="0" applyAlignment="0" applyProtection="0"/>
    <xf numFmtId="0" fontId="49" fillId="0" borderId="0"/>
    <xf numFmtId="0" fontId="278" fillId="0" borderId="0" applyNumberFormat="0" applyFill="0" applyBorder="0" applyAlignment="0" applyProtection="0"/>
    <xf numFmtId="0" fontId="93" fillId="0" borderId="0"/>
    <xf numFmtId="0" fontId="93" fillId="0" borderId="0"/>
  </cellStyleXfs>
  <cellXfs count="3973">
    <xf numFmtId="0" fontId="0" fillId="0" borderId="0" xfId="0"/>
    <xf numFmtId="168" fontId="0" fillId="0" borderId="2" xfId="0" applyNumberFormat="1" applyBorder="1" applyAlignment="1">
      <alignment horizontal="center"/>
    </xf>
    <xf numFmtId="0" fontId="70" fillId="0" borderId="0" xfId="0" applyFont="1"/>
    <xf numFmtId="0" fontId="0" fillId="0" borderId="2" xfId="0" applyBorder="1"/>
    <xf numFmtId="0" fontId="0" fillId="0" borderId="0" xfId="0" applyAlignment="1">
      <alignment horizontal="center"/>
    </xf>
    <xf numFmtId="0" fontId="54"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71" fillId="0" borderId="4" xfId="0" applyFont="1" applyBorder="1" applyProtection="1">
      <protection hidden="1"/>
    </xf>
    <xf numFmtId="2" fontId="0" fillId="0" borderId="3" xfId="0" applyNumberFormat="1" applyBorder="1" applyAlignment="1" applyProtection="1">
      <alignment horizontal="center"/>
      <protection hidden="1"/>
    </xf>
    <xf numFmtId="10" fontId="67" fillId="0" borderId="3" xfId="3" applyNumberFormat="1" applyBorder="1" applyAlignment="1" applyProtection="1">
      <alignment horizontal="center"/>
      <protection hidden="1"/>
    </xf>
    <xf numFmtId="2" fontId="67" fillId="0" borderId="3" xfId="3" applyNumberFormat="1" applyBorder="1" applyAlignment="1" applyProtection="1">
      <alignment horizontal="center"/>
      <protection hidden="1"/>
    </xf>
    <xf numFmtId="10" fontId="67"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67"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68" fillId="4" borderId="0" xfId="0" applyFont="1" applyFill="1"/>
    <xf numFmtId="0" fontId="68" fillId="4" borderId="0" xfId="0" applyFont="1" applyFill="1" applyAlignment="1">
      <alignment vertical="center"/>
    </xf>
    <xf numFmtId="165" fontId="68" fillId="4" borderId="0" xfId="0" applyNumberFormat="1" applyFont="1" applyFill="1"/>
    <xf numFmtId="0" fontId="54"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73"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68"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49"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93" fillId="0" borderId="35" xfId="0" applyNumberFormat="1" applyFont="1" applyBorder="1" applyAlignment="1" applyProtection="1">
      <alignment horizontal="center"/>
      <protection locked="0"/>
    </xf>
    <xf numFmtId="2" fontId="93" fillId="0" borderId="3" xfId="0" applyNumberFormat="1" applyFont="1" applyBorder="1" applyAlignment="1" applyProtection="1">
      <alignment horizontal="center"/>
      <protection locked="0"/>
    </xf>
    <xf numFmtId="0" fontId="0" fillId="0" borderId="2" xfId="0" applyBorder="1" applyAlignment="1">
      <alignment horizontal="center"/>
    </xf>
    <xf numFmtId="0" fontId="54" fillId="4" borderId="0" xfId="2" applyNumberFormat="1" applyFill="1" applyAlignment="1" applyProtection="1">
      <alignment horizontal="center" vertical="center"/>
      <protection hidden="1"/>
    </xf>
    <xf numFmtId="0" fontId="93" fillId="3" borderId="0" xfId="0" applyFont="1" applyFill="1" applyAlignment="1">
      <alignment horizontal="center" vertical="center"/>
    </xf>
    <xf numFmtId="0" fontId="46" fillId="4" borderId="0" xfId="0" applyFont="1" applyFill="1" applyAlignment="1" applyProtection="1">
      <alignment horizontal="center" vertical="center" wrapText="1"/>
      <protection hidden="1"/>
    </xf>
    <xf numFmtId="0" fontId="100" fillId="3" borderId="0" xfId="0" applyFont="1" applyFill="1" applyProtection="1">
      <protection hidden="1"/>
    </xf>
    <xf numFmtId="0" fontId="103" fillId="3" borderId="0" xfId="0" applyFont="1" applyFill="1"/>
    <xf numFmtId="180" fontId="77" fillId="2" borderId="36" xfId="8" applyNumberFormat="1" applyFont="1" applyFill="1" applyBorder="1" applyAlignment="1" applyProtection="1">
      <alignment horizontal="center" vertical="center"/>
      <protection locked="0"/>
    </xf>
    <xf numFmtId="10" fontId="77"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70" fillId="0" borderId="0" xfId="0" applyNumberFormat="1" applyFont="1"/>
    <xf numFmtId="14" fontId="49" fillId="0" borderId="37" xfId="0" applyNumberFormat="1" applyFont="1" applyBorder="1" applyAlignment="1" applyProtection="1">
      <alignment horizontal="center" vertical="center"/>
      <protection locked="0"/>
    </xf>
    <xf numFmtId="14" fontId="93" fillId="0" borderId="26" xfId="0" applyNumberFormat="1" applyFont="1" applyBorder="1" applyAlignment="1" applyProtection="1">
      <alignment horizontal="center" vertical="center"/>
      <protection locked="0"/>
    </xf>
    <xf numFmtId="14" fontId="93"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96"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79" fillId="8" borderId="65" xfId="0" applyFont="1" applyFill="1" applyBorder="1" applyAlignment="1" applyProtection="1">
      <alignment vertical="center"/>
      <protection locked="0"/>
    </xf>
    <xf numFmtId="0" fontId="0" fillId="0" borderId="0" xfId="0" applyAlignment="1">
      <alignment vertical="center"/>
    </xf>
    <xf numFmtId="172" fontId="44" fillId="0" borderId="0" xfId="0" applyNumberFormat="1" applyFont="1"/>
    <xf numFmtId="1" fontId="0" fillId="0" borderId="2" xfId="0" applyNumberFormat="1" applyBorder="1" applyAlignment="1">
      <alignment horizontal="center"/>
    </xf>
    <xf numFmtId="169" fontId="52" fillId="0" borderId="2" xfId="0" applyNumberFormat="1" applyFont="1" applyBorder="1" applyAlignment="1">
      <alignment horizontal="center" vertical="center" wrapText="1"/>
    </xf>
    <xf numFmtId="10" fontId="77"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09"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85" fillId="4" borderId="0" xfId="0" applyFont="1" applyFill="1" applyAlignment="1" applyProtection="1">
      <alignment horizontal="center" vertical="center" wrapText="1"/>
      <protection hidden="1"/>
    </xf>
    <xf numFmtId="0" fontId="54" fillId="4" borderId="0" xfId="2" applyNumberFormat="1" applyFill="1" applyBorder="1" applyAlignment="1" applyProtection="1">
      <alignment horizontal="center" vertical="center"/>
      <protection hidden="1"/>
    </xf>
    <xf numFmtId="0" fontId="93" fillId="4" borderId="0" xfId="2" applyNumberFormat="1" applyFont="1" applyFill="1" applyBorder="1" applyAlignment="1" applyProtection="1">
      <alignment horizontal="center" vertical="center" wrapText="1"/>
      <protection hidden="1"/>
    </xf>
    <xf numFmtId="0" fontId="93"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165" fontId="54" fillId="4" borderId="0" xfId="2" applyNumberFormat="1" applyFill="1" applyBorder="1" applyAlignment="1" applyProtection="1">
      <alignment horizontal="center" vertical="center"/>
      <protection hidden="1"/>
    </xf>
    <xf numFmtId="9" fontId="91"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52" fillId="0" borderId="0" xfId="7" applyNumberFormat="1" applyFont="1"/>
    <xf numFmtId="2" fontId="0" fillId="0" borderId="0" xfId="0" applyNumberFormat="1"/>
    <xf numFmtId="4" fontId="53" fillId="0" borderId="0" xfId="10" applyNumberFormat="1" applyFont="1"/>
    <xf numFmtId="0" fontId="0" fillId="0" borderId="0" xfId="0" applyAlignment="1">
      <alignment horizontal="left"/>
    </xf>
    <xf numFmtId="0" fontId="60" fillId="0" borderId="0" xfId="0" applyFont="1" applyAlignment="1">
      <alignment vertical="center"/>
    </xf>
    <xf numFmtId="173" fontId="0" fillId="0" borderId="0" xfId="0" applyNumberFormat="1" applyAlignment="1">
      <alignment horizontal="left"/>
    </xf>
    <xf numFmtId="0" fontId="54" fillId="0" borderId="0" xfId="2" applyNumberFormat="1" applyFill="1" applyBorder="1" applyAlignment="1" applyProtection="1">
      <alignment vertical="center"/>
    </xf>
    <xf numFmtId="0" fontId="54" fillId="0" borderId="0" xfId="2" applyNumberFormat="1" applyFill="1" applyBorder="1" applyAlignment="1" applyProtection="1"/>
    <xf numFmtId="0" fontId="61" fillId="0" borderId="0" xfId="0" applyFont="1" applyAlignment="1">
      <alignment vertical="center"/>
    </xf>
    <xf numFmtId="174" fontId="62" fillId="0" borderId="0" xfId="0" applyNumberFormat="1" applyFont="1" applyAlignment="1">
      <alignment horizontal="left"/>
    </xf>
    <xf numFmtId="0" fontId="62"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173" fontId="46" fillId="0" borderId="0" xfId="0" applyNumberFormat="1" applyFont="1" applyAlignment="1">
      <alignment wrapText="1"/>
    </xf>
    <xf numFmtId="0" fontId="68" fillId="0" borderId="0" xfId="0" applyFont="1" applyAlignment="1">
      <alignment wrapText="1"/>
    </xf>
    <xf numFmtId="173" fontId="46" fillId="0" borderId="0" xfId="0" applyNumberFormat="1" applyFont="1"/>
    <xf numFmtId="0" fontId="68" fillId="0" borderId="0" xfId="0" applyFont="1"/>
    <xf numFmtId="174" fontId="46" fillId="0" borderId="0" xfId="0" applyNumberFormat="1" applyFont="1"/>
    <xf numFmtId="4" fontId="68" fillId="0" borderId="0" xfId="0" applyNumberFormat="1" applyFont="1" applyAlignment="1">
      <alignment horizontal="right"/>
    </xf>
    <xf numFmtId="174" fontId="93" fillId="0" borderId="0" xfId="0" applyNumberFormat="1" applyFont="1"/>
    <xf numFmtId="174" fontId="93" fillId="0" borderId="0" xfId="5" applyNumberFormat="1" applyFont="1"/>
    <xf numFmtId="174" fontId="93" fillId="0" borderId="0" xfId="4" applyNumberFormat="1" applyFont="1"/>
    <xf numFmtId="14" fontId="93" fillId="0" borderId="0" xfId="4" applyNumberFormat="1" applyFont="1" applyAlignment="1">
      <alignment horizontal="right"/>
    </xf>
    <xf numFmtId="0" fontId="90" fillId="0" borderId="0" xfId="0" applyFont="1"/>
    <xf numFmtId="174" fontId="68" fillId="0" borderId="0" xfId="4" applyNumberFormat="1" applyFont="1"/>
    <xf numFmtId="174" fontId="68" fillId="0" borderId="0" xfId="0" applyNumberFormat="1" applyFont="1"/>
    <xf numFmtId="0" fontId="90" fillId="0" borderId="0" xfId="4" applyFont="1" applyAlignment="1">
      <alignment horizontal="left"/>
    </xf>
    <xf numFmtId="0" fontId="90" fillId="0" borderId="0" xfId="4" applyFont="1" applyAlignment="1">
      <alignment horizontal="center" vertical="center"/>
    </xf>
    <xf numFmtId="0" fontId="58" fillId="0" borderId="0" xfId="4" applyFont="1" applyAlignment="1">
      <alignment horizontal="center" vertical="center"/>
    </xf>
    <xf numFmtId="0" fontId="61" fillId="0" borderId="0" xfId="4" applyFont="1" applyAlignment="1">
      <alignment horizontal="left"/>
    </xf>
    <xf numFmtId="0" fontId="61" fillId="0" borderId="0" xfId="4" applyFont="1" applyAlignment="1">
      <alignment horizontal="center" vertical="center"/>
    </xf>
    <xf numFmtId="174" fontId="46" fillId="0" borderId="0" xfId="4" applyNumberFormat="1" applyFont="1" applyAlignment="1">
      <alignment horizontal="left"/>
    </xf>
    <xf numFmtId="0" fontId="46" fillId="0" borderId="0" xfId="4" applyFont="1" applyAlignment="1">
      <alignment horizontal="center" vertical="center"/>
    </xf>
    <xf numFmtId="174" fontId="90" fillId="0" borderId="0" xfId="4" applyNumberFormat="1" applyFont="1" applyAlignment="1">
      <alignment horizontal="left" vertical="center"/>
    </xf>
    <xf numFmtId="0" fontId="46" fillId="0" borderId="0" xfId="4" applyFont="1" applyAlignment="1">
      <alignment horizontal="right" wrapText="1"/>
    </xf>
    <xf numFmtId="174" fontId="93" fillId="0" borderId="0" xfId="4" applyNumberFormat="1" applyFont="1" applyAlignment="1">
      <alignment wrapText="1"/>
    </xf>
    <xf numFmtId="4" fontId="93" fillId="0" borderId="0" xfId="4" applyNumberFormat="1" applyFont="1" applyAlignment="1">
      <alignment horizontal="center" vertical="center"/>
    </xf>
    <xf numFmtId="0" fontId="93" fillId="0" borderId="0" xfId="0" applyFont="1"/>
    <xf numFmtId="0" fontId="0" fillId="0" borderId="0" xfId="0" applyAlignment="1">
      <alignment horizontal="center" vertical="center"/>
    </xf>
    <xf numFmtId="1" fontId="55" fillId="0" borderId="0" xfId="0" applyNumberFormat="1" applyFont="1" applyAlignment="1">
      <alignment horizontal="center"/>
    </xf>
    <xf numFmtId="1" fontId="64" fillId="0" borderId="0" xfId="0" applyNumberFormat="1" applyFont="1" applyAlignment="1">
      <alignment horizontal="center"/>
    </xf>
    <xf numFmtId="170" fontId="55" fillId="0" borderId="0" xfId="0" applyNumberFormat="1" applyFont="1"/>
    <xf numFmtId="170" fontId="69" fillId="0" borderId="0" xfId="0" applyNumberFormat="1" applyFont="1"/>
    <xf numFmtId="0" fontId="69" fillId="0" borderId="0" xfId="0" applyFont="1"/>
    <xf numFmtId="0" fontId="55" fillId="0" borderId="0" xfId="0" applyFont="1"/>
    <xf numFmtId="171" fontId="50" fillId="0" borderId="0" xfId="0" applyNumberFormat="1" applyFont="1"/>
    <xf numFmtId="170" fontId="51" fillId="0" borderId="0" xfId="0" applyNumberFormat="1" applyFont="1"/>
    <xf numFmtId="170" fontId="52" fillId="0" borderId="0" xfId="0" applyNumberFormat="1" applyFont="1"/>
    <xf numFmtId="1" fontId="96" fillId="0" borderId="0" xfId="0" applyNumberFormat="1"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67" fillId="0" borderId="0" xfId="3" applyNumberFormat="1" applyFill="1" applyBorder="1" applyAlignment="1">
      <alignment horizontal="center"/>
    </xf>
    <xf numFmtId="167" fontId="0" fillId="0" borderId="0" xfId="0" applyNumberFormat="1" applyAlignment="1">
      <alignment horizontal="center"/>
    </xf>
    <xf numFmtId="0" fontId="93"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68"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24" fillId="0" borderId="2" xfId="0" applyNumberFormat="1" applyFont="1" applyBorder="1" applyAlignment="1">
      <alignment horizontal="center" vertical="center"/>
    </xf>
    <xf numFmtId="169" fontId="124" fillId="0" borderId="3" xfId="0" applyNumberFormat="1" applyFont="1" applyBorder="1" applyAlignment="1">
      <alignment horizontal="center" vertical="center"/>
    </xf>
    <xf numFmtId="0" fontId="0" fillId="9" borderId="4" xfId="0" applyFill="1" applyBorder="1" applyAlignment="1">
      <alignment horizontal="right"/>
    </xf>
    <xf numFmtId="0" fontId="91" fillId="9" borderId="2" xfId="0" applyFont="1" applyFill="1" applyBorder="1" applyAlignment="1">
      <alignment horizontal="center"/>
    </xf>
    <xf numFmtId="0" fontId="91"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28" fillId="0" borderId="4" xfId="0" applyFont="1" applyBorder="1" applyAlignment="1">
      <alignment horizontal="center"/>
    </xf>
    <xf numFmtId="169" fontId="128" fillId="0" borderId="2" xfId="0" applyNumberFormat="1" applyFont="1" applyBorder="1" applyAlignment="1">
      <alignment horizontal="center"/>
    </xf>
    <xf numFmtId="169" fontId="128" fillId="0" borderId="3" xfId="0" applyNumberFormat="1" applyFont="1" applyBorder="1" applyAlignment="1">
      <alignment horizontal="center"/>
    </xf>
    <xf numFmtId="169" fontId="128"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96" fillId="0" borderId="2" xfId="0" applyNumberFormat="1" applyFont="1" applyBorder="1" applyAlignment="1">
      <alignment horizontal="center" vertical="center"/>
    </xf>
    <xf numFmtId="178" fontId="96" fillId="13" borderId="2" xfId="0" applyNumberFormat="1" applyFont="1" applyFill="1" applyBorder="1" applyAlignment="1">
      <alignment horizontal="center" vertical="center"/>
    </xf>
    <xf numFmtId="178" fontId="96" fillId="13" borderId="96" xfId="0" applyNumberFormat="1" applyFont="1" applyFill="1" applyBorder="1" applyAlignment="1">
      <alignment horizontal="center" vertical="center"/>
    </xf>
    <xf numFmtId="0" fontId="128" fillId="14" borderId="4" xfId="0" applyFont="1" applyFill="1" applyBorder="1" applyAlignment="1">
      <alignment horizontal="center"/>
    </xf>
    <xf numFmtId="2" fontId="128" fillId="14" borderId="3" xfId="0" applyNumberFormat="1" applyFont="1" applyFill="1" applyBorder="1" applyAlignment="1">
      <alignment horizontal="center"/>
    </xf>
    <xf numFmtId="169" fontId="128"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96" fillId="15" borderId="2" xfId="0" applyNumberFormat="1" applyFont="1" applyFill="1" applyBorder="1" applyAlignment="1">
      <alignment horizontal="center" vertical="center"/>
    </xf>
    <xf numFmtId="2" fontId="128"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91" fillId="9" borderId="5" xfId="0" applyFont="1" applyFill="1" applyBorder="1" applyAlignment="1">
      <alignment horizontal="right"/>
    </xf>
    <xf numFmtId="0" fontId="0" fillId="9" borderId="4" xfId="0" applyFill="1" applyBorder="1"/>
    <xf numFmtId="178" fontId="96" fillId="6" borderId="2" xfId="0" applyNumberFormat="1" applyFont="1" applyFill="1" applyBorder="1" applyAlignment="1">
      <alignment horizontal="center" vertical="center"/>
    </xf>
    <xf numFmtId="0" fontId="0" fillId="4" borderId="97" xfId="0" applyFill="1" applyBorder="1" applyAlignment="1">
      <alignment horizontal="center"/>
    </xf>
    <xf numFmtId="178" fontId="96" fillId="15" borderId="97" xfId="0" applyNumberFormat="1" applyFont="1" applyFill="1" applyBorder="1" applyAlignment="1">
      <alignment horizontal="center" vertical="center"/>
    </xf>
    <xf numFmtId="178" fontId="96" fillId="0" borderId="98" xfId="0" applyNumberFormat="1" applyFont="1" applyBorder="1" applyAlignment="1">
      <alignment horizontal="center" vertical="center"/>
    </xf>
    <xf numFmtId="0" fontId="96" fillId="6" borderId="41" xfId="0" applyFont="1" applyFill="1" applyBorder="1" applyAlignment="1">
      <alignment horizontal="center" vertical="center"/>
    </xf>
    <xf numFmtId="0" fontId="128" fillId="14" borderId="5" xfId="0" applyFont="1" applyFill="1" applyBorder="1" applyAlignment="1">
      <alignment horizontal="center"/>
    </xf>
    <xf numFmtId="2" fontId="128" fillId="14" borderId="7" xfId="0" applyNumberFormat="1" applyFont="1" applyFill="1" applyBorder="1" applyAlignment="1">
      <alignment horizontal="center"/>
    </xf>
    <xf numFmtId="187" fontId="128" fillId="0" borderId="8" xfId="0" applyNumberFormat="1" applyFont="1" applyBorder="1" applyAlignment="1">
      <alignment horizontal="center"/>
    </xf>
    <xf numFmtId="169" fontId="96" fillId="0" borderId="0" xfId="0" applyNumberFormat="1" applyFont="1"/>
    <xf numFmtId="9" fontId="128" fillId="0" borderId="8" xfId="3" applyFont="1" applyBorder="1" applyAlignment="1">
      <alignment horizontal="center"/>
    </xf>
    <xf numFmtId="6" fontId="0" fillId="0" borderId="0" xfId="0" applyNumberFormat="1"/>
    <xf numFmtId="0" fontId="0" fillId="8" borderId="0" xfId="0" applyFill="1" applyAlignment="1">
      <alignment vertical="center"/>
    </xf>
    <xf numFmtId="0" fontId="60" fillId="8" borderId="0" xfId="0" applyFont="1" applyFill="1" applyAlignment="1">
      <alignment vertical="center"/>
    </xf>
    <xf numFmtId="0" fontId="46" fillId="8" borderId="0" xfId="0" applyFont="1" applyFill="1" applyAlignment="1">
      <alignment vertical="center"/>
    </xf>
    <xf numFmtId="183" fontId="0" fillId="0" borderId="0" xfId="0" applyNumberFormat="1"/>
    <xf numFmtId="8" fontId="0" fillId="4" borderId="99" xfId="0" applyNumberFormat="1" applyFill="1" applyBorder="1" applyAlignment="1">
      <alignment horizontal="center" vertical="center" wrapText="1"/>
    </xf>
    <xf numFmtId="8" fontId="96"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66" fillId="4" borderId="3" xfId="0" applyFont="1" applyFill="1" applyBorder="1" applyAlignment="1">
      <alignment horizontal="center" vertical="center"/>
    </xf>
    <xf numFmtId="181" fontId="66" fillId="4" borderId="3" xfId="0" applyNumberFormat="1" applyFont="1" applyFill="1" applyBorder="1" applyAlignment="1">
      <alignment horizontal="center" vertical="center"/>
    </xf>
    <xf numFmtId="2" fontId="66" fillId="4" borderId="3" xfId="0" applyNumberFormat="1" applyFont="1" applyFill="1" applyBorder="1" applyAlignment="1">
      <alignment horizontal="center" vertical="center"/>
    </xf>
    <xf numFmtId="0" fontId="112"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91" fillId="4" borderId="21" xfId="0" applyFont="1" applyFill="1" applyBorder="1" applyAlignment="1" applyProtection="1">
      <alignment horizontal="center" vertical="center"/>
      <protection hidden="1"/>
    </xf>
    <xf numFmtId="0" fontId="91"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91"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91"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91" fillId="9" borderId="106" xfId="0" applyFont="1" applyFill="1" applyBorder="1" applyProtection="1">
      <protection hidden="1"/>
    </xf>
    <xf numFmtId="0" fontId="113" fillId="0" borderId="0" xfId="0" applyFont="1" applyAlignment="1" applyProtection="1">
      <alignment vertical="center"/>
      <protection hidden="1"/>
    </xf>
    <xf numFmtId="0" fontId="91" fillId="4" borderId="3" xfId="0" applyFont="1" applyFill="1" applyBorder="1" applyAlignment="1" applyProtection="1">
      <alignment horizontal="center" vertical="center" wrapText="1"/>
      <protection hidden="1"/>
    </xf>
    <xf numFmtId="0" fontId="91" fillId="4" borderId="4" xfId="0" applyFont="1" applyFill="1" applyBorder="1" applyAlignment="1" applyProtection="1">
      <alignment horizontal="center" vertical="center" wrapText="1"/>
      <protection hidden="1"/>
    </xf>
    <xf numFmtId="1" fontId="91"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96" fillId="0" borderId="0" xfId="0" applyNumberFormat="1" applyFont="1" applyAlignment="1">
      <alignment horizontal="center"/>
    </xf>
    <xf numFmtId="10" fontId="0" fillId="0" borderId="0" xfId="3" applyNumberFormat="1" applyFont="1" applyAlignment="1">
      <alignment horizontal="center"/>
    </xf>
    <xf numFmtId="0" fontId="52" fillId="0" borderId="0" xfId="0" applyFont="1" applyAlignment="1">
      <alignment vertical="center"/>
    </xf>
    <xf numFmtId="0" fontId="52" fillId="0" borderId="0" xfId="0" applyFont="1" applyAlignment="1">
      <alignment vertical="center" wrapText="1"/>
    </xf>
    <xf numFmtId="8" fontId="0" fillId="0" borderId="2" xfId="0" applyNumberFormat="1" applyBorder="1"/>
    <xf numFmtId="188" fontId="91"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01"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96" fillId="0" borderId="0" xfId="0" applyNumberFormat="1" applyFont="1" applyAlignment="1">
      <alignment horizontal="center" vertical="center" wrapText="1"/>
    </xf>
    <xf numFmtId="0" fontId="112" fillId="0" borderId="0" xfId="0" applyFont="1" applyAlignment="1" applyProtection="1">
      <alignment vertical="center" wrapText="1"/>
      <protection locked="0"/>
    </xf>
    <xf numFmtId="0" fontId="0" fillId="4" borderId="0" xfId="0" applyFill="1" applyProtection="1">
      <protection locked="0" hidden="1"/>
    </xf>
    <xf numFmtId="2" fontId="91"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91" fillId="0" borderId="2" xfId="0" applyNumberFormat="1" applyFont="1" applyBorder="1" applyAlignment="1">
      <alignment horizontal="center" vertical="center" wrapText="1"/>
    </xf>
    <xf numFmtId="0" fontId="40" fillId="0" borderId="0" xfId="0" applyFont="1" applyAlignment="1">
      <alignment horizontal="center"/>
    </xf>
    <xf numFmtId="0" fontId="40" fillId="0" borderId="0" xfId="0" applyFont="1"/>
    <xf numFmtId="178" fontId="40" fillId="0" borderId="0" xfId="0" applyNumberFormat="1" applyFont="1" applyAlignment="1">
      <alignment horizontal="center"/>
    </xf>
    <xf numFmtId="175" fontId="40" fillId="0" borderId="0" xfId="0" applyNumberFormat="1" applyFont="1" applyAlignment="1">
      <alignment horizontal="center"/>
    </xf>
    <xf numFmtId="0" fontId="40" fillId="0" borderId="19" xfId="0" applyFont="1" applyBorder="1" applyAlignment="1">
      <alignment horizontal="center" vertical="center" wrapText="1"/>
    </xf>
    <xf numFmtId="0" fontId="40" fillId="0" borderId="0" xfId="0" applyFont="1" applyAlignment="1">
      <alignment horizontal="center" vertical="center" wrapText="1"/>
    </xf>
    <xf numFmtId="9" fontId="40" fillId="0" borderId="0" xfId="0" applyNumberFormat="1" applyFont="1" applyAlignment="1">
      <alignment horizontal="center" vertical="center" wrapText="1"/>
    </xf>
    <xf numFmtId="9" fontId="40" fillId="0" borderId="15" xfId="0" applyNumberFormat="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3" xfId="0" applyFont="1" applyBorder="1" applyAlignment="1">
      <alignment horizontal="center" vertical="center" wrapText="1"/>
    </xf>
    <xf numFmtId="178" fontId="40" fillId="0" borderId="12" xfId="0" applyNumberFormat="1" applyFont="1" applyBorder="1" applyAlignment="1">
      <alignment horizontal="center" vertical="center" wrapText="1"/>
    </xf>
    <xf numFmtId="178" fontId="40" fillId="0" borderId="11" xfId="0" applyNumberFormat="1" applyFont="1" applyBorder="1" applyAlignment="1">
      <alignment horizontal="center" vertical="center" wrapText="1"/>
    </xf>
    <xf numFmtId="0" fontId="40" fillId="0" borderId="43" xfId="0" applyFont="1" applyBorder="1" applyAlignment="1">
      <alignment horizontal="center"/>
    </xf>
    <xf numFmtId="4" fontId="40" fillId="0" borderId="23" xfId="0" applyNumberFormat="1" applyFont="1" applyBorder="1"/>
    <xf numFmtId="172" fontId="40" fillId="0" borderId="43" xfId="0" applyNumberFormat="1" applyFont="1" applyBorder="1" applyAlignment="1">
      <alignment horizontal="center"/>
    </xf>
    <xf numFmtId="180" fontId="40" fillId="0" borderId="23" xfId="0" applyNumberFormat="1" applyFont="1" applyBorder="1" applyAlignment="1">
      <alignment horizontal="center"/>
    </xf>
    <xf numFmtId="180" fontId="40" fillId="0" borderId="44" xfId="0" applyNumberFormat="1" applyFont="1" applyBorder="1" applyAlignment="1">
      <alignment horizontal="center"/>
    </xf>
    <xf numFmtId="4" fontId="40" fillId="0" borderId="0" xfId="0" applyNumberFormat="1" applyFont="1"/>
    <xf numFmtId="10" fontId="40" fillId="0" borderId="44" xfId="3" applyNumberFormat="1" applyFont="1" applyBorder="1" applyAlignment="1">
      <alignment horizontal="center"/>
    </xf>
    <xf numFmtId="175" fontId="40" fillId="0" borderId="23" xfId="0" applyNumberFormat="1" applyFont="1" applyBorder="1" applyAlignment="1">
      <alignment horizontal="center"/>
    </xf>
    <xf numFmtId="8" fontId="40" fillId="0" borderId="23" xfId="0" applyNumberFormat="1" applyFont="1" applyBorder="1" applyAlignment="1">
      <alignment horizontal="center"/>
    </xf>
    <xf numFmtId="8" fontId="40" fillId="0" borderId="44" xfId="0" applyNumberFormat="1" applyFont="1" applyBorder="1" applyAlignment="1">
      <alignment horizontal="center"/>
    </xf>
    <xf numFmtId="0" fontId="40" fillId="9" borderId="19" xfId="0" applyFont="1" applyFill="1" applyBorder="1" applyAlignment="1">
      <alignment horizontal="center"/>
    </xf>
    <xf numFmtId="4" fontId="40" fillId="9" borderId="0" xfId="0" applyNumberFormat="1" applyFont="1" applyFill="1"/>
    <xf numFmtId="172" fontId="40" fillId="9" borderId="19" xfId="0" applyNumberFormat="1" applyFont="1" applyFill="1" applyBorder="1" applyAlignment="1">
      <alignment horizontal="center"/>
    </xf>
    <xf numFmtId="180" fontId="40" fillId="9" borderId="0" xfId="0" applyNumberFormat="1" applyFont="1" applyFill="1" applyAlignment="1">
      <alignment horizontal="center"/>
    </xf>
    <xf numFmtId="180" fontId="40" fillId="9" borderId="15" xfId="0" applyNumberFormat="1" applyFont="1" applyFill="1" applyBorder="1" applyAlignment="1">
      <alignment horizontal="center"/>
    </xf>
    <xf numFmtId="0" fontId="40" fillId="9" borderId="0" xfId="0" applyFont="1" applyFill="1" applyAlignment="1">
      <alignment horizontal="center"/>
    </xf>
    <xf numFmtId="10" fontId="40" fillId="9" borderId="15" xfId="3" applyNumberFormat="1" applyFont="1" applyFill="1" applyBorder="1" applyAlignment="1">
      <alignment horizontal="center"/>
    </xf>
    <xf numFmtId="8" fontId="40" fillId="9" borderId="15" xfId="0" applyNumberFormat="1" applyFont="1" applyFill="1" applyBorder="1" applyAlignment="1">
      <alignment horizontal="center"/>
    </xf>
    <xf numFmtId="0" fontId="40" fillId="0" borderId="19" xfId="0" applyFont="1" applyBorder="1" applyAlignment="1">
      <alignment horizontal="center"/>
    </xf>
    <xf numFmtId="172" fontId="40" fillId="0" borderId="19" xfId="0" applyNumberFormat="1" applyFont="1" applyBorder="1" applyAlignment="1">
      <alignment horizontal="center"/>
    </xf>
    <xf numFmtId="180" fontId="40" fillId="0" borderId="0" xfId="0" applyNumberFormat="1" applyFont="1" applyAlignment="1">
      <alignment horizontal="center"/>
    </xf>
    <xf numFmtId="180" fontId="40" fillId="0" borderId="15" xfId="0" applyNumberFormat="1" applyFont="1" applyBorder="1" applyAlignment="1">
      <alignment horizontal="center"/>
    </xf>
    <xf numFmtId="10" fontId="40" fillId="0" borderId="15" xfId="3" applyNumberFormat="1" applyFont="1" applyBorder="1" applyAlignment="1">
      <alignment horizontal="center"/>
    </xf>
    <xf numFmtId="8" fontId="40" fillId="0" borderId="15" xfId="0" applyNumberFormat="1" applyFont="1" applyBorder="1" applyAlignment="1">
      <alignment horizontal="center"/>
    </xf>
    <xf numFmtId="0" fontId="106" fillId="0" borderId="21" xfId="0" applyFont="1" applyBorder="1" applyAlignment="1">
      <alignment horizontal="center" wrapText="1"/>
    </xf>
    <xf numFmtId="175" fontId="40" fillId="9" borderId="0" xfId="0" applyNumberFormat="1" applyFont="1" applyFill="1" applyAlignment="1">
      <alignment horizontal="center"/>
    </xf>
    <xf numFmtId="8" fontId="40" fillId="9" borderId="0" xfId="0" applyNumberFormat="1" applyFont="1" applyFill="1" applyAlignment="1">
      <alignment horizontal="center"/>
    </xf>
    <xf numFmtId="8" fontId="40" fillId="0" borderId="0" xfId="0" applyNumberFormat="1" applyFont="1" applyAlignment="1">
      <alignment horizontal="center"/>
    </xf>
    <xf numFmtId="167" fontId="40" fillId="0" borderId="23" xfId="0" applyNumberFormat="1" applyFont="1" applyBorder="1" applyAlignment="1">
      <alignment horizontal="center"/>
    </xf>
    <xf numFmtId="167" fontId="40" fillId="9" borderId="0" xfId="0" applyNumberFormat="1" applyFont="1" applyFill="1" applyAlignment="1">
      <alignment horizontal="center"/>
    </xf>
    <xf numFmtId="167" fontId="40"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93" fillId="0" borderId="0" xfId="0" applyFont="1" applyAlignment="1">
      <alignment horizontal="center" vertical="center"/>
    </xf>
    <xf numFmtId="0" fontId="103" fillId="0" borderId="0" xfId="0" applyFont="1"/>
    <xf numFmtId="0" fontId="103" fillId="0" borderId="0" xfId="0" applyFont="1" applyAlignment="1">
      <alignment horizontal="center" vertical="center"/>
    </xf>
    <xf numFmtId="0" fontId="0" fillId="4" borderId="2" xfId="0" applyFill="1" applyBorder="1"/>
    <xf numFmtId="8" fontId="91" fillId="0" borderId="2" xfId="0" applyNumberFormat="1" applyFont="1" applyBorder="1" applyAlignment="1" applyProtection="1">
      <alignment horizontal="center" vertical="center"/>
      <protection locked="0"/>
    </xf>
    <xf numFmtId="0" fontId="96" fillId="4" borderId="0" xfId="0" applyFont="1" applyFill="1" applyAlignment="1">
      <alignment vertical="center"/>
    </xf>
    <xf numFmtId="0" fontId="9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95" fillId="0" borderId="0" xfId="0" quotePrefix="1" applyFont="1" applyProtection="1">
      <protection hidden="1"/>
    </xf>
    <xf numFmtId="6" fontId="101"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03" fillId="4" borderId="4" xfId="0" applyFont="1" applyFill="1" applyBorder="1" applyAlignment="1" applyProtection="1">
      <alignment horizontal="center" vertical="center" wrapText="1"/>
      <protection hidden="1"/>
    </xf>
    <xf numFmtId="0" fontId="103" fillId="4" borderId="3" xfId="0" applyFont="1" applyFill="1" applyBorder="1" applyAlignment="1" applyProtection="1">
      <alignment horizontal="center" vertical="center" wrapText="1"/>
      <protection hidden="1"/>
    </xf>
    <xf numFmtId="0" fontId="91"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91" fillId="0" borderId="100" xfId="0" applyNumberFormat="1" applyFont="1" applyBorder="1" applyAlignment="1" applyProtection="1">
      <alignment horizontal="center" vertical="center" wrapText="1"/>
      <protection locked="0"/>
    </xf>
    <xf numFmtId="2" fontId="91" fillId="0" borderId="100" xfId="0" applyNumberFormat="1" applyFont="1" applyBorder="1" applyAlignment="1" applyProtection="1">
      <alignment horizontal="center" vertical="center" wrapText="1"/>
      <protection locked="0"/>
    </xf>
    <xf numFmtId="10" fontId="91"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80" fillId="0" borderId="0" xfId="0" applyFont="1" applyAlignment="1">
      <alignment horizontal="center" vertical="center" wrapText="1"/>
    </xf>
    <xf numFmtId="0" fontId="80" fillId="0" borderId="0" xfId="0" applyFont="1" applyAlignment="1">
      <alignment horizontal="left" vertical="center"/>
    </xf>
    <xf numFmtId="0" fontId="80" fillId="0" borderId="0" xfId="0" applyFont="1" applyAlignment="1">
      <alignment horizontal="left" vertical="center" wrapText="1"/>
    </xf>
    <xf numFmtId="0" fontId="93" fillId="4" borderId="0" xfId="0" applyFont="1" applyFill="1"/>
    <xf numFmtId="2" fontId="93" fillId="4" borderId="2" xfId="0" applyNumberFormat="1" applyFont="1" applyFill="1" applyBorder="1" applyAlignment="1">
      <alignment horizontal="center" vertical="center"/>
    </xf>
    <xf numFmtId="14" fontId="93" fillId="0" borderId="2" xfId="0" applyNumberFormat="1" applyFont="1" applyBorder="1" applyAlignment="1" applyProtection="1">
      <alignment horizontal="center" vertical="center"/>
      <protection locked="0"/>
    </xf>
    <xf numFmtId="14" fontId="93" fillId="0" borderId="2" xfId="0" applyNumberFormat="1" applyFont="1" applyBorder="1" applyAlignment="1">
      <alignment horizontal="center"/>
    </xf>
    <xf numFmtId="0" fontId="96" fillId="0" borderId="0" xfId="0" applyFont="1" applyAlignment="1">
      <alignment vertical="center"/>
    </xf>
    <xf numFmtId="0" fontId="143"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91"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91" fillId="4" borderId="116" xfId="0" applyNumberFormat="1" applyFont="1" applyFill="1" applyBorder="1" applyAlignment="1">
      <alignment horizontal="center" vertical="center" wrapText="1"/>
    </xf>
    <xf numFmtId="6" fontId="91" fillId="4" borderId="14" xfId="0" applyNumberFormat="1" applyFont="1" applyFill="1" applyBorder="1" applyAlignment="1">
      <alignment horizontal="center" vertical="center" wrapText="1"/>
    </xf>
    <xf numFmtId="0" fontId="91"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96" fillId="0" borderId="0" xfId="0" applyFont="1"/>
    <xf numFmtId="0" fontId="96" fillId="0" borderId="0" xfId="0" applyFont="1" applyAlignment="1">
      <alignment horizontal="center"/>
    </xf>
    <xf numFmtId="0" fontId="54" fillId="0" borderId="0" xfId="2" applyNumberFormat="1" applyFill="1" applyAlignment="1" applyProtection="1">
      <alignment horizontal="left"/>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90"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95" fillId="0" borderId="2" xfId="0" applyFont="1" applyBorder="1" applyAlignment="1">
      <alignment horizontal="center" vertical="center" wrapText="1"/>
    </xf>
    <xf numFmtId="8" fontId="96"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91" fillId="4" borderId="1" xfId="0" applyNumberFormat="1" applyFont="1" applyFill="1" applyBorder="1" applyAlignment="1">
      <alignment horizontal="center" vertical="center" wrapText="1"/>
    </xf>
    <xf numFmtId="9" fontId="90"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91"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91"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91" fillId="4" borderId="122" xfId="0" applyNumberFormat="1" applyFont="1" applyFill="1" applyBorder="1" applyAlignment="1">
      <alignment horizontal="center" vertical="center" wrapText="1"/>
    </xf>
    <xf numFmtId="0" fontId="98" fillId="4" borderId="28" xfId="0" applyFont="1" applyFill="1" applyBorder="1" applyAlignment="1">
      <alignment vertical="center" wrapText="1"/>
    </xf>
    <xf numFmtId="0" fontId="98" fillId="4" borderId="123" xfId="0" applyFont="1" applyFill="1" applyBorder="1" applyAlignment="1">
      <alignment vertical="center" wrapText="1"/>
    </xf>
    <xf numFmtId="6" fontId="91" fillId="4" borderId="104" xfId="0" applyNumberFormat="1" applyFont="1" applyFill="1" applyBorder="1" applyAlignment="1">
      <alignment horizontal="center" vertical="center" wrapText="1"/>
    </xf>
    <xf numFmtId="9" fontId="90" fillId="4" borderId="120" xfId="3" applyFont="1" applyFill="1" applyBorder="1" applyAlignment="1">
      <alignment horizontal="center" vertical="center" wrapText="1"/>
    </xf>
    <xf numFmtId="9" fontId="90" fillId="0" borderId="100" xfId="3" applyFont="1" applyBorder="1" applyAlignment="1" applyProtection="1">
      <alignment horizontal="center" vertical="center" wrapText="1"/>
      <protection locked="0"/>
    </xf>
    <xf numFmtId="9" fontId="90" fillId="4" borderId="100" xfId="3" applyFont="1" applyFill="1" applyBorder="1" applyAlignment="1" applyProtection="1">
      <alignment horizontal="center" vertical="center" wrapText="1"/>
      <protection hidden="1"/>
    </xf>
    <xf numFmtId="10" fontId="90"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95"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96" fillId="0" borderId="0" xfId="0" applyFont="1" applyAlignment="1">
      <alignment horizontal="left"/>
    </xf>
    <xf numFmtId="178" fontId="0" fillId="0" borderId="0" xfId="0" applyNumberFormat="1"/>
    <xf numFmtId="182" fontId="0" fillId="0" borderId="0" xfId="0" applyNumberFormat="1"/>
    <xf numFmtId="182" fontId="96" fillId="0" borderId="0" xfId="0" applyNumberFormat="1" applyFont="1" applyAlignment="1">
      <alignment horizontal="left"/>
    </xf>
    <xf numFmtId="0" fontId="96" fillId="4" borderId="0" xfId="0" applyFont="1" applyFill="1" applyAlignment="1">
      <alignment horizontal="left"/>
    </xf>
    <xf numFmtId="0" fontId="91" fillId="4" borderId="2" xfId="0" applyFont="1" applyFill="1" applyBorder="1" applyAlignment="1" applyProtection="1">
      <alignment horizontal="center" vertical="center" wrapText="1"/>
      <protection hidden="1"/>
    </xf>
    <xf numFmtId="0" fontId="91"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20" fillId="0" borderId="4" xfId="0" applyFont="1" applyBorder="1" applyAlignment="1">
      <alignment horizontal="center" vertical="center" wrapText="1"/>
    </xf>
    <xf numFmtId="14" fontId="129" fillId="0" borderId="4" xfId="0" applyNumberFormat="1" applyFont="1" applyBorder="1" applyAlignment="1">
      <alignment horizontal="center" vertical="center" wrapText="1"/>
    </xf>
    <xf numFmtId="14" fontId="129"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93" fillId="4" borderId="2" xfId="0" applyNumberFormat="1" applyFont="1" applyFill="1" applyBorder="1" applyAlignment="1" applyProtection="1">
      <alignment horizontal="center" vertical="center"/>
      <protection hidden="1"/>
    </xf>
    <xf numFmtId="182" fontId="93" fillId="4" borderId="2" xfId="0" applyNumberFormat="1" applyFont="1" applyFill="1" applyBorder="1" applyAlignment="1" applyProtection="1">
      <alignment horizontal="center" vertical="center"/>
      <protection hidden="1"/>
    </xf>
    <xf numFmtId="8" fontId="93" fillId="4" borderId="2" xfId="0" applyNumberFormat="1" applyFont="1" applyFill="1" applyBorder="1" applyAlignment="1" applyProtection="1">
      <alignment horizontal="center" vertical="center"/>
      <protection hidden="1"/>
    </xf>
    <xf numFmtId="182" fontId="93" fillId="4" borderId="3" xfId="0" applyNumberFormat="1" applyFont="1" applyFill="1" applyBorder="1" applyAlignment="1" applyProtection="1">
      <alignment horizontal="center" vertical="center"/>
      <protection hidden="1"/>
    </xf>
    <xf numFmtId="8" fontId="97" fillId="9" borderId="6" xfId="0" applyNumberFormat="1" applyFont="1" applyFill="1" applyBorder="1" applyAlignment="1" applyProtection="1">
      <alignment horizontal="center" vertical="center"/>
      <protection hidden="1"/>
    </xf>
    <xf numFmtId="8" fontId="97" fillId="9" borderId="7" xfId="0" applyNumberFormat="1" applyFont="1" applyFill="1" applyBorder="1" applyAlignment="1" applyProtection="1">
      <alignment horizontal="center" vertical="center"/>
      <protection hidden="1"/>
    </xf>
    <xf numFmtId="0" fontId="96" fillId="4" borderId="2" xfId="0" applyFont="1" applyFill="1" applyBorder="1" applyAlignment="1" applyProtection="1">
      <alignment horizontal="right" vertical="center"/>
      <protection hidden="1"/>
    </xf>
    <xf numFmtId="10" fontId="96"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80" fillId="0" borderId="101" xfId="0" quotePrefix="1" applyNumberFormat="1" applyFont="1" applyBorder="1" applyAlignment="1" applyProtection="1">
      <alignment horizontal="center" vertical="center" wrapText="1"/>
      <protection locked="0"/>
    </xf>
    <xf numFmtId="167" fontId="116"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96" fillId="4" borderId="0" xfId="0" applyFont="1" applyFill="1" applyAlignment="1" applyProtection="1">
      <alignment vertical="center"/>
      <protection hidden="1"/>
    </xf>
    <xf numFmtId="0" fontId="90" fillId="8" borderId="0" xfId="4" applyFont="1" applyFill="1" applyAlignment="1">
      <alignment horizontal="center" vertical="center"/>
    </xf>
    <xf numFmtId="0" fontId="58" fillId="8" borderId="0" xfId="4" applyFont="1" applyFill="1" applyAlignment="1">
      <alignment horizontal="center" vertical="center"/>
    </xf>
    <xf numFmtId="0" fontId="46" fillId="8" borderId="0" xfId="4" applyFont="1" applyFill="1" applyAlignment="1">
      <alignment horizontal="center" vertical="center"/>
    </xf>
    <xf numFmtId="4" fontId="93" fillId="8" borderId="0" xfId="4" applyNumberFormat="1" applyFont="1" applyFill="1" applyAlignment="1">
      <alignment horizontal="center" vertical="center"/>
    </xf>
    <xf numFmtId="0" fontId="143"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07"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90" fillId="9" borderId="2" xfId="3" applyNumberFormat="1" applyFont="1" applyFill="1" applyBorder="1" applyAlignment="1" applyProtection="1">
      <alignment vertical="center" wrapText="1"/>
      <protection hidden="1"/>
    </xf>
    <xf numFmtId="188" fontId="97"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97"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98" fillId="0" borderId="0" xfId="0" applyFont="1"/>
    <xf numFmtId="8" fontId="0" fillId="0" borderId="0" xfId="0" applyNumberFormat="1" applyProtection="1">
      <protection hidden="1"/>
    </xf>
    <xf numFmtId="0" fontId="119" fillId="4" borderId="0" xfId="0" applyFont="1" applyFill="1" applyAlignment="1">
      <alignment horizontal="center" vertical="center" wrapText="1"/>
    </xf>
    <xf numFmtId="0" fontId="54" fillId="4" borderId="0" xfId="2" applyNumberFormat="1" applyFill="1" applyBorder="1" applyAlignment="1" applyProtection="1">
      <alignment horizontal="center" vertical="center" wrapText="1"/>
      <protection hidden="1"/>
    </xf>
    <xf numFmtId="8" fontId="91" fillId="0" borderId="0" xfId="0" applyNumberFormat="1" applyFont="1" applyAlignment="1">
      <alignment horizontal="center" vertical="center" wrapText="1"/>
    </xf>
    <xf numFmtId="0" fontId="98"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91"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90" fillId="4" borderId="0" xfId="3" applyFont="1" applyFill="1" applyBorder="1" applyAlignment="1">
      <alignment horizontal="center" vertical="center" wrapText="1"/>
    </xf>
    <xf numFmtId="188" fontId="97"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93" fillId="0" borderId="0" xfId="0" applyNumberFormat="1" applyFont="1"/>
    <xf numFmtId="2" fontId="91" fillId="0" borderId="2" xfId="0" applyNumberFormat="1" applyFont="1" applyBorder="1" applyAlignment="1" applyProtection="1">
      <alignment horizontal="center" vertical="center" wrapText="1"/>
      <protection locked="0" hidden="1"/>
    </xf>
    <xf numFmtId="8" fontId="91" fillId="0" borderId="2" xfId="0" applyNumberFormat="1" applyFont="1" applyBorder="1" applyAlignment="1" applyProtection="1">
      <alignment horizontal="center" vertical="center" wrapText="1"/>
      <protection locked="0"/>
    </xf>
    <xf numFmtId="10" fontId="91" fillId="0" borderId="2" xfId="3" applyNumberFormat="1" applyFont="1" applyBorder="1" applyAlignment="1" applyProtection="1">
      <alignment horizontal="center" vertical="center" wrapText="1"/>
      <protection locked="0"/>
    </xf>
    <xf numFmtId="9" fontId="90"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80"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91" fillId="0" borderId="130" xfId="0" applyNumberFormat="1" applyFont="1" applyBorder="1" applyAlignment="1" applyProtection="1">
      <alignment horizontal="center" vertical="center" wrapText="1"/>
      <protection locked="0" hidden="1"/>
    </xf>
    <xf numFmtId="8" fontId="91" fillId="0" borderId="130" xfId="0" applyNumberFormat="1" applyFont="1" applyBorder="1" applyAlignment="1" applyProtection="1">
      <alignment horizontal="center" vertical="center" wrapText="1"/>
      <protection locked="0"/>
    </xf>
    <xf numFmtId="10" fontId="91"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90"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91" fillId="4" borderId="2" xfId="0" applyNumberFormat="1" applyFont="1" applyFill="1" applyBorder="1" applyAlignment="1">
      <alignment horizontal="center" vertical="center"/>
    </xf>
    <xf numFmtId="6" fontId="91"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19" fillId="4" borderId="2" xfId="0" applyNumberFormat="1" applyFont="1" applyFill="1" applyBorder="1" applyAlignment="1">
      <alignment horizontal="center" vertical="center"/>
    </xf>
    <xf numFmtId="6" fontId="90" fillId="4" borderId="130" xfId="3" applyNumberFormat="1" applyFont="1" applyFill="1" applyBorder="1" applyAlignment="1">
      <alignment horizontal="center" vertical="center"/>
    </xf>
    <xf numFmtId="0" fontId="119" fillId="4" borderId="2" xfId="0" applyFont="1" applyFill="1" applyBorder="1" applyAlignment="1">
      <alignment horizontal="center" vertical="center"/>
    </xf>
    <xf numFmtId="0" fontId="119"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47" fillId="0" borderId="0" xfId="0" applyFont="1"/>
    <xf numFmtId="6" fontId="119" fillId="4" borderId="130" xfId="0" applyNumberFormat="1" applyFont="1" applyFill="1" applyBorder="1" applyAlignment="1">
      <alignment horizontal="center" vertical="center"/>
    </xf>
    <xf numFmtId="0" fontId="0" fillId="0" borderId="0" xfId="0" applyAlignment="1">
      <alignment textRotation="180"/>
    </xf>
    <xf numFmtId="0" fontId="91" fillId="0" borderId="2" xfId="0" applyFont="1" applyBorder="1"/>
    <xf numFmtId="8" fontId="91" fillId="0" borderId="2" xfId="0" applyNumberFormat="1" applyFont="1" applyBorder="1"/>
    <xf numFmtId="190" fontId="0" fillId="0" borderId="2" xfId="0" applyNumberFormat="1" applyBorder="1"/>
    <xf numFmtId="188" fontId="0" fillId="0" borderId="2" xfId="0" applyNumberFormat="1" applyBorder="1"/>
    <xf numFmtId="8" fontId="91" fillId="0" borderId="0" xfId="0" applyNumberFormat="1" applyFont="1"/>
    <xf numFmtId="6" fontId="96" fillId="4" borderId="101" xfId="0" applyNumberFormat="1" applyFont="1" applyFill="1" applyBorder="1" applyAlignment="1" applyProtection="1">
      <alignment vertical="center" wrapText="1"/>
      <protection hidden="1"/>
    </xf>
    <xf numFmtId="0" fontId="97" fillId="19" borderId="102" xfId="0" applyFont="1" applyFill="1" applyBorder="1" applyAlignment="1" applyProtection="1">
      <alignment horizontal="center" vertical="center" wrapText="1"/>
      <protection locked="0"/>
    </xf>
    <xf numFmtId="0" fontId="97"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91"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91"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90" fillId="0" borderId="9" xfId="3" applyFont="1" applyBorder="1" applyAlignment="1" applyProtection="1">
      <alignment horizontal="center" vertical="center" wrapText="1"/>
      <protection locked="0"/>
    </xf>
    <xf numFmtId="6" fontId="91"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91" fillId="0" borderId="0" xfId="0" applyFont="1" applyAlignment="1">
      <alignment horizontal="center"/>
    </xf>
    <xf numFmtId="9" fontId="0" fillId="0" borderId="9" xfId="3" applyFont="1" applyFill="1" applyBorder="1" applyAlignment="1" applyProtection="1">
      <alignment horizontal="center" vertical="center"/>
      <protection locked="0"/>
    </xf>
    <xf numFmtId="10" fontId="96" fillId="0" borderId="0" xfId="0" applyNumberFormat="1" applyFont="1"/>
    <xf numFmtId="176" fontId="96" fillId="0" borderId="0" xfId="0" applyNumberFormat="1" applyFont="1" applyAlignment="1">
      <alignment horizontal="center"/>
    </xf>
    <xf numFmtId="0" fontId="96" fillId="0" borderId="0" xfId="0" applyFont="1" applyAlignment="1">
      <alignment horizontal="center" vertical="center"/>
    </xf>
    <xf numFmtId="176" fontId="149" fillId="4" borderId="2" xfId="0" applyNumberFormat="1" applyFont="1" applyFill="1" applyBorder="1" applyAlignment="1">
      <alignment horizontal="center" vertical="center"/>
    </xf>
    <xf numFmtId="181" fontId="104" fillId="0" borderId="2" xfId="0" applyNumberFormat="1" applyFont="1" applyBorder="1" applyAlignment="1">
      <alignment horizontal="center" vertical="center"/>
    </xf>
    <xf numFmtId="181" fontId="104" fillId="4" borderId="2" xfId="0" applyNumberFormat="1" applyFont="1" applyFill="1" applyBorder="1" applyAlignment="1">
      <alignment horizontal="center" vertical="center"/>
    </xf>
    <xf numFmtId="0" fontId="149" fillId="4" borderId="4" xfId="0" applyFont="1" applyFill="1" applyBorder="1" applyAlignment="1">
      <alignment horizontal="center" vertical="center"/>
    </xf>
    <xf numFmtId="176" fontId="149" fillId="4" borderId="3" xfId="0" applyNumberFormat="1" applyFont="1" applyFill="1" applyBorder="1" applyAlignment="1">
      <alignment horizontal="center" vertical="center"/>
    </xf>
    <xf numFmtId="181" fontId="104" fillId="0" borderId="3" xfId="0" applyNumberFormat="1" applyFont="1" applyBorder="1" applyAlignment="1">
      <alignment horizontal="center" vertical="center"/>
    </xf>
    <xf numFmtId="181" fontId="104" fillId="4" borderId="3" xfId="0" applyNumberFormat="1" applyFont="1" applyFill="1" applyBorder="1" applyAlignment="1">
      <alignment horizontal="center" vertical="center"/>
    </xf>
    <xf numFmtId="0" fontId="149" fillId="4" borderId="5" xfId="0" applyFont="1" applyFill="1" applyBorder="1" applyAlignment="1">
      <alignment horizontal="center" vertical="center"/>
    </xf>
    <xf numFmtId="181" fontId="104" fillId="0" borderId="6" xfId="0" applyNumberFormat="1" applyFont="1" applyBorder="1" applyAlignment="1">
      <alignment horizontal="center" vertical="center"/>
    </xf>
    <xf numFmtId="181" fontId="104" fillId="0" borderId="7" xfId="0" applyNumberFormat="1" applyFont="1" applyBorder="1" applyAlignment="1">
      <alignment horizontal="center" vertical="center"/>
    </xf>
    <xf numFmtId="0" fontId="91" fillId="0" borderId="2" xfId="0" applyFont="1" applyBorder="1" applyAlignment="1">
      <alignment horizontal="center"/>
    </xf>
    <xf numFmtId="14" fontId="91" fillId="4" borderId="3" xfId="0" applyNumberFormat="1" applyFont="1" applyFill="1" applyBorder="1"/>
    <xf numFmtId="0" fontId="96" fillId="0" borderId="19" xfId="0" applyFont="1" applyBorder="1" applyAlignment="1">
      <alignment horizontal="center"/>
    </xf>
    <xf numFmtId="2" fontId="96" fillId="0" borderId="15" xfId="0" applyNumberFormat="1" applyFont="1" applyBorder="1" applyAlignment="1">
      <alignment horizontal="center"/>
    </xf>
    <xf numFmtId="0" fontId="96" fillId="0" borderId="16" xfId="0" applyFont="1" applyBorder="1" applyAlignment="1">
      <alignment horizontal="center"/>
    </xf>
    <xf numFmtId="8" fontId="96" fillId="0" borderId="39" xfId="0" applyNumberFormat="1" applyFont="1" applyBorder="1" applyAlignment="1">
      <alignment horizontal="center"/>
    </xf>
    <xf numFmtId="0" fontId="96" fillId="4" borderId="0" xfId="0" applyFont="1" applyFill="1"/>
    <xf numFmtId="0" fontId="96" fillId="4" borderId="0" xfId="0" applyFont="1" applyFill="1" applyAlignment="1">
      <alignment horizontal="center"/>
    </xf>
    <xf numFmtId="2" fontId="91" fillId="0" borderId="141" xfId="0" applyNumberFormat="1" applyFont="1" applyBorder="1" applyAlignment="1" applyProtection="1">
      <alignment horizontal="center" vertical="center" wrapText="1"/>
      <protection locked="0" hidden="1"/>
    </xf>
    <xf numFmtId="6" fontId="96"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96" fillId="4" borderId="21" xfId="0" applyFont="1" applyFill="1" applyBorder="1" applyAlignment="1" applyProtection="1">
      <alignment horizontal="center" vertical="center"/>
      <protection locked="0"/>
    </xf>
    <xf numFmtId="6" fontId="96" fillId="4" borderId="11" xfId="0" applyNumberFormat="1" applyFont="1" applyFill="1" applyBorder="1" applyAlignment="1" applyProtection="1">
      <alignment horizontal="center" vertical="center" wrapText="1"/>
      <protection hidden="1"/>
    </xf>
    <xf numFmtId="6" fontId="96" fillId="4" borderId="54" xfId="0" applyNumberFormat="1" applyFont="1" applyFill="1" applyBorder="1" applyAlignment="1" applyProtection="1">
      <alignment horizontal="center" vertical="center" wrapText="1"/>
      <protection hidden="1"/>
    </xf>
    <xf numFmtId="8" fontId="96"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91" fillId="4" borderId="2" xfId="0" applyFont="1" applyFill="1" applyBorder="1" applyAlignment="1" applyProtection="1">
      <alignment vertical="center"/>
      <protection hidden="1"/>
    </xf>
    <xf numFmtId="8" fontId="91" fillId="4" borderId="2" xfId="0" applyNumberFormat="1" applyFont="1" applyFill="1" applyBorder="1" applyAlignment="1" applyProtection="1">
      <alignment vertical="center"/>
      <protection hidden="1"/>
    </xf>
    <xf numFmtId="0" fontId="91" fillId="0" borderId="12" xfId="0" applyFont="1" applyBorder="1" applyAlignment="1">
      <alignment vertical="center"/>
    </xf>
    <xf numFmtId="8" fontId="91"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19" fillId="4" borderId="0" xfId="3" quotePrefix="1" applyFont="1" applyFill="1" applyBorder="1" applyAlignment="1" applyProtection="1">
      <alignment horizontal="center" vertical="center" wrapText="1"/>
      <protection hidden="1"/>
    </xf>
    <xf numFmtId="9" fontId="119" fillId="4" borderId="0" xfId="3" applyFont="1" applyFill="1" applyBorder="1" applyAlignment="1" applyProtection="1">
      <alignment horizontal="center" vertical="center"/>
      <protection hidden="1"/>
    </xf>
    <xf numFmtId="0" fontId="96" fillId="4" borderId="0" xfId="0" applyFont="1" applyFill="1" applyProtection="1">
      <protection hidden="1"/>
    </xf>
    <xf numFmtId="14" fontId="0" fillId="0" borderId="2" xfId="0" applyNumberFormat="1" applyBorder="1" applyProtection="1">
      <protection locked="0"/>
    </xf>
    <xf numFmtId="0" fontId="91"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54" fillId="0" borderId="2" xfId="0" applyNumberFormat="1" applyFont="1" applyBorder="1" applyAlignment="1" applyProtection="1">
      <alignment vertical="center"/>
      <protection locked="0"/>
    </xf>
    <xf numFmtId="0" fontId="154" fillId="4" borderId="0" xfId="0" applyFont="1" applyFill="1" applyAlignment="1">
      <alignment vertical="center"/>
    </xf>
    <xf numFmtId="0" fontId="154" fillId="0" borderId="0" xfId="0" applyFont="1" applyAlignment="1">
      <alignment vertical="center"/>
    </xf>
    <xf numFmtId="0" fontId="154" fillId="0" borderId="0" xfId="0" applyFont="1" applyAlignment="1">
      <alignment horizontal="center" vertical="center"/>
    </xf>
    <xf numFmtId="10" fontId="96"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29" fillId="0" borderId="5" xfId="0" applyNumberFormat="1" applyFont="1" applyBorder="1" applyAlignment="1">
      <alignment horizontal="center" vertical="center" wrapText="1"/>
    </xf>
    <xf numFmtId="0" fontId="156"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91"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80" fillId="0" borderId="2" xfId="0" applyNumberFormat="1" applyFont="1" applyBorder="1" applyAlignment="1" applyProtection="1">
      <alignment horizontal="center" vertical="center"/>
      <protection locked="0" hidden="1"/>
    </xf>
    <xf numFmtId="0" fontId="119" fillId="4" borderId="103" xfId="0" applyFont="1" applyFill="1" applyBorder="1" applyAlignment="1">
      <alignment vertical="center"/>
    </xf>
    <xf numFmtId="8" fontId="80" fillId="4" borderId="2" xfId="0" applyNumberFormat="1" applyFont="1" applyFill="1" applyBorder="1" applyAlignment="1">
      <alignment horizontal="center" vertical="center"/>
    </xf>
    <xf numFmtId="0" fontId="80" fillId="0" borderId="2" xfId="0" applyFont="1" applyBorder="1" applyAlignment="1" applyProtection="1">
      <alignment horizontal="center" vertical="center"/>
      <protection locked="0" hidden="1"/>
    </xf>
    <xf numFmtId="0" fontId="119" fillId="4" borderId="3" xfId="0" applyFont="1" applyFill="1" applyBorder="1" applyAlignment="1">
      <alignment horizontal="center" vertical="center"/>
    </xf>
    <xf numFmtId="8" fontId="93" fillId="6" borderId="41" xfId="0" applyNumberFormat="1" applyFont="1" applyFill="1" applyBorder="1" applyAlignment="1" applyProtection="1">
      <alignment horizontal="center" vertical="center"/>
      <protection locked="0"/>
    </xf>
    <xf numFmtId="0" fontId="97" fillId="4" borderId="27" xfId="0" applyFont="1" applyFill="1" applyBorder="1" applyAlignment="1">
      <alignment horizontal="center" vertical="center"/>
    </xf>
    <xf numFmtId="14" fontId="93" fillId="6" borderId="2" xfId="0" applyNumberFormat="1" applyFont="1" applyFill="1" applyBorder="1" applyAlignment="1" applyProtection="1">
      <alignment horizontal="center" vertical="center"/>
      <protection locked="0"/>
    </xf>
    <xf numFmtId="10" fontId="93" fillId="6" borderId="2" xfId="0" applyNumberFormat="1" applyFont="1" applyFill="1" applyBorder="1" applyAlignment="1" applyProtection="1">
      <alignment horizontal="center" vertical="center"/>
      <protection locked="0"/>
    </xf>
    <xf numFmtId="0" fontId="96" fillId="0" borderId="0" xfId="0" applyFont="1" applyAlignment="1">
      <alignment vertical="center" wrapText="1"/>
    </xf>
    <xf numFmtId="0" fontId="159" fillId="0" borderId="3" xfId="0" applyFont="1" applyBorder="1" applyAlignment="1">
      <alignment horizontal="center" vertical="center" wrapText="1"/>
    </xf>
    <xf numFmtId="0" fontId="40"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96" fillId="4" borderId="23" xfId="0" applyFont="1" applyFill="1" applyBorder="1" applyAlignment="1">
      <alignment vertical="center" wrapText="1"/>
    </xf>
    <xf numFmtId="0" fontId="97" fillId="4" borderId="41" xfId="0" applyFont="1" applyFill="1" applyBorder="1" applyAlignment="1">
      <alignment horizontal="right" vertical="center"/>
    </xf>
    <xf numFmtId="0" fontId="97" fillId="4" borderId="27" xfId="0" applyFont="1" applyFill="1" applyBorder="1" applyAlignment="1">
      <alignment horizontal="right" vertical="center"/>
    </xf>
    <xf numFmtId="0" fontId="108" fillId="4" borderId="19" xfId="0" applyFont="1" applyFill="1" applyBorder="1" applyAlignment="1">
      <alignment vertical="center"/>
    </xf>
    <xf numFmtId="0" fontId="96" fillId="4" borderId="44" xfId="0" applyFont="1" applyFill="1" applyBorder="1" applyAlignment="1">
      <alignment vertical="center" wrapText="1"/>
    </xf>
    <xf numFmtId="6" fontId="93" fillId="4" borderId="2" xfId="0" applyNumberFormat="1" applyFont="1" applyFill="1" applyBorder="1" applyAlignment="1" applyProtection="1">
      <alignment horizontal="left" vertical="center" wrapText="1"/>
      <protection hidden="1"/>
    </xf>
    <xf numFmtId="10" fontId="93" fillId="4" borderId="21" xfId="3" applyNumberFormat="1" applyFont="1" applyFill="1" applyBorder="1" applyAlignment="1">
      <alignment horizontal="center" vertical="center" wrapText="1"/>
    </xf>
    <xf numFmtId="10" fontId="93"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80" fillId="0" borderId="6" xfId="0" applyNumberFormat="1" applyFont="1" applyBorder="1" applyAlignment="1" applyProtection="1">
      <alignment horizontal="center" vertical="center" wrapText="1"/>
      <protection locked="0"/>
    </xf>
    <xf numFmtId="185" fontId="80" fillId="0" borderId="7" xfId="0" applyNumberFormat="1" applyFont="1" applyBorder="1" applyAlignment="1" applyProtection="1">
      <alignment horizontal="center" vertical="center" wrapText="1"/>
      <protection locked="0"/>
    </xf>
    <xf numFmtId="0" fontId="145" fillId="0" borderId="41" xfId="0" applyFont="1" applyBorder="1" applyAlignment="1" applyProtection="1">
      <alignment horizontal="center" vertical="center" wrapText="1"/>
      <protection locked="0"/>
    </xf>
    <xf numFmtId="0" fontId="145" fillId="0" borderId="145" xfId="0" applyFont="1" applyBorder="1" applyAlignment="1" applyProtection="1">
      <alignment horizontal="center" vertical="center" wrapText="1"/>
      <protection locked="0"/>
    </xf>
    <xf numFmtId="0" fontId="91" fillId="0" borderId="0" xfId="0" applyFont="1" applyAlignment="1" applyProtection="1">
      <alignment horizontal="center" vertical="center"/>
      <protection locked="0"/>
    </xf>
    <xf numFmtId="8" fontId="80" fillId="4" borderId="0" xfId="0" applyNumberFormat="1" applyFont="1" applyFill="1" applyAlignment="1" applyProtection="1">
      <alignment horizontal="center" vertical="center" wrapText="1"/>
      <protection hidden="1"/>
    </xf>
    <xf numFmtId="0" fontId="46"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93"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96" fillId="0" borderId="2" xfId="0" applyFont="1" applyBorder="1" applyAlignment="1">
      <alignment horizontal="left" vertical="center" wrapText="1"/>
    </xf>
    <xf numFmtId="0" fontId="93" fillId="0" borderId="2" xfId="0" applyFont="1" applyBorder="1" applyAlignment="1">
      <alignment horizontal="left" vertical="center" wrapText="1"/>
    </xf>
    <xf numFmtId="0" fontId="93" fillId="0" borderId="2" xfId="0" applyFont="1" applyBorder="1" applyAlignment="1">
      <alignment horizontal="center" vertical="center" wrapText="1"/>
    </xf>
    <xf numFmtId="0" fontId="131"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67" fillId="0" borderId="0" xfId="3" applyNumberFormat="1" applyFill="1" applyAlignment="1">
      <alignment horizontal="center"/>
    </xf>
    <xf numFmtId="2" fontId="0" fillId="0" borderId="0" xfId="0" applyNumberFormat="1" applyAlignment="1">
      <alignment vertical="center"/>
    </xf>
    <xf numFmtId="0" fontId="54" fillId="0" borderId="0" xfId="2" applyNumberFormat="1" applyBorder="1" applyAlignment="1" applyProtection="1"/>
    <xf numFmtId="172" fontId="114" fillId="0" borderId="0" xfId="0" applyNumberFormat="1" applyFont="1" applyAlignment="1">
      <alignment vertical="center"/>
    </xf>
    <xf numFmtId="0" fontId="96" fillId="11" borderId="19" xfId="0" applyFont="1" applyFill="1" applyBorder="1" applyProtection="1">
      <protection hidden="1"/>
    </xf>
    <xf numFmtId="0" fontId="96" fillId="11" borderId="0" xfId="0" applyFont="1" applyFill="1" applyProtection="1">
      <protection hidden="1"/>
    </xf>
    <xf numFmtId="0" fontId="96" fillId="11" borderId="15" xfId="0" applyFont="1" applyFill="1" applyBorder="1" applyProtection="1">
      <protection hidden="1"/>
    </xf>
    <xf numFmtId="8" fontId="71" fillId="0" borderId="3" xfId="0" applyNumberFormat="1" applyFont="1" applyBorder="1" applyAlignment="1" applyProtection="1">
      <alignment horizontal="center"/>
      <protection hidden="1"/>
    </xf>
    <xf numFmtId="0" fontId="97" fillId="4" borderId="2" xfId="0" applyFont="1" applyFill="1" applyBorder="1" applyAlignment="1" applyProtection="1">
      <alignment horizontal="left" vertical="center" wrapText="1"/>
      <protection locked="0"/>
    </xf>
    <xf numFmtId="0" fontId="97" fillId="4" borderId="2" xfId="0" applyFont="1" applyFill="1" applyBorder="1" applyAlignment="1" applyProtection="1">
      <alignment horizontal="center" vertical="center" wrapText="1"/>
      <protection locked="0"/>
    </xf>
    <xf numFmtId="0" fontId="112" fillId="4" borderId="2" xfId="0" applyFont="1" applyFill="1" applyBorder="1" applyAlignment="1" applyProtection="1">
      <alignment horizontal="left" vertical="center" wrapText="1"/>
      <protection locked="0"/>
    </xf>
    <xf numFmtId="16" fontId="93"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29" fillId="0" borderId="3" xfId="3" applyNumberFormat="1" applyFont="1" applyBorder="1" applyAlignment="1">
      <alignment horizontal="center" vertical="center" wrapText="1"/>
    </xf>
    <xf numFmtId="10" fontId="129"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46" fillId="4" borderId="26" xfId="0" applyFont="1" applyFill="1" applyBorder="1" applyAlignment="1" applyProtection="1">
      <alignment horizontal="left" vertical="center" wrapText="1"/>
      <protection hidden="1"/>
    </xf>
    <xf numFmtId="9" fontId="91" fillId="0" borderId="27" xfId="0" applyNumberFormat="1" applyFont="1" applyBorder="1" applyAlignment="1" applyProtection="1">
      <alignment horizontal="center" vertical="center"/>
      <protection locked="0"/>
    </xf>
    <xf numFmtId="0" fontId="81" fillId="0" borderId="0" xfId="0" applyFont="1" applyAlignment="1">
      <alignment horizontal="center"/>
    </xf>
    <xf numFmtId="4" fontId="81" fillId="0" borderId="0" xfId="0" applyNumberFormat="1" applyFont="1" applyAlignment="1">
      <alignment horizontal="center"/>
    </xf>
    <xf numFmtId="14" fontId="81"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82" fillId="0" borderId="0" xfId="0" applyFont="1" applyAlignment="1">
      <alignment vertical="center"/>
    </xf>
    <xf numFmtId="0" fontId="82" fillId="0" borderId="0" xfId="0" applyFont="1" applyAlignment="1">
      <alignment horizontal="center" vertical="center"/>
    </xf>
    <xf numFmtId="4" fontId="81" fillId="0" borderId="0" xfId="0" applyNumberFormat="1" applyFont="1" applyAlignment="1">
      <alignment vertical="center"/>
    </xf>
    <xf numFmtId="178" fontId="81" fillId="0" borderId="0" xfId="0" applyNumberFormat="1" applyFont="1" applyAlignment="1">
      <alignment horizontal="center" vertical="center"/>
    </xf>
    <xf numFmtId="0" fontId="49" fillId="0" borderId="0" xfId="0" applyFont="1"/>
    <xf numFmtId="166" fontId="90" fillId="0" borderId="0" xfId="8" applyFont="1" applyFill="1"/>
    <xf numFmtId="0" fontId="99" fillId="0" borderId="0" xfId="0" applyFont="1" applyAlignment="1">
      <alignment horizontal="center"/>
    </xf>
    <xf numFmtId="4" fontId="99" fillId="0" borderId="0" xfId="0" applyNumberFormat="1" applyFont="1"/>
    <xf numFmtId="0" fontId="99" fillId="0" borderId="0" xfId="0" applyFont="1"/>
    <xf numFmtId="0" fontId="0" fillId="0" borderId="23" xfId="0" applyBorder="1"/>
    <xf numFmtId="0" fontId="49" fillId="0" borderId="23" xfId="0" applyFont="1" applyBorder="1"/>
    <xf numFmtId="2" fontId="0" fillId="4" borderId="0" xfId="0" applyNumberFormat="1" applyFill="1"/>
    <xf numFmtId="0" fontId="58" fillId="4" borderId="0" xfId="0" applyFont="1" applyFill="1" applyAlignment="1" applyProtection="1">
      <alignment vertical="center"/>
      <protection hidden="1"/>
    </xf>
    <xf numFmtId="0" fontId="91"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91"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43" fillId="0" borderId="0" xfId="0" applyFont="1" applyAlignment="1">
      <alignment horizontal="right" wrapText="1"/>
    </xf>
    <xf numFmtId="0" fontId="143"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91" fillId="4" borderId="77" xfId="0" applyFont="1" applyFill="1" applyBorder="1" applyAlignment="1" applyProtection="1">
      <alignment horizontal="left" vertical="center"/>
      <protection hidden="1"/>
    </xf>
    <xf numFmtId="0" fontId="91" fillId="4" borderId="63" xfId="0" applyFont="1" applyFill="1" applyBorder="1" applyAlignment="1" applyProtection="1">
      <alignment horizontal="left" vertical="center"/>
      <protection hidden="1"/>
    </xf>
    <xf numFmtId="0" fontId="91"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96" fillId="4" borderId="77" xfId="0" applyFont="1" applyFill="1" applyBorder="1" applyAlignment="1" applyProtection="1">
      <alignment horizontal="center" vertical="center"/>
      <protection hidden="1"/>
    </xf>
    <xf numFmtId="0" fontId="91" fillId="4" borderId="68" xfId="0" applyFont="1" applyFill="1" applyBorder="1" applyAlignment="1" applyProtection="1">
      <alignment vertical="center"/>
      <protection hidden="1"/>
    </xf>
    <xf numFmtId="9" fontId="97"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91"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90" fillId="4" borderId="100" xfId="3" applyNumberFormat="1" applyFont="1" applyFill="1" applyBorder="1" applyAlignment="1" applyProtection="1">
      <alignment horizontal="center" vertical="center" wrapText="1"/>
      <protection hidden="1"/>
    </xf>
    <xf numFmtId="6" fontId="91" fillId="4" borderId="104" xfId="0" applyNumberFormat="1" applyFont="1" applyFill="1" applyBorder="1" applyAlignment="1" applyProtection="1">
      <alignment horizontal="center" vertical="center" wrapText="1"/>
      <protection hidden="1"/>
    </xf>
    <xf numFmtId="10" fontId="90" fillId="4" borderId="29" xfId="3" applyNumberFormat="1" applyFont="1" applyFill="1" applyBorder="1" applyAlignment="1" applyProtection="1">
      <alignment horizontal="center" vertical="center"/>
      <protection hidden="1"/>
    </xf>
    <xf numFmtId="6" fontId="80" fillId="4" borderId="100" xfId="0" applyNumberFormat="1" applyFont="1" applyFill="1" applyBorder="1" applyAlignment="1" applyProtection="1">
      <alignment horizontal="center" vertical="center" wrapText="1"/>
      <protection hidden="1"/>
    </xf>
    <xf numFmtId="6" fontId="80" fillId="4" borderId="100" xfId="0" applyNumberFormat="1" applyFont="1" applyFill="1" applyBorder="1" applyAlignment="1" applyProtection="1">
      <alignment horizontal="center" vertical="center"/>
      <protection hidden="1"/>
    </xf>
    <xf numFmtId="6" fontId="80" fillId="4" borderId="68" xfId="0" applyNumberFormat="1" applyFont="1" applyFill="1" applyBorder="1" applyAlignment="1" applyProtection="1">
      <alignment horizontal="center" vertical="center"/>
      <protection hidden="1"/>
    </xf>
    <xf numFmtId="6" fontId="91" fillId="4" borderId="105" xfId="0" applyNumberFormat="1" applyFont="1" applyFill="1" applyBorder="1" applyAlignment="1" applyProtection="1">
      <alignment horizontal="center" vertical="center" wrapText="1"/>
      <protection hidden="1"/>
    </xf>
    <xf numFmtId="6" fontId="91" fillId="4" borderId="119" xfId="0" applyNumberFormat="1" applyFont="1" applyFill="1" applyBorder="1" applyAlignment="1" applyProtection="1">
      <alignment horizontal="center" vertical="center" wrapText="1"/>
      <protection hidden="1"/>
    </xf>
    <xf numFmtId="9" fontId="146" fillId="4" borderId="18" xfId="0" applyNumberFormat="1" applyFont="1" applyFill="1" applyBorder="1" applyAlignment="1" applyProtection="1">
      <alignment horizontal="center" vertical="center"/>
      <protection hidden="1"/>
    </xf>
    <xf numFmtId="0" fontId="54" fillId="4" borderId="102" xfId="2" applyNumberFormat="1" applyFill="1" applyBorder="1" applyAlignment="1" applyProtection="1">
      <alignment horizontal="center" vertical="center" wrapText="1"/>
      <protection hidden="1"/>
    </xf>
    <xf numFmtId="6" fontId="91" fillId="4" borderId="100" xfId="0" applyNumberFormat="1" applyFont="1" applyFill="1" applyBorder="1" applyAlignment="1" applyProtection="1">
      <alignment horizontal="center" vertical="center"/>
      <protection hidden="1"/>
    </xf>
    <xf numFmtId="8" fontId="95"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91" fillId="4" borderId="141" xfId="3" applyNumberFormat="1" applyFont="1" applyFill="1" applyBorder="1" applyAlignment="1" applyProtection="1">
      <alignment horizontal="center" vertical="center" wrapText="1"/>
      <protection hidden="1"/>
    </xf>
    <xf numFmtId="6" fontId="91" fillId="4" borderId="141" xfId="0" applyNumberFormat="1" applyFont="1" applyFill="1" applyBorder="1" applyAlignment="1" applyProtection="1">
      <alignment horizontal="center" vertical="center"/>
      <protection hidden="1"/>
    </xf>
    <xf numFmtId="6" fontId="91" fillId="4" borderId="143" xfId="0" applyNumberFormat="1" applyFont="1" applyFill="1" applyBorder="1" applyAlignment="1" applyProtection="1">
      <alignment horizontal="center" vertical="center" wrapText="1"/>
      <protection hidden="1"/>
    </xf>
    <xf numFmtId="10" fontId="90" fillId="4" borderId="140" xfId="3" applyNumberFormat="1" applyFont="1" applyFill="1" applyBorder="1" applyAlignment="1" applyProtection="1">
      <alignment horizontal="center" vertical="center"/>
      <protection hidden="1"/>
    </xf>
    <xf numFmtId="8" fontId="95" fillId="4" borderId="68" xfId="0" applyNumberFormat="1" applyFont="1" applyFill="1" applyBorder="1" applyAlignment="1" applyProtection="1">
      <alignment horizontal="center" vertical="center" wrapText="1"/>
      <protection hidden="1"/>
    </xf>
    <xf numFmtId="2" fontId="119" fillId="4" borderId="135" xfId="0" applyNumberFormat="1" applyFont="1" applyFill="1" applyBorder="1" applyAlignment="1" applyProtection="1">
      <alignment horizontal="center" vertical="center"/>
      <protection hidden="1"/>
    </xf>
    <xf numFmtId="8" fontId="119" fillId="4" borderId="135" xfId="0" applyNumberFormat="1" applyFont="1" applyFill="1" applyBorder="1" applyAlignment="1" applyProtection="1">
      <alignment horizontal="center" vertical="center"/>
      <protection hidden="1"/>
    </xf>
    <xf numFmtId="10" fontId="119" fillId="4" borderId="135" xfId="3" applyNumberFormat="1" applyFont="1" applyFill="1" applyBorder="1" applyAlignment="1" applyProtection="1">
      <alignment horizontal="center" vertical="center"/>
      <protection hidden="1"/>
    </xf>
    <xf numFmtId="10" fontId="119" fillId="4" borderId="135" xfId="0" applyNumberFormat="1" applyFont="1" applyFill="1" applyBorder="1" applyAlignment="1" applyProtection="1">
      <alignment horizontal="center" vertical="center"/>
      <protection hidden="1"/>
    </xf>
    <xf numFmtId="6" fontId="119" fillId="4" borderId="135" xfId="0" applyNumberFormat="1" applyFont="1" applyFill="1" applyBorder="1" applyAlignment="1" applyProtection="1">
      <alignment horizontal="center" vertical="center" wrapText="1"/>
      <protection hidden="1"/>
    </xf>
    <xf numFmtId="9" fontId="119" fillId="4" borderId="135" xfId="0" applyNumberFormat="1" applyFont="1" applyFill="1" applyBorder="1" applyAlignment="1" applyProtection="1">
      <alignment horizontal="center" vertical="center"/>
      <protection hidden="1"/>
    </xf>
    <xf numFmtId="6" fontId="148" fillId="4" borderId="135" xfId="0" applyNumberFormat="1" applyFont="1" applyFill="1" applyBorder="1" applyAlignment="1" applyProtection="1">
      <alignment horizontal="center" vertical="center"/>
      <protection hidden="1"/>
    </xf>
    <xf numFmtId="6" fontId="119" fillId="4" borderId="137" xfId="0" applyNumberFormat="1" applyFont="1" applyFill="1" applyBorder="1" applyAlignment="1" applyProtection="1">
      <alignment horizontal="center" vertical="center"/>
      <protection hidden="1"/>
    </xf>
    <xf numFmtId="10" fontId="119" fillId="4" borderId="134" xfId="3" applyNumberFormat="1" applyFont="1" applyFill="1" applyBorder="1" applyAlignment="1" applyProtection="1">
      <alignment horizontal="center" vertical="center"/>
      <protection hidden="1"/>
    </xf>
    <xf numFmtId="167" fontId="132" fillId="4" borderId="135" xfId="0" applyNumberFormat="1" applyFont="1" applyFill="1" applyBorder="1" applyAlignment="1" applyProtection="1">
      <alignment horizontal="center" vertical="center" wrapText="1"/>
      <protection hidden="1"/>
    </xf>
    <xf numFmtId="0" fontId="106" fillId="4" borderId="2" xfId="0" applyFont="1" applyFill="1" applyBorder="1" applyAlignment="1" applyProtection="1">
      <alignment horizontal="center" vertical="center" wrapText="1"/>
      <protection hidden="1"/>
    </xf>
    <xf numFmtId="0" fontId="106" fillId="4" borderId="3" xfId="0" applyFont="1" applyFill="1" applyBorder="1" applyAlignment="1" applyProtection="1">
      <alignment horizontal="center" vertical="center"/>
      <protection hidden="1"/>
    </xf>
    <xf numFmtId="0" fontId="96" fillId="4" borderId="2" xfId="0" applyFont="1" applyFill="1" applyBorder="1" applyAlignment="1" applyProtection="1">
      <alignment horizontal="center" vertical="center"/>
      <protection hidden="1"/>
    </xf>
    <xf numFmtId="0" fontId="106"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40"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95" fillId="0" borderId="3" xfId="0" applyNumberFormat="1" applyFont="1" applyBorder="1" applyAlignment="1" applyProtection="1">
      <alignment horizontal="center" vertical="center"/>
      <protection locked="0"/>
    </xf>
    <xf numFmtId="8" fontId="95" fillId="0" borderId="3" xfId="0" applyNumberFormat="1" applyFont="1" applyBorder="1" applyAlignment="1" applyProtection="1">
      <alignment horizontal="center" vertical="center"/>
      <protection locked="0"/>
    </xf>
    <xf numFmtId="10" fontId="95"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19" fillId="4" borderId="77" xfId="0" applyNumberFormat="1" applyFont="1" applyFill="1" applyBorder="1" applyAlignment="1" applyProtection="1">
      <alignment horizontal="center" vertical="center"/>
      <protection hidden="1"/>
    </xf>
    <xf numFmtId="2" fontId="119" fillId="4" borderId="2" xfId="0" applyNumberFormat="1" applyFont="1" applyFill="1" applyBorder="1" applyAlignment="1" applyProtection="1">
      <alignment horizontal="center" vertical="center"/>
      <protection hidden="1"/>
    </xf>
    <xf numFmtId="0" fontId="53" fillId="22" borderId="0" xfId="0" applyFont="1" applyFill="1"/>
    <xf numFmtId="167" fontId="0" fillId="0" borderId="2" xfId="0" applyNumberFormat="1" applyBorder="1" applyAlignment="1">
      <alignment horizontal="center"/>
    </xf>
    <xf numFmtId="10" fontId="67" fillId="0" borderId="2" xfId="3" applyNumberFormat="1" applyFill="1" applyBorder="1" applyAlignment="1">
      <alignment horizontal="center"/>
    </xf>
    <xf numFmtId="173" fontId="91" fillId="0" borderId="135" xfId="0" applyNumberFormat="1" applyFont="1" applyBorder="1" applyAlignment="1" applyProtection="1">
      <alignment horizontal="center" vertical="center"/>
      <protection locked="0"/>
    </xf>
    <xf numFmtId="0" fontId="91" fillId="4" borderId="2" xfId="0" applyFont="1" applyFill="1" applyBorder="1" applyAlignment="1">
      <alignment horizontal="center"/>
    </xf>
    <xf numFmtId="0" fontId="168"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48"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91" fillId="4" borderId="2" xfId="0" applyFont="1" applyFill="1" applyBorder="1" applyAlignment="1">
      <alignment horizontal="center" vertical="center" wrapText="1"/>
    </xf>
    <xf numFmtId="0" fontId="91" fillId="4" borderId="2" xfId="0" applyFont="1" applyFill="1" applyBorder="1" applyAlignment="1" applyProtection="1">
      <alignment horizontal="left" vertical="center" wrapText="1"/>
      <protection locked="0"/>
    </xf>
    <xf numFmtId="0" fontId="96" fillId="0" borderId="2" xfId="0" applyFont="1" applyBorder="1" applyAlignment="1">
      <alignment vertical="center" wrapText="1"/>
    </xf>
    <xf numFmtId="0" fontId="54" fillId="0" borderId="2" xfId="2" applyNumberFormat="1" applyBorder="1" applyAlignment="1" applyProtection="1">
      <alignment vertical="center" wrapText="1"/>
    </xf>
    <xf numFmtId="0" fontId="162" fillId="0" borderId="2" xfId="0" applyFont="1" applyBorder="1" applyAlignment="1">
      <alignment wrapText="1"/>
    </xf>
    <xf numFmtId="0" fontId="161" fillId="0" borderId="2" xfId="2" applyNumberFormat="1" applyFont="1" applyBorder="1" applyAlignment="1" applyProtection="1">
      <alignment horizontal="left" vertical="center" wrapText="1"/>
    </xf>
    <xf numFmtId="0" fontId="54" fillId="0" borderId="2" xfId="2" applyNumberFormat="1" applyBorder="1" applyAlignment="1" applyProtection="1"/>
    <xf numFmtId="0" fontId="161" fillId="0" borderId="2" xfId="2" applyNumberFormat="1" applyFont="1" applyBorder="1" applyAlignment="1" applyProtection="1">
      <alignment vertical="center" wrapText="1"/>
    </xf>
    <xf numFmtId="14" fontId="143" fillId="0" borderId="0" xfId="0" applyNumberFormat="1" applyFont="1"/>
    <xf numFmtId="0" fontId="171" fillId="0" borderId="0" xfId="0" applyFont="1"/>
    <xf numFmtId="0" fontId="36"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80" fillId="4" borderId="81" xfId="0" applyFont="1" applyFill="1" applyBorder="1" applyAlignment="1" applyProtection="1">
      <alignment horizontal="right" vertical="center" wrapText="1"/>
      <protection locked="0"/>
    </xf>
    <xf numFmtId="2" fontId="119" fillId="4" borderId="9" xfId="0" applyNumberFormat="1" applyFont="1" applyFill="1" applyBorder="1" applyAlignment="1" applyProtection="1">
      <alignment horizontal="center" vertical="center"/>
      <protection hidden="1"/>
    </xf>
    <xf numFmtId="8" fontId="91"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45"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91" fillId="0" borderId="31" xfId="0" applyFont="1" applyBorder="1" applyAlignment="1">
      <alignment vertical="center" wrapText="1"/>
    </xf>
    <xf numFmtId="0" fontId="91" fillId="0" borderId="28" xfId="0" applyFont="1" applyBorder="1" applyAlignment="1">
      <alignment vertical="center" wrapText="1"/>
    </xf>
    <xf numFmtId="8" fontId="112" fillId="0" borderId="0" xfId="0" applyNumberFormat="1" applyFont="1" applyAlignment="1">
      <alignment horizontal="center" vertical="center" wrapText="1"/>
    </xf>
    <xf numFmtId="188" fontId="91" fillId="0" borderId="41" xfId="0" applyNumberFormat="1" applyFont="1" applyBorder="1" applyAlignment="1">
      <alignment horizontal="center" vertical="center" wrapText="1"/>
    </xf>
    <xf numFmtId="8" fontId="112" fillId="0" borderId="2" xfId="0" applyNumberFormat="1" applyFont="1" applyBorder="1" applyAlignment="1">
      <alignment horizontal="center" vertical="center" wrapText="1"/>
    </xf>
    <xf numFmtId="9" fontId="112" fillId="0" borderId="2" xfId="3" applyFont="1" applyBorder="1" applyAlignment="1">
      <alignment horizontal="center" vertical="center" wrapText="1"/>
    </xf>
    <xf numFmtId="165" fontId="0" fillId="0" borderId="0" xfId="0" applyNumberFormat="1" applyAlignment="1">
      <alignment vertical="center"/>
    </xf>
    <xf numFmtId="9" fontId="90"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67" fillId="0" borderId="0" xfId="3" applyNumberFormat="1" applyFill="1"/>
    <xf numFmtId="176" fontId="103" fillId="0" borderId="0" xfId="0" applyNumberFormat="1" applyFont="1"/>
    <xf numFmtId="0" fontId="103"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91" fillId="0" borderId="0" xfId="0" applyFont="1" applyAlignment="1">
      <alignment horizontal="center" vertical="center"/>
    </xf>
    <xf numFmtId="8" fontId="174"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01" fillId="0" borderId="0" xfId="0" applyFont="1" applyAlignment="1">
      <alignment vertical="center"/>
    </xf>
    <xf numFmtId="10" fontId="112" fillId="4" borderId="133" xfId="3" applyNumberFormat="1" applyFont="1" applyFill="1" applyBorder="1" applyAlignment="1" applyProtection="1">
      <alignment vertical="top" wrapText="1"/>
      <protection hidden="1"/>
    </xf>
    <xf numFmtId="0" fontId="91" fillId="4" borderId="4" xfId="0" applyFont="1" applyFill="1" applyBorder="1" applyAlignment="1" applyProtection="1">
      <alignment vertical="center"/>
      <protection hidden="1"/>
    </xf>
    <xf numFmtId="8" fontId="96" fillId="4" borderId="2" xfId="0" applyNumberFormat="1" applyFont="1" applyFill="1" applyBorder="1" applyAlignment="1" applyProtection="1">
      <alignment horizontal="center" vertical="center"/>
      <protection hidden="1"/>
    </xf>
    <xf numFmtId="0" fontId="96" fillId="4" borderId="3" xfId="0" applyFont="1" applyFill="1" applyBorder="1" applyAlignment="1" applyProtection="1">
      <alignment horizontal="center" vertical="center"/>
      <protection hidden="1"/>
    </xf>
    <xf numFmtId="8" fontId="106"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91" fillId="4" borderId="3" xfId="0" applyFont="1" applyFill="1" applyBorder="1" applyAlignment="1" applyProtection="1">
      <alignment horizontal="right" vertical="center"/>
      <protection hidden="1"/>
    </xf>
    <xf numFmtId="8" fontId="91" fillId="4" borderId="2" xfId="0" applyNumberFormat="1" applyFont="1" applyFill="1" applyBorder="1" applyAlignment="1" applyProtection="1">
      <alignment horizontal="right" vertical="center"/>
      <protection hidden="1"/>
    </xf>
    <xf numFmtId="8" fontId="91"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93" fillId="0" borderId="2" xfId="0" quotePrefix="1" applyNumberFormat="1" applyFont="1" applyBorder="1" applyAlignment="1">
      <alignment horizontal="center" vertical="center" wrapText="1"/>
    </xf>
    <xf numFmtId="0" fontId="54"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97" fillId="4" borderId="21" xfId="0" applyFont="1" applyFill="1" applyBorder="1" applyAlignment="1">
      <alignment horizontal="center"/>
    </xf>
    <xf numFmtId="6" fontId="95" fillId="4" borderId="3" xfId="0" applyNumberFormat="1" applyFont="1" applyFill="1" applyBorder="1" applyAlignment="1">
      <alignment vertical="center"/>
    </xf>
    <xf numFmtId="6" fontId="96" fillId="4" borderId="4" xfId="0" applyNumberFormat="1" applyFont="1" applyFill="1" applyBorder="1" applyAlignment="1" applyProtection="1">
      <alignment horizontal="center" vertical="center" wrapText="1"/>
      <protection hidden="1"/>
    </xf>
    <xf numFmtId="0" fontId="97"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54" fillId="0" borderId="1" xfId="0" applyNumberFormat="1" applyFont="1" applyBorder="1" applyAlignment="1" applyProtection="1">
      <alignment vertical="center"/>
      <protection locked="0"/>
    </xf>
    <xf numFmtId="6" fontId="112" fillId="4" borderId="64" xfId="0" applyNumberFormat="1" applyFont="1" applyFill="1" applyBorder="1" applyAlignment="1" applyProtection="1">
      <alignment vertical="center"/>
      <protection hidden="1"/>
    </xf>
    <xf numFmtId="6" fontId="112" fillId="4" borderId="85" xfId="0" applyNumberFormat="1" applyFont="1" applyFill="1" applyBorder="1" applyAlignment="1" applyProtection="1">
      <alignment vertical="center"/>
      <protection hidden="1"/>
    </xf>
    <xf numFmtId="6" fontId="112"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91" fillId="4" borderId="1" xfId="0" applyNumberFormat="1" applyFont="1" applyFill="1" applyBorder="1" applyAlignment="1" applyProtection="1">
      <alignment vertical="center"/>
      <protection hidden="1"/>
    </xf>
    <xf numFmtId="8" fontId="96" fillId="4" borderId="4" xfId="0" applyNumberFormat="1" applyFont="1" applyFill="1" applyBorder="1" applyAlignment="1" applyProtection="1">
      <alignment vertical="center"/>
      <protection hidden="1"/>
    </xf>
    <xf numFmtId="0" fontId="112" fillId="4" borderId="43" xfId="0" applyFont="1" applyFill="1" applyBorder="1" applyAlignment="1" applyProtection="1">
      <alignment horizontal="left" vertical="center" wrapText="1"/>
      <protection hidden="1"/>
    </xf>
    <xf numFmtId="8" fontId="95"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38" fillId="4" borderId="2" xfId="0" applyNumberFormat="1" applyFont="1" applyFill="1" applyBorder="1" applyAlignment="1" applyProtection="1">
      <alignment horizontal="right" vertical="center"/>
      <protection hidden="1"/>
    </xf>
    <xf numFmtId="0" fontId="91" fillId="4" borderId="4" xfId="0" applyFont="1" applyFill="1" applyBorder="1" applyAlignment="1" applyProtection="1">
      <alignment vertical="center" wrapText="1"/>
      <protection hidden="1"/>
    </xf>
    <xf numFmtId="0" fontId="96" fillId="4" borderId="43" xfId="0" applyFont="1" applyFill="1" applyBorder="1" applyAlignment="1">
      <alignment horizontal="center" vertical="center"/>
    </xf>
    <xf numFmtId="0" fontId="96"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91"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73" fillId="0" borderId="0" xfId="0" applyNumberFormat="1" applyFont="1" applyAlignment="1">
      <alignment horizontal="center"/>
    </xf>
    <xf numFmtId="8" fontId="91" fillId="0" borderId="27" xfId="0" applyNumberFormat="1" applyFont="1" applyBorder="1" applyAlignment="1">
      <alignment horizontal="center"/>
    </xf>
    <xf numFmtId="0" fontId="98" fillId="0" borderId="0" xfId="0" applyFont="1" applyAlignment="1">
      <alignment vertical="center"/>
    </xf>
    <xf numFmtId="0" fontId="69"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12" fillId="4" borderId="0" xfId="0" applyFont="1" applyFill="1" applyAlignment="1">
      <alignment horizontal="center" vertical="center" wrapText="1"/>
    </xf>
    <xf numFmtId="0" fontId="53" fillId="24" borderId="0" xfId="0" applyFont="1" applyFill="1"/>
    <xf numFmtId="0" fontId="128" fillId="0" borderId="26" xfId="0" applyFont="1" applyBorder="1" applyAlignment="1">
      <alignment horizontal="center"/>
    </xf>
    <xf numFmtId="2" fontId="128" fillId="0" borderId="27" xfId="0" applyNumberFormat="1" applyFont="1" applyBorder="1" applyAlignment="1">
      <alignment horizontal="center"/>
    </xf>
    <xf numFmtId="169" fontId="125" fillId="0" borderId="0" xfId="0" applyNumberFormat="1" applyFont="1"/>
    <xf numFmtId="169" fontId="125" fillId="0" borderId="0" xfId="0" applyNumberFormat="1" applyFont="1" applyAlignment="1">
      <alignment vertical="center"/>
    </xf>
    <xf numFmtId="169" fontId="127" fillId="0" borderId="0" xfId="0" applyNumberFormat="1" applyFont="1"/>
    <xf numFmtId="169" fontId="0" fillId="0" borderId="18" xfId="0" applyNumberFormat="1" applyBorder="1"/>
    <xf numFmtId="2" fontId="96"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56" fillId="4" borderId="0" xfId="2" applyNumberFormat="1" applyFont="1" applyFill="1" applyBorder="1" applyAlignment="1" applyProtection="1">
      <alignment vertical="center"/>
    </xf>
    <xf numFmtId="0" fontId="54" fillId="4" borderId="0" xfId="2" applyNumberFormat="1" applyFill="1" applyBorder="1" applyAlignment="1" applyProtection="1">
      <alignment vertical="center"/>
    </xf>
    <xf numFmtId="0" fontId="139" fillId="4" borderId="0" xfId="2" applyNumberFormat="1" applyFont="1" applyFill="1" applyBorder="1" applyAlignment="1" applyProtection="1">
      <alignment vertical="center"/>
    </xf>
    <xf numFmtId="0" fontId="54" fillId="4" borderId="15" xfId="2" applyNumberFormat="1" applyFill="1" applyBorder="1" applyAlignment="1" applyProtection="1">
      <alignment vertical="center"/>
    </xf>
    <xf numFmtId="0" fontId="135" fillId="0" borderId="0" xfId="2" applyNumberFormat="1" applyFont="1" applyAlignment="1" applyProtection="1">
      <alignment horizontal="left"/>
    </xf>
    <xf numFmtId="0" fontId="0" fillId="4" borderId="0" xfId="0" applyFill="1" applyAlignment="1">
      <alignment vertical="center" textRotation="180"/>
    </xf>
    <xf numFmtId="10" fontId="96"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91" fillId="4" borderId="7" xfId="0" applyNumberFormat="1" applyFont="1" applyFill="1" applyBorder="1" applyAlignment="1">
      <alignment horizontal="center" vertical="center"/>
    </xf>
    <xf numFmtId="0" fontId="0" fillId="0" borderId="19" xfId="0" applyBorder="1"/>
    <xf numFmtId="0" fontId="90" fillId="4" borderId="0" xfId="0" applyFont="1" applyFill="1" applyAlignment="1">
      <alignment vertical="center"/>
    </xf>
    <xf numFmtId="165" fontId="71"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02"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77"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52"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90" fillId="4" borderId="19" xfId="0" applyFont="1" applyFill="1" applyBorder="1" applyAlignment="1">
      <alignment vertical="center"/>
    </xf>
    <xf numFmtId="0" fontId="96"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80" fillId="0" borderId="0" xfId="0" applyFont="1"/>
    <xf numFmtId="172" fontId="96" fillId="0" borderId="0" xfId="0" applyNumberFormat="1" applyFont="1" applyAlignment="1">
      <alignment horizontal="center" vertical="center"/>
    </xf>
    <xf numFmtId="10" fontId="96" fillId="0" borderId="0" xfId="3" applyNumberFormat="1" applyFont="1" applyAlignment="1">
      <alignment horizontal="center" vertical="center"/>
    </xf>
    <xf numFmtId="2" fontId="96" fillId="0" borderId="0" xfId="0" applyNumberFormat="1" applyFont="1" applyAlignment="1">
      <alignment horizontal="center" vertical="center"/>
    </xf>
    <xf numFmtId="0" fontId="113" fillId="4" borderId="24" xfId="0" applyFont="1" applyFill="1" applyBorder="1" applyAlignment="1">
      <alignment horizontal="right" vertical="center"/>
    </xf>
    <xf numFmtId="0" fontId="176" fillId="4" borderId="44" xfId="0" applyFont="1" applyFill="1" applyBorder="1" applyAlignment="1">
      <alignment vertical="center" wrapText="1"/>
    </xf>
    <xf numFmtId="0" fontId="54" fillId="4" borderId="0" xfId="2" applyNumberFormat="1" applyFill="1" applyAlignment="1" applyProtection="1">
      <alignment horizontal="center"/>
    </xf>
    <xf numFmtId="0" fontId="50" fillId="4" borderId="0" xfId="7" applyNumberFormat="1" applyFont="1" applyFill="1" applyAlignment="1">
      <alignment horizontal="center"/>
    </xf>
    <xf numFmtId="0" fontId="51" fillId="4" borderId="0" xfId="7" applyNumberFormat="1" applyFont="1" applyFill="1" applyAlignment="1">
      <alignment horizontal="center"/>
    </xf>
    <xf numFmtId="2" fontId="93" fillId="0" borderId="0" xfId="0" applyNumberFormat="1" applyFont="1" applyAlignment="1">
      <alignment vertical="center"/>
    </xf>
    <xf numFmtId="2" fontId="93" fillId="8" borderId="0" xfId="0" applyNumberFormat="1" applyFont="1" applyFill="1" applyAlignment="1">
      <alignment vertical="center"/>
    </xf>
    <xf numFmtId="0" fontId="93" fillId="8" borderId="0" xfId="0" applyFont="1" applyFill="1"/>
    <xf numFmtId="0" fontId="50" fillId="4" borderId="0" xfId="6" applyNumberFormat="1" applyFont="1" applyFill="1" applyAlignment="1">
      <alignment horizontal="center"/>
    </xf>
    <xf numFmtId="0" fontId="49" fillId="4" borderId="0" xfId="6" applyNumberFormat="1" applyFill="1" applyAlignment="1">
      <alignment horizontal="center"/>
    </xf>
    <xf numFmtId="0" fontId="51"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91" fillId="4" borderId="23" xfId="0" applyFont="1" applyFill="1" applyBorder="1" applyAlignment="1" applyProtection="1">
      <alignment vertical="center" wrapText="1"/>
      <protection hidden="1"/>
    </xf>
    <xf numFmtId="0" fontId="91"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54"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87" fillId="0" borderId="2" xfId="0" applyNumberFormat="1" applyFont="1" applyBorder="1" applyAlignment="1" applyProtection="1">
      <alignment horizontal="center"/>
      <protection locked="0"/>
    </xf>
    <xf numFmtId="8" fontId="187" fillId="0" borderId="153" xfId="0" applyNumberFormat="1" applyFont="1" applyBorder="1" applyAlignment="1" applyProtection="1">
      <alignment horizontal="center"/>
      <protection locked="0"/>
    </xf>
    <xf numFmtId="184" fontId="187" fillId="0" borderId="10" xfId="0" applyNumberFormat="1" applyFont="1" applyBorder="1" applyAlignment="1" applyProtection="1">
      <alignment horizontal="center"/>
      <protection locked="0"/>
    </xf>
    <xf numFmtId="8" fontId="187"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96"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91" fillId="4" borderId="6" xfId="0" applyFont="1" applyFill="1" applyBorder="1" applyAlignment="1" applyProtection="1">
      <alignment horizontal="center"/>
      <protection hidden="1"/>
    </xf>
    <xf numFmtId="8" fontId="80" fillId="4" borderId="2" xfId="0" applyNumberFormat="1" applyFont="1" applyFill="1" applyBorder="1" applyAlignment="1" applyProtection="1">
      <alignment vertical="center"/>
      <protection hidden="1"/>
    </xf>
    <xf numFmtId="8" fontId="145" fillId="4" borderId="2" xfId="0" applyNumberFormat="1" applyFont="1" applyFill="1" applyBorder="1" applyAlignment="1" applyProtection="1">
      <alignment vertical="center"/>
      <protection hidden="1"/>
    </xf>
    <xf numFmtId="0" fontId="96"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91" fillId="4" borderId="6" xfId="0" applyNumberFormat="1" applyFont="1" applyFill="1" applyBorder="1" applyAlignment="1" applyProtection="1">
      <alignment vertical="center"/>
      <protection hidden="1"/>
    </xf>
    <xf numFmtId="8" fontId="91" fillId="4" borderId="80" xfId="0" applyNumberFormat="1" applyFont="1" applyFill="1" applyBorder="1" applyAlignment="1" applyProtection="1">
      <alignment vertical="center"/>
      <protection hidden="1"/>
    </xf>
    <xf numFmtId="0" fontId="135" fillId="0" borderId="0" xfId="2" applyNumberFormat="1" applyFont="1" applyFill="1" applyAlignment="1" applyProtection="1">
      <alignment horizontal="left"/>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91" fillId="4" borderId="4" xfId="0" applyNumberFormat="1" applyFont="1" applyFill="1" applyBorder="1" applyAlignment="1" applyProtection="1">
      <alignment horizontal="center"/>
      <protection hidden="1"/>
    </xf>
    <xf numFmtId="8" fontId="91"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13" fillId="4" borderId="5" xfId="0" applyNumberFormat="1" applyFont="1" applyFill="1" applyBorder="1" applyProtection="1">
      <protection hidden="1"/>
    </xf>
    <xf numFmtId="8" fontId="113" fillId="4" borderId="7" xfId="0" applyNumberFormat="1" applyFont="1" applyFill="1" applyBorder="1" applyProtection="1">
      <protection hidden="1"/>
    </xf>
    <xf numFmtId="0" fontId="91" fillId="4" borderId="4" xfId="0" applyFont="1" applyFill="1" applyBorder="1" applyAlignment="1" applyProtection="1">
      <alignment horizontal="center" vertical="center"/>
      <protection hidden="1"/>
    </xf>
    <xf numFmtId="14" fontId="91"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96"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95"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12" fillId="4" borderId="0" xfId="0" applyFont="1" applyFill="1" applyAlignment="1">
      <alignment vertical="center" wrapText="1"/>
    </xf>
    <xf numFmtId="0" fontId="54" fillId="4" borderId="0" xfId="2" applyNumberFormat="1" applyFill="1" applyAlignment="1" applyProtection="1">
      <alignment vertical="center"/>
    </xf>
    <xf numFmtId="0" fontId="54" fillId="4" borderId="0" xfId="2" applyNumberFormat="1" applyFill="1" applyAlignment="1" applyProtection="1">
      <alignment horizontal="center" vertical="center" wrapText="1"/>
    </xf>
    <xf numFmtId="0" fontId="0" fillId="0" borderId="0" xfId="0" applyAlignment="1">
      <alignment horizontal="right" vertical="center" wrapText="1"/>
    </xf>
    <xf numFmtId="8" fontId="91"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96"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01" fillId="4" borderId="0" xfId="0" applyFont="1" applyFill="1" applyAlignment="1" applyProtection="1">
      <alignment horizontal="center" vertical="center"/>
      <protection hidden="1"/>
    </xf>
    <xf numFmtId="0" fontId="106" fillId="4" borderId="0" xfId="0" applyFont="1" applyFill="1" applyAlignment="1" applyProtection="1">
      <alignment horizontal="center" vertical="center"/>
      <protection hidden="1"/>
    </xf>
    <xf numFmtId="0" fontId="96" fillId="4" borderId="0" xfId="0" applyFont="1" applyFill="1" applyAlignment="1" applyProtection="1">
      <alignment horizontal="center" vertical="center" wrapText="1"/>
      <protection hidden="1"/>
    </xf>
    <xf numFmtId="0" fontId="96"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91"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61" fillId="4" borderId="0" xfId="2" applyNumberFormat="1" applyFont="1" applyFill="1" applyBorder="1" applyAlignment="1" applyProtection="1">
      <alignment horizontal="center" vertical="center"/>
      <protection locked="0" hidden="1"/>
    </xf>
    <xf numFmtId="0" fontId="91"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67"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96" fillId="4" borderId="19" xfId="0" applyNumberFormat="1" applyFont="1" applyFill="1" applyBorder="1" applyAlignment="1" applyProtection="1">
      <alignment vertical="center"/>
      <protection hidden="1"/>
    </xf>
    <xf numFmtId="6" fontId="96" fillId="4" borderId="15" xfId="0" applyNumberFormat="1" applyFont="1" applyFill="1" applyBorder="1" applyAlignment="1" applyProtection="1">
      <alignment vertical="center"/>
      <protection hidden="1"/>
    </xf>
    <xf numFmtId="0" fontId="52" fillId="4" borderId="0" xfId="0" applyFont="1" applyFill="1" applyAlignment="1">
      <alignment vertical="center"/>
    </xf>
    <xf numFmtId="0" fontId="95" fillId="4" borderId="12" xfId="0" applyFont="1" applyFill="1" applyBorder="1" applyAlignment="1" applyProtection="1">
      <alignment vertical="center"/>
      <protection hidden="1"/>
    </xf>
    <xf numFmtId="8" fontId="95" fillId="4" borderId="12" xfId="0" applyNumberFormat="1" applyFont="1" applyFill="1" applyBorder="1" applyAlignment="1" applyProtection="1">
      <alignment vertical="center"/>
      <protection hidden="1"/>
    </xf>
    <xf numFmtId="8" fontId="95" fillId="4" borderId="42" xfId="0" applyNumberFormat="1" applyFont="1" applyFill="1" applyBorder="1" applyAlignment="1" applyProtection="1">
      <alignment vertical="center"/>
      <protection hidden="1"/>
    </xf>
    <xf numFmtId="0" fontId="80" fillId="4" borderId="21" xfId="0" applyFont="1" applyFill="1" applyBorder="1" applyAlignment="1">
      <alignment horizontal="center" vertical="center"/>
    </xf>
    <xf numFmtId="0" fontId="0" fillId="4" borderId="83" xfId="0" applyFill="1" applyBorder="1" applyAlignment="1">
      <alignment horizontal="center" vertical="center"/>
    </xf>
    <xf numFmtId="0" fontId="112" fillId="4" borderId="24" xfId="0" applyFont="1" applyFill="1" applyBorder="1" applyAlignment="1" applyProtection="1">
      <alignment horizontal="center" vertical="center"/>
      <protection hidden="1"/>
    </xf>
    <xf numFmtId="0" fontId="112" fillId="4" borderId="22" xfId="0" applyFont="1" applyFill="1" applyBorder="1" applyAlignment="1" applyProtection="1">
      <alignment horizontal="center" vertical="center"/>
      <protection hidden="1"/>
    </xf>
    <xf numFmtId="0" fontId="139" fillId="4" borderId="4" xfId="2" applyNumberFormat="1" applyFont="1" applyFill="1" applyBorder="1" applyAlignment="1" applyProtection="1">
      <alignment horizontal="right" vertical="center"/>
    </xf>
    <xf numFmtId="0" fontId="54" fillId="4" borderId="4" xfId="2" applyNumberFormat="1" applyFill="1" applyBorder="1" applyAlignment="1" applyProtection="1">
      <alignment horizontal="right" vertical="center"/>
    </xf>
    <xf numFmtId="0" fontId="134" fillId="4" borderId="4" xfId="0" applyFont="1" applyFill="1" applyBorder="1" applyAlignment="1">
      <alignment horizontal="right" vertical="center"/>
    </xf>
    <xf numFmtId="0" fontId="0" fillId="4" borderId="13" xfId="0" applyFill="1" applyBorder="1" applyAlignment="1">
      <alignment horizontal="right" vertical="center"/>
    </xf>
    <xf numFmtId="10" fontId="93" fillId="4" borderId="3" xfId="3" applyNumberFormat="1" applyFont="1" applyFill="1" applyBorder="1" applyAlignment="1" applyProtection="1">
      <alignment horizontal="center" vertical="center"/>
      <protection hidden="1"/>
    </xf>
    <xf numFmtId="0" fontId="97" fillId="4" borderId="3" xfId="0" applyFont="1" applyFill="1" applyBorder="1" applyAlignment="1" applyProtection="1">
      <alignment horizontal="center" vertical="center"/>
      <protection hidden="1"/>
    </xf>
    <xf numFmtId="4" fontId="35" fillId="0" borderId="0" xfId="0" applyNumberFormat="1" applyFont="1"/>
    <xf numFmtId="4" fontId="190" fillId="0" borderId="0" xfId="0" applyNumberFormat="1" applyFont="1"/>
    <xf numFmtId="4" fontId="190" fillId="9" borderId="0" xfId="0" applyNumberFormat="1" applyFont="1" applyFill="1"/>
    <xf numFmtId="167" fontId="190" fillId="0" borderId="0" xfId="0" applyNumberFormat="1" applyFont="1" applyAlignment="1">
      <alignment horizontal="center"/>
    </xf>
    <xf numFmtId="175" fontId="190" fillId="0" borderId="0" xfId="0" applyNumberFormat="1" applyFont="1" applyAlignment="1">
      <alignment horizontal="center"/>
    </xf>
    <xf numFmtId="0" fontId="93" fillId="4" borderId="4" xfId="0" applyFont="1" applyFill="1" applyBorder="1" applyAlignment="1" applyProtection="1">
      <alignment vertical="center" wrapText="1"/>
      <protection hidden="1"/>
    </xf>
    <xf numFmtId="0" fontId="93"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96" fillId="4" borderId="3" xfId="0" applyNumberFormat="1" applyFont="1" applyFill="1" applyBorder="1" applyAlignment="1" applyProtection="1">
      <alignment horizontal="center" vertical="center"/>
      <protection hidden="1"/>
    </xf>
    <xf numFmtId="0" fontId="91" fillId="9" borderId="65" xfId="0" applyFont="1" applyFill="1" applyBorder="1" applyAlignment="1" applyProtection="1">
      <alignment horizontal="right" vertical="center"/>
      <protection hidden="1"/>
    </xf>
    <xf numFmtId="0" fontId="188" fillId="9" borderId="19" xfId="0" applyFont="1" applyFill="1" applyBorder="1" applyAlignment="1" applyProtection="1">
      <alignment vertical="center"/>
      <protection hidden="1"/>
    </xf>
    <xf numFmtId="0" fontId="188"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49" fillId="4" borderId="38" xfId="0" applyNumberFormat="1" applyFont="1" applyFill="1" applyBorder="1" applyAlignment="1" applyProtection="1">
      <alignment horizontal="center" vertical="center"/>
      <protection hidden="1"/>
    </xf>
    <xf numFmtId="4" fontId="96" fillId="4" borderId="0" xfId="0" applyNumberFormat="1" applyFont="1" applyFill="1" applyAlignment="1" applyProtection="1">
      <alignment horizontal="center" vertical="center" wrapText="1"/>
      <protection hidden="1"/>
    </xf>
    <xf numFmtId="10" fontId="81"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0" fontId="121" fillId="0" borderId="65" xfId="0" applyFont="1" applyBorder="1" applyAlignment="1" applyProtection="1">
      <alignment vertical="center"/>
      <protection hidden="1"/>
    </xf>
    <xf numFmtId="6" fontId="112" fillId="4" borderId="78" xfId="0" applyNumberFormat="1" applyFont="1" applyFill="1" applyBorder="1" applyAlignment="1" applyProtection="1">
      <alignment vertical="center"/>
      <protection hidden="1"/>
    </xf>
    <xf numFmtId="6" fontId="95" fillId="4" borderId="10" xfId="0" applyNumberFormat="1" applyFont="1" applyFill="1" applyBorder="1" applyAlignment="1">
      <alignment vertical="center"/>
    </xf>
    <xf numFmtId="6" fontId="95" fillId="4" borderId="82" xfId="0" applyNumberFormat="1" applyFont="1" applyFill="1" applyBorder="1" applyAlignment="1" applyProtection="1">
      <alignment horizontal="center" vertical="center"/>
      <protection hidden="1"/>
    </xf>
    <xf numFmtId="8" fontId="95" fillId="6" borderId="3" xfId="0" applyNumberFormat="1" applyFont="1" applyFill="1" applyBorder="1" applyAlignment="1" applyProtection="1">
      <alignment vertical="center"/>
      <protection locked="0"/>
    </xf>
    <xf numFmtId="192" fontId="91"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90" fillId="0" borderId="2" xfId="3" applyNumberFormat="1" applyFont="1" applyBorder="1" applyAlignment="1">
      <alignment horizontal="center" vertical="center"/>
    </xf>
    <xf numFmtId="2" fontId="0" fillId="0" borderId="2" xfId="0" applyNumberFormat="1" applyBorder="1"/>
    <xf numFmtId="10" fontId="96" fillId="0" borderId="0" xfId="3" applyNumberFormat="1" applyFont="1" applyFill="1"/>
    <xf numFmtId="0" fontId="96" fillId="0" borderId="19" xfId="0" applyFont="1" applyBorder="1" applyAlignment="1">
      <alignment horizontal="center" vertical="center"/>
    </xf>
    <xf numFmtId="10" fontId="112"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91"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80" fillId="4" borderId="100" xfId="0" applyNumberFormat="1" applyFont="1" applyFill="1" applyBorder="1" applyAlignment="1" applyProtection="1">
      <alignment horizontal="center" vertical="center" wrapText="1"/>
      <protection hidden="1"/>
    </xf>
    <xf numFmtId="8" fontId="91" fillId="0" borderId="142" xfId="0" applyNumberFormat="1" applyFont="1" applyBorder="1" applyAlignment="1" applyProtection="1">
      <alignment horizontal="center" vertical="center" wrapText="1"/>
      <protection locked="0"/>
    </xf>
    <xf numFmtId="8" fontId="91" fillId="0" borderId="65" xfId="0" applyNumberFormat="1" applyFont="1" applyBorder="1" applyAlignment="1" applyProtection="1">
      <alignment horizontal="center" vertical="center" wrapText="1"/>
      <protection locked="0"/>
    </xf>
    <xf numFmtId="10" fontId="91" fillId="4" borderId="141" xfId="3" applyNumberFormat="1" applyFont="1" applyFill="1" applyBorder="1" applyAlignment="1" applyProtection="1">
      <alignment horizontal="center" vertical="center" wrapText="1"/>
      <protection locked="0"/>
    </xf>
    <xf numFmtId="9" fontId="91" fillId="4" borderId="141" xfId="3" applyFont="1" applyFill="1" applyBorder="1" applyAlignment="1" applyProtection="1">
      <alignment horizontal="center" vertical="center" wrapText="1"/>
      <protection locked="0"/>
    </xf>
    <xf numFmtId="0" fontId="157" fillId="18" borderId="79" xfId="2" applyNumberFormat="1" applyFont="1" applyFill="1" applyBorder="1" applyAlignment="1" applyProtection="1">
      <alignment horizontal="center" vertical="center"/>
      <protection hidden="1"/>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54"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91" fillId="4" borderId="63" xfId="0" applyFont="1" applyFill="1" applyBorder="1" applyProtection="1">
      <protection hidden="1"/>
    </xf>
    <xf numFmtId="0" fontId="54" fillId="4" borderId="4" xfId="2" applyNumberFormat="1" applyFill="1" applyBorder="1" applyAlignment="1" applyProtection="1">
      <alignment horizontal="right"/>
      <protection hidden="1"/>
    </xf>
    <xf numFmtId="0" fontId="155" fillId="4" borderId="4" xfId="0" applyFont="1" applyFill="1" applyBorder="1" applyAlignment="1" applyProtection="1">
      <alignment horizontal="right"/>
      <protection hidden="1"/>
    </xf>
    <xf numFmtId="0" fontId="186" fillId="4" borderId="19" xfId="2" applyNumberFormat="1" applyFont="1" applyFill="1" applyBorder="1" applyAlignment="1" applyProtection="1">
      <alignment horizontal="right"/>
      <protection hidden="1"/>
    </xf>
    <xf numFmtId="0" fontId="91" fillId="4" borderId="156" xfId="0" applyFont="1" applyFill="1" applyBorder="1" applyAlignment="1" applyProtection="1">
      <alignment horizontal="right"/>
      <protection hidden="1"/>
    </xf>
    <xf numFmtId="0" fontId="91" fillId="4" borderId="26" xfId="0" applyFont="1" applyFill="1" applyBorder="1" applyAlignment="1" applyProtection="1">
      <alignment horizontal="right"/>
      <protection hidden="1"/>
    </xf>
    <xf numFmtId="0" fontId="54" fillId="4" borderId="4" xfId="2" applyNumberFormat="1" applyFill="1" applyBorder="1" applyAlignment="1" applyProtection="1">
      <alignment horizontal="right" vertical="center" wrapText="1"/>
      <protection hidden="1"/>
    </xf>
    <xf numFmtId="0" fontId="113"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96"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13" fillId="4" borderId="6" xfId="0" applyFont="1" applyFill="1" applyBorder="1" applyAlignment="1" applyProtection="1">
      <alignment horizontal="center" vertical="center"/>
      <protection hidden="1"/>
    </xf>
    <xf numFmtId="8" fontId="113" fillId="4" borderId="152" xfId="0" applyNumberFormat="1" applyFont="1" applyFill="1" applyBorder="1" applyProtection="1">
      <protection hidden="1"/>
    </xf>
    <xf numFmtId="0" fontId="113"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95"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96" fillId="4" borderId="130" xfId="0" applyNumberFormat="1" applyFont="1" applyFill="1" applyBorder="1" applyAlignment="1" applyProtection="1">
      <alignment horizontal="center" vertical="center"/>
      <protection hidden="1"/>
    </xf>
    <xf numFmtId="8" fontId="96"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91" fillId="4" borderId="130" xfId="0" applyNumberFormat="1" applyFont="1" applyFill="1" applyBorder="1" applyAlignment="1" applyProtection="1">
      <alignment horizontal="center"/>
      <protection hidden="1"/>
    </xf>
    <xf numFmtId="8" fontId="155" fillId="4" borderId="130" xfId="0" applyNumberFormat="1" applyFont="1" applyFill="1" applyBorder="1" applyAlignment="1" applyProtection="1">
      <alignment horizontal="center"/>
      <protection hidden="1"/>
    </xf>
    <xf numFmtId="8" fontId="96" fillId="4" borderId="2" xfId="0" applyNumberFormat="1" applyFont="1" applyFill="1" applyBorder="1" applyAlignment="1" applyProtection="1">
      <alignment wrapText="1"/>
      <protection hidden="1"/>
    </xf>
    <xf numFmtId="0" fontId="91" fillId="4" borderId="2" xfId="0" applyFont="1" applyFill="1" applyBorder="1" applyProtection="1">
      <protection hidden="1"/>
    </xf>
    <xf numFmtId="0" fontId="0" fillId="4" borderId="106" xfId="0" applyFill="1" applyBorder="1" applyProtection="1">
      <protection hidden="1"/>
    </xf>
    <xf numFmtId="8" fontId="91"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55"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91" fillId="4" borderId="10" xfId="0" applyFont="1" applyFill="1" applyBorder="1" applyProtection="1">
      <protection hidden="1"/>
    </xf>
    <xf numFmtId="0" fontId="0" fillId="4" borderId="158" xfId="0" applyFill="1" applyBorder="1" applyProtection="1">
      <protection hidden="1"/>
    </xf>
    <xf numFmtId="8" fontId="91" fillId="4" borderId="109" xfId="0" applyNumberFormat="1" applyFont="1" applyFill="1" applyBorder="1" applyAlignment="1" applyProtection="1">
      <alignment horizontal="center"/>
      <protection hidden="1"/>
    </xf>
    <xf numFmtId="0" fontId="135" fillId="0" borderId="0" xfId="2" applyNumberFormat="1" applyFont="1" applyAlignment="1" applyProtection="1"/>
    <xf numFmtId="0" fontId="135" fillId="0" borderId="0" xfId="2" applyNumberFormat="1" applyFont="1" applyFill="1" applyAlignment="1" applyProtection="1"/>
    <xf numFmtId="0" fontId="115" fillId="0" borderId="0" xfId="0" applyFont="1"/>
    <xf numFmtId="0" fontId="113" fillId="0" borderId="0" xfId="0" applyFont="1"/>
    <xf numFmtId="0" fontId="107" fillId="0" borderId="0" xfId="0" applyFont="1"/>
    <xf numFmtId="0" fontId="97" fillId="0" borderId="0" xfId="0" applyFont="1"/>
    <xf numFmtId="0" fontId="54" fillId="0" borderId="0" xfId="2" applyNumberFormat="1" applyFill="1" applyAlignment="1" applyProtection="1">
      <alignment horizontal="center"/>
    </xf>
    <xf numFmtId="0" fontId="93" fillId="0" borderId="18" xfId="0" applyFont="1" applyBorder="1" applyAlignment="1">
      <alignment horizontal="center"/>
    </xf>
    <xf numFmtId="0" fontId="54" fillId="0" borderId="18" xfId="2" applyNumberFormat="1" applyFill="1" applyBorder="1" applyAlignment="1" applyProtection="1">
      <alignment horizontal="center"/>
    </xf>
    <xf numFmtId="0" fontId="121" fillId="0" borderId="23" xfId="0" applyFont="1" applyBorder="1" applyAlignment="1" applyProtection="1">
      <alignment vertical="center"/>
      <protection hidden="1"/>
    </xf>
    <xf numFmtId="0" fontId="145" fillId="0" borderId="23" xfId="0" applyFont="1" applyBorder="1" applyAlignment="1" applyProtection="1">
      <alignment horizontal="right" vertical="center"/>
      <protection hidden="1"/>
    </xf>
    <xf numFmtId="0" fontId="157" fillId="0" borderId="23" xfId="2" applyNumberFormat="1" applyFont="1" applyFill="1" applyBorder="1" applyAlignment="1" applyProtection="1">
      <alignment horizontal="center" vertical="center"/>
      <protection hidden="1"/>
    </xf>
    <xf numFmtId="0" fontId="54" fillId="0" borderId="0" xfId="2" applyNumberFormat="1" applyAlignment="1" applyProtection="1">
      <alignment horizontal="left" vertical="center"/>
    </xf>
    <xf numFmtId="0" fontId="54" fillId="0" borderId="0" xfId="2" applyNumberFormat="1" applyAlignment="1" applyProtection="1">
      <alignment vertical="center"/>
    </xf>
    <xf numFmtId="0" fontId="54" fillId="0" borderId="0" xfId="2" applyNumberFormat="1" applyFill="1" applyAlignment="1" applyProtection="1">
      <alignment vertical="center"/>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55" fillId="18" borderId="2" xfId="0" applyFont="1" applyFill="1" applyBorder="1" applyAlignment="1">
      <alignment horizontal="center" vertical="center"/>
    </xf>
    <xf numFmtId="0" fontId="55" fillId="23" borderId="2" xfId="0" applyFont="1" applyFill="1" applyBorder="1" applyAlignment="1">
      <alignment horizontal="center" vertical="center"/>
    </xf>
    <xf numFmtId="10" fontId="0" fillId="0" borderId="0" xfId="0" applyNumberFormat="1" applyProtection="1">
      <protection locked="0"/>
    </xf>
    <xf numFmtId="0" fontId="151" fillId="0" borderId="65" xfId="0" applyFont="1" applyBorder="1" applyAlignment="1" applyProtection="1">
      <alignment vertical="center"/>
      <protection hidden="1"/>
    </xf>
    <xf numFmtId="14" fontId="95" fillId="4" borderId="3" xfId="0" applyNumberFormat="1" applyFont="1" applyFill="1" applyBorder="1" applyAlignment="1" applyProtection="1">
      <alignment horizontal="center" vertical="center"/>
      <protection hidden="1"/>
    </xf>
    <xf numFmtId="2" fontId="95" fillId="4" borderId="3" xfId="0" applyNumberFormat="1" applyFont="1" applyFill="1" applyBorder="1" applyAlignment="1" applyProtection="1">
      <alignment horizontal="center" vertical="center"/>
      <protection hidden="1"/>
    </xf>
    <xf numFmtId="6" fontId="95" fillId="4" borderId="3" xfId="0" applyNumberFormat="1" applyFont="1" applyFill="1" applyBorder="1" applyAlignment="1" applyProtection="1">
      <alignment horizontal="center" vertical="center"/>
      <protection hidden="1"/>
    </xf>
    <xf numFmtId="190" fontId="0" fillId="0" borderId="0" xfId="0" applyNumberFormat="1"/>
    <xf numFmtId="0" fontId="112" fillId="4" borderId="44" xfId="0" applyFont="1" applyFill="1" applyBorder="1" applyAlignment="1" applyProtection="1">
      <alignment horizontal="center" vertical="center" wrapText="1"/>
      <protection hidden="1"/>
    </xf>
    <xf numFmtId="0" fontId="103" fillId="0" borderId="0" xfId="0" applyFont="1" applyAlignment="1">
      <alignment horizontal="center" vertical="center" wrapText="1"/>
    </xf>
    <xf numFmtId="0" fontId="103" fillId="4" borderId="2" xfId="0" applyFont="1" applyFill="1" applyBorder="1" applyAlignment="1">
      <alignment horizontal="center" vertical="center" wrapText="1"/>
    </xf>
    <xf numFmtId="0" fontId="103" fillId="0" borderId="2" xfId="0" applyFont="1" applyBorder="1" applyAlignment="1">
      <alignment horizontal="center" vertical="center" wrapText="1"/>
    </xf>
    <xf numFmtId="0" fontId="103" fillId="0" borderId="2" xfId="0" applyFont="1" applyBorder="1" applyAlignment="1">
      <alignment horizontal="left" vertical="center" wrapText="1"/>
    </xf>
    <xf numFmtId="14" fontId="93" fillId="0" borderId="2" xfId="0" applyNumberFormat="1" applyFont="1" applyBorder="1" applyAlignment="1">
      <alignment horizontal="center" vertical="center" wrapText="1"/>
    </xf>
    <xf numFmtId="0" fontId="194"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19" fillId="4" borderId="141" xfId="0" applyNumberFormat="1" applyFont="1" applyFill="1" applyBorder="1" applyAlignment="1" applyProtection="1">
      <alignment horizontal="center" vertical="center" wrapText="1"/>
      <protection hidden="1"/>
    </xf>
    <xf numFmtId="0" fontId="135" fillId="0" borderId="0" xfId="2" applyNumberFormat="1" applyFont="1" applyAlignment="1" applyProtection="1">
      <alignment vertical="center"/>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98" fillId="4" borderId="0" xfId="0" applyFont="1" applyFill="1" applyAlignment="1">
      <alignment vertical="center"/>
    </xf>
    <xf numFmtId="2" fontId="80" fillId="4" borderId="2" xfId="0" applyNumberFormat="1" applyFont="1" applyFill="1" applyBorder="1" applyAlignment="1" applyProtection="1">
      <alignment horizontal="center" vertical="center"/>
      <protection hidden="1"/>
    </xf>
    <xf numFmtId="2" fontId="80" fillId="4" borderId="3" xfId="0" applyNumberFormat="1" applyFont="1" applyFill="1" applyBorder="1" applyAlignment="1" applyProtection="1">
      <alignment horizontal="center" vertical="center"/>
      <protection hidden="1"/>
    </xf>
    <xf numFmtId="185" fontId="91" fillId="0" borderId="11" xfId="0" applyNumberFormat="1" applyFont="1" applyBorder="1" applyAlignment="1" applyProtection="1">
      <alignment horizontal="center" vertical="center"/>
      <protection locked="0"/>
    </xf>
    <xf numFmtId="0" fontId="197"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67" fillId="0" borderId="65" xfId="0" applyFont="1" applyBorder="1" applyAlignment="1" applyProtection="1">
      <alignment horizontal="right" vertical="center" wrapText="1"/>
      <protection hidden="1"/>
    </xf>
    <xf numFmtId="8" fontId="67" fillId="0" borderId="112" xfId="3" applyNumberFormat="1" applyFont="1" applyBorder="1" applyAlignment="1" applyProtection="1">
      <alignment horizontal="center" vertical="center" wrapText="1"/>
      <protection hidden="1"/>
    </xf>
    <xf numFmtId="0" fontId="91"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57" fillId="4" borderId="124" xfId="2" applyNumberFormat="1" applyFont="1" applyFill="1" applyBorder="1" applyAlignment="1" applyProtection="1">
      <alignment horizontal="center" vertical="center"/>
      <protection hidden="1"/>
    </xf>
    <xf numFmtId="0" fontId="157" fillId="4" borderId="20" xfId="2" applyNumberFormat="1" applyFont="1" applyFill="1" applyBorder="1" applyAlignment="1" applyProtection="1">
      <alignment horizontal="center" vertical="center"/>
      <protection hidden="1"/>
    </xf>
    <xf numFmtId="0" fontId="161" fillId="0" borderId="0" xfId="2" applyNumberFormat="1" applyFont="1" applyBorder="1" applyAlignment="1" applyProtection="1">
      <alignment vertical="center" wrapText="1"/>
    </xf>
    <xf numFmtId="0" fontId="112" fillId="4" borderId="2" xfId="0"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wrapText="1"/>
      <protection locked="0"/>
    </xf>
    <xf numFmtId="0" fontId="93" fillId="0" borderId="0" xfId="0" applyFont="1" applyAlignment="1">
      <alignment vertical="center" wrapText="1"/>
    </xf>
    <xf numFmtId="0" fontId="98" fillId="0" borderId="0" xfId="0" applyFont="1" applyAlignment="1">
      <alignment vertical="center" wrapText="1"/>
    </xf>
    <xf numFmtId="8" fontId="77" fillId="2" borderId="36" xfId="8" applyNumberFormat="1" applyFont="1" applyFill="1" applyBorder="1" applyAlignment="1" applyProtection="1">
      <alignment horizontal="center" vertical="center" wrapText="1"/>
      <protection locked="0"/>
    </xf>
    <xf numFmtId="0" fontId="93" fillId="4" borderId="0" xfId="0" applyFont="1" applyFill="1" applyAlignment="1">
      <alignment vertical="center"/>
    </xf>
    <xf numFmtId="8" fontId="93" fillId="18" borderId="2" xfId="0" applyNumberFormat="1" applyFont="1" applyFill="1" applyBorder="1" applyAlignment="1">
      <alignment vertical="center"/>
    </xf>
    <xf numFmtId="8" fontId="93" fillId="23" borderId="2" xfId="0" applyNumberFormat="1" applyFont="1" applyFill="1" applyBorder="1" applyAlignment="1">
      <alignment vertical="center"/>
    </xf>
    <xf numFmtId="0" fontId="204" fillId="0" borderId="2" xfId="0" applyFont="1" applyBorder="1" applyAlignment="1" applyProtection="1">
      <alignment horizontal="center" vertical="center"/>
      <protection locked="0"/>
    </xf>
    <xf numFmtId="8" fontId="204" fillId="0" borderId="2" xfId="0" applyNumberFormat="1" applyFont="1" applyBorder="1" applyAlignment="1" applyProtection="1">
      <alignment horizontal="center" vertical="center"/>
      <protection locked="0"/>
    </xf>
    <xf numFmtId="2" fontId="53" fillId="22" borderId="0" xfId="0" applyNumberFormat="1" applyFont="1" applyFill="1"/>
    <xf numFmtId="0" fontId="93" fillId="0" borderId="2" xfId="0" applyFont="1" applyBorder="1" applyAlignment="1">
      <alignment horizontal="center" vertical="center"/>
    </xf>
    <xf numFmtId="6" fontId="93" fillId="18" borderId="2" xfId="0" applyNumberFormat="1" applyFont="1" applyFill="1" applyBorder="1" applyAlignment="1">
      <alignment vertical="center"/>
    </xf>
    <xf numFmtId="14" fontId="203" fillId="0" borderId="2" xfId="0" applyNumberFormat="1" applyFont="1" applyBorder="1" applyAlignment="1" applyProtection="1">
      <alignment horizontal="center" vertical="center"/>
      <protection locked="0" hidden="1"/>
    </xf>
    <xf numFmtId="0" fontId="93" fillId="4" borderId="0" xfId="0" applyFont="1" applyFill="1" applyAlignment="1">
      <alignment horizontal="center"/>
    </xf>
    <xf numFmtId="0" fontId="0" fillId="4" borderId="68" xfId="0" applyFill="1" applyBorder="1" applyAlignment="1" applyProtection="1">
      <alignment horizontal="left" vertical="center"/>
      <protection hidden="1"/>
    </xf>
    <xf numFmtId="0" fontId="96"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91" fillId="0" borderId="4" xfId="0" applyNumberFormat="1" applyFont="1" applyBorder="1" applyAlignment="1">
      <alignment horizontal="center"/>
    </xf>
    <xf numFmtId="14" fontId="91" fillId="0" borderId="186" xfId="0" applyNumberFormat="1" applyFont="1" applyBorder="1" applyAlignment="1">
      <alignment horizontal="center"/>
    </xf>
    <xf numFmtId="175" fontId="0" fillId="0" borderId="4" xfId="0" applyNumberFormat="1" applyBorder="1" applyAlignment="1">
      <alignment horizontal="center" wrapText="1"/>
    </xf>
    <xf numFmtId="0" fontId="205" fillId="0" borderId="0" xfId="0" applyFont="1"/>
    <xf numFmtId="0" fontId="54" fillId="4" borderId="20" xfId="2" applyNumberFormat="1" applyFill="1" applyBorder="1" applyAlignment="1" applyProtection="1">
      <alignment horizontal="center" vertical="center" wrapText="1"/>
    </xf>
    <xf numFmtId="0" fontId="87" fillId="4" borderId="65" xfId="0" applyFont="1" applyFill="1" applyBorder="1" applyAlignment="1" applyProtection="1">
      <alignment horizontal="center" vertical="center" wrapText="1"/>
      <protection hidden="1"/>
    </xf>
    <xf numFmtId="10" fontId="91"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68" fillId="4" borderId="15" xfId="0" applyFont="1" applyFill="1" applyBorder="1" applyProtection="1">
      <protection hidden="1"/>
    </xf>
    <xf numFmtId="0" fontId="68" fillId="4" borderId="15" xfId="0" applyFont="1" applyFill="1" applyBorder="1"/>
    <xf numFmtId="0" fontId="97" fillId="23" borderId="2" xfId="0" applyFont="1" applyFill="1" applyBorder="1" applyAlignment="1">
      <alignment horizontal="center" vertical="center"/>
    </xf>
    <xf numFmtId="0" fontId="97" fillId="18" borderId="2" xfId="0" applyFont="1" applyFill="1" applyBorder="1" applyAlignment="1">
      <alignment horizontal="center" vertical="center"/>
    </xf>
    <xf numFmtId="0" fontId="113" fillId="0" borderId="0" xfId="0" applyFont="1" applyAlignment="1">
      <alignment horizontal="left" vertical="center"/>
    </xf>
    <xf numFmtId="0" fontId="93" fillId="4" borderId="0" xfId="0" applyFont="1" applyFill="1" applyAlignment="1">
      <alignment vertical="center" textRotation="180"/>
    </xf>
    <xf numFmtId="6" fontId="93"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96" fillId="4" borderId="3" xfId="0" applyNumberFormat="1" applyFont="1" applyFill="1" applyBorder="1" applyAlignment="1" applyProtection="1">
      <alignment horizontal="center" vertical="center"/>
      <protection hidden="1"/>
    </xf>
    <xf numFmtId="10" fontId="96"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67" fillId="4" borderId="0" xfId="0" applyFont="1" applyFill="1" applyAlignment="1">
      <alignment horizontal="left" wrapText="1"/>
    </xf>
    <xf numFmtId="0" fontId="49" fillId="4" borderId="115" xfId="0" applyFont="1" applyFill="1" applyBorder="1" applyAlignment="1" applyProtection="1">
      <alignment horizontal="center" wrapText="1"/>
      <protection hidden="1"/>
    </xf>
    <xf numFmtId="0" fontId="81" fillId="4" borderId="193" xfId="0" applyFont="1" applyFill="1" applyBorder="1" applyAlignment="1">
      <alignment horizontal="center"/>
    </xf>
    <xf numFmtId="14" fontId="97"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54" fillId="4" borderId="18" xfId="2" applyNumberFormat="1" applyFill="1" applyBorder="1" applyAlignment="1" applyProtection="1">
      <alignment vertical="center"/>
      <protection hidden="1"/>
    </xf>
    <xf numFmtId="14" fontId="210" fillId="0" borderId="2" xfId="0" applyNumberFormat="1" applyFont="1" applyBorder="1" applyAlignment="1" applyProtection="1">
      <alignment horizontal="center" vertical="center"/>
      <protection locked="0"/>
    </xf>
    <xf numFmtId="0" fontId="96" fillId="4" borderId="25" xfId="0" applyFont="1" applyFill="1" applyBorder="1" applyAlignment="1" applyProtection="1">
      <alignment horizontal="right" vertical="center" wrapText="1"/>
      <protection hidden="1"/>
    </xf>
    <xf numFmtId="0" fontId="130" fillId="12" borderId="17" xfId="0" applyFont="1" applyFill="1" applyBorder="1" applyAlignment="1" applyProtection="1">
      <alignment vertical="center" wrapText="1"/>
      <protection hidden="1"/>
    </xf>
    <xf numFmtId="14" fontId="93"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95"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91"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91"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11" fillId="0" borderId="2" xfId="3" applyNumberFormat="1" applyFont="1" applyBorder="1"/>
    <xf numFmtId="176" fontId="211" fillId="0" borderId="2" xfId="3" applyNumberFormat="1" applyFont="1" applyBorder="1" applyAlignment="1">
      <alignment horizontal="center" vertical="center"/>
    </xf>
    <xf numFmtId="0" fontId="202" fillId="0" borderId="2" xfId="0" applyFont="1" applyBorder="1" applyAlignment="1">
      <alignment horizontal="center" vertical="center"/>
    </xf>
    <xf numFmtId="0" fontId="213" fillId="29" borderId="201" xfId="0" applyFont="1" applyFill="1" applyBorder="1" applyAlignment="1">
      <alignment horizontal="right" vertical="center"/>
    </xf>
    <xf numFmtId="0" fontId="202" fillId="0" borderId="204" xfId="0" applyFont="1" applyBorder="1"/>
    <xf numFmtId="0" fontId="93" fillId="0" borderId="2" xfId="0" applyFont="1" applyBorder="1" applyAlignment="1">
      <alignment horizontal="center"/>
    </xf>
    <xf numFmtId="0" fontId="93" fillId="0" borderId="2" xfId="0" applyFont="1" applyBorder="1" applyAlignment="1">
      <alignment horizontal="center" wrapText="1"/>
    </xf>
    <xf numFmtId="9" fontId="93" fillId="0" borderId="2" xfId="0" applyNumberFormat="1" applyFont="1" applyBorder="1" applyAlignment="1">
      <alignment horizontal="center"/>
    </xf>
    <xf numFmtId="0" fontId="93" fillId="0" borderId="2" xfId="0" applyFont="1" applyBorder="1"/>
    <xf numFmtId="0" fontId="202" fillId="0" borderId="10" xfId="0" applyFont="1" applyBorder="1"/>
    <xf numFmtId="14" fontId="212" fillId="0" borderId="2" xfId="0" applyNumberFormat="1" applyFont="1" applyBorder="1" applyAlignment="1">
      <alignment horizontal="center"/>
    </xf>
    <xf numFmtId="9" fontId="212" fillId="0" borderId="2" xfId="0" applyNumberFormat="1" applyFont="1" applyBorder="1" applyAlignment="1">
      <alignment horizontal="center"/>
    </xf>
    <xf numFmtId="14" fontId="202" fillId="0" borderId="10" xfId="0" applyNumberFormat="1" applyFont="1" applyBorder="1" applyAlignment="1">
      <alignment horizontal="center" vertical="center"/>
    </xf>
    <xf numFmtId="10" fontId="212" fillId="0" borderId="2" xfId="0" applyNumberFormat="1" applyFont="1" applyBorder="1" applyAlignment="1">
      <alignment horizontal="center"/>
    </xf>
    <xf numFmtId="10" fontId="93" fillId="0" borderId="2" xfId="0" applyNumberFormat="1" applyFont="1" applyBorder="1" applyAlignment="1">
      <alignment horizontal="center"/>
    </xf>
    <xf numFmtId="176" fontId="93" fillId="0" borderId="2" xfId="3" applyNumberFormat="1" applyFont="1" applyFill="1" applyBorder="1" applyAlignment="1">
      <alignment horizontal="center"/>
    </xf>
    <xf numFmtId="0" fontId="212" fillId="0" borderId="2" xfId="0" applyFont="1" applyBorder="1" applyAlignment="1">
      <alignment horizontal="center"/>
    </xf>
    <xf numFmtId="0" fontId="202" fillId="0" borderId="10" xfId="0" applyFont="1" applyBorder="1" applyAlignment="1">
      <alignment horizontal="center" vertical="center"/>
    </xf>
    <xf numFmtId="10" fontId="93" fillId="0" borderId="0" xfId="3" applyNumberFormat="1" applyFont="1" applyFill="1"/>
    <xf numFmtId="167" fontId="93" fillId="0" borderId="0" xfId="0" applyNumberFormat="1" applyFont="1"/>
    <xf numFmtId="14" fontId="213" fillId="0" borderId="198" xfId="0" applyNumberFormat="1" applyFont="1" applyBorder="1" applyAlignment="1">
      <alignment horizontal="left" vertical="top"/>
    </xf>
    <xf numFmtId="0" fontId="213" fillId="0" borderId="199" xfId="0" applyFont="1" applyBorder="1" applyAlignment="1">
      <alignment horizontal="right" vertical="center"/>
    </xf>
    <xf numFmtId="0" fontId="213" fillId="0" borderId="200" xfId="0" applyFont="1" applyBorder="1" applyAlignment="1">
      <alignment horizontal="right" vertical="center"/>
    </xf>
    <xf numFmtId="0" fontId="213" fillId="0" borderId="202" xfId="0" applyFont="1" applyBorder="1" applyAlignment="1">
      <alignment horizontal="right" vertical="center"/>
    </xf>
    <xf numFmtId="0" fontId="202" fillId="0" borderId="203" xfId="0" applyFont="1" applyBorder="1"/>
    <xf numFmtId="0" fontId="98" fillId="4" borderId="23" xfId="0" applyFont="1" applyFill="1" applyBorder="1" applyProtection="1">
      <protection hidden="1"/>
    </xf>
    <xf numFmtId="179" fontId="0" fillId="0" borderId="2" xfId="0" applyNumberFormat="1" applyBorder="1" applyAlignment="1">
      <alignment horizontal="center" vertical="center"/>
    </xf>
    <xf numFmtId="6" fontId="93" fillId="4" borderId="0" xfId="0" applyNumberFormat="1" applyFont="1" applyFill="1" applyAlignment="1">
      <alignment vertical="center"/>
    </xf>
    <xf numFmtId="178" fontId="116" fillId="0" borderId="0" xfId="0" applyNumberFormat="1" applyFont="1" applyAlignment="1">
      <alignment horizontal="center" vertical="center"/>
    </xf>
    <xf numFmtId="178" fontId="43" fillId="0" borderId="0" xfId="0" applyNumberFormat="1" applyFont="1" applyAlignment="1">
      <alignment horizontal="center"/>
    </xf>
    <xf numFmtId="178" fontId="118" fillId="0" borderId="0" xfId="0" applyNumberFormat="1" applyFont="1" applyAlignment="1">
      <alignment horizontal="center"/>
    </xf>
    <xf numFmtId="178" fontId="44" fillId="0" borderId="0" xfId="0" applyNumberFormat="1" applyFont="1" applyAlignment="1">
      <alignment horizontal="center"/>
    </xf>
    <xf numFmtId="10" fontId="90"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91" fillId="0" borderId="0" xfId="0" applyNumberFormat="1" applyFont="1" applyAlignment="1" applyProtection="1">
      <alignment horizontal="center" vertical="center" wrapText="1"/>
      <protection locked="0"/>
    </xf>
    <xf numFmtId="14" fontId="145"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91" fillId="4" borderId="30" xfId="0" applyFont="1" applyFill="1" applyBorder="1" applyAlignment="1" applyProtection="1">
      <alignment horizontal="left" vertical="center"/>
      <protection hidden="1"/>
    </xf>
    <xf numFmtId="0" fontId="91"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03" fillId="0" borderId="130" xfId="0" applyNumberFormat="1" applyFont="1" applyBorder="1" applyAlignment="1" applyProtection="1">
      <alignment horizontal="center" vertical="center"/>
      <protection locked="0"/>
    </xf>
    <xf numFmtId="0" fontId="97"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97" fillId="4" borderId="22" xfId="0" applyNumberFormat="1" applyFont="1" applyFill="1" applyBorder="1" applyAlignment="1" applyProtection="1">
      <alignment horizontal="center" vertical="center" wrapText="1"/>
      <protection hidden="1"/>
    </xf>
    <xf numFmtId="0" fontId="91" fillId="4" borderId="63" xfId="0" applyFont="1" applyFill="1" applyBorder="1" applyAlignment="1" applyProtection="1">
      <alignment horizontal="right" vertical="center" wrapText="1"/>
      <protection hidden="1"/>
    </xf>
    <xf numFmtId="14" fontId="81"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19"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06" fillId="0" borderId="2" xfId="0" applyNumberFormat="1" applyFont="1" applyBorder="1" applyAlignment="1" applyProtection="1">
      <alignment vertical="center"/>
      <protection locked="0"/>
    </xf>
    <xf numFmtId="0" fontId="91" fillId="0" borderId="0" xfId="0" quotePrefix="1" applyFont="1"/>
    <xf numFmtId="167" fontId="0" fillId="0" borderId="2" xfId="0" applyNumberFormat="1" applyBorder="1" applyAlignment="1">
      <alignment vertical="center"/>
    </xf>
    <xf numFmtId="14" fontId="80"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209" fillId="0" borderId="0" xfId="2" applyNumberFormat="1" applyFont="1" applyFill="1" applyAlignment="1" applyProtection="1">
      <alignment horizontal="center" vertical="center" wrapText="1"/>
    </xf>
    <xf numFmtId="0" fontId="139" fillId="9" borderId="57" xfId="2" applyNumberFormat="1" applyFont="1" applyFill="1" applyBorder="1" applyAlignment="1" applyProtection="1">
      <alignment horizontal="center" vertical="center" wrapText="1"/>
      <protection hidden="1"/>
    </xf>
    <xf numFmtId="14" fontId="93" fillId="23" borderId="207" xfId="0" applyNumberFormat="1" applyFont="1" applyFill="1" applyBorder="1" applyAlignment="1" applyProtection="1">
      <alignment horizontal="center" vertical="center"/>
      <protection hidden="1"/>
    </xf>
    <xf numFmtId="0" fontId="93" fillId="18" borderId="2" xfId="0" applyFont="1" applyFill="1" applyBorder="1" applyAlignment="1" applyProtection="1">
      <alignment horizontal="center" vertical="center"/>
      <protection hidden="1"/>
    </xf>
    <xf numFmtId="0" fontId="93" fillId="23" borderId="2" xfId="0" applyFont="1" applyFill="1" applyBorder="1" applyAlignment="1" applyProtection="1">
      <alignment horizontal="center" vertical="center"/>
      <protection hidden="1"/>
    </xf>
    <xf numFmtId="0" fontId="93" fillId="23" borderId="130" xfId="0" applyFont="1" applyFill="1" applyBorder="1" applyAlignment="1" applyProtection="1">
      <alignment horizontal="center" vertical="center"/>
      <protection hidden="1"/>
    </xf>
    <xf numFmtId="14" fontId="77"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0" fontId="189" fillId="0" borderId="0" xfId="2" applyNumberFormat="1" applyFont="1" applyFill="1" applyAlignment="1" applyProtection="1">
      <alignment horizontal="center" vertical="center"/>
    </xf>
    <xf numFmtId="14" fontId="145"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80"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93" fillId="0" borderId="0" xfId="0" applyNumberFormat="1" applyFont="1" applyAlignment="1" applyProtection="1">
      <alignment horizontal="center" vertical="center"/>
      <protection locked="0"/>
    </xf>
    <xf numFmtId="14" fontId="93" fillId="18" borderId="184" xfId="0" applyNumberFormat="1" applyFont="1" applyFill="1" applyBorder="1" applyAlignment="1" applyProtection="1">
      <alignment horizontal="center" vertical="center"/>
      <protection hidden="1"/>
    </xf>
    <xf numFmtId="9" fontId="96" fillId="4" borderId="0" xfId="3" applyFont="1" applyFill="1" applyAlignment="1">
      <alignment vertical="center"/>
    </xf>
    <xf numFmtId="0" fontId="0" fillId="0" borderId="113" xfId="0" applyBorder="1" applyAlignment="1">
      <alignment vertical="top" wrapText="1"/>
    </xf>
    <xf numFmtId="0" fontId="0" fillId="0" borderId="0" xfId="0" applyAlignment="1">
      <alignment vertical="top" wrapText="1"/>
    </xf>
    <xf numFmtId="0" fontId="219" fillId="0" borderId="0" xfId="0" applyFont="1"/>
    <xf numFmtId="0" fontId="220" fillId="0" borderId="0" xfId="0" applyFont="1"/>
    <xf numFmtId="0" fontId="204" fillId="0" borderId="170" xfId="0" applyFont="1" applyBorder="1" applyAlignment="1" applyProtection="1">
      <alignment horizontal="center" vertical="center"/>
      <protection locked="0"/>
    </xf>
    <xf numFmtId="0" fontId="204" fillId="0" borderId="131" xfId="0" applyFont="1" applyBorder="1" applyAlignment="1" applyProtection="1">
      <alignment horizontal="center" vertical="center"/>
      <protection locked="0"/>
    </xf>
    <xf numFmtId="8" fontId="106" fillId="0" borderId="33" xfId="0" applyNumberFormat="1" applyFont="1" applyBorder="1" applyAlignment="1" applyProtection="1">
      <alignment vertical="center"/>
      <protection locked="0"/>
    </xf>
    <xf numFmtId="0" fontId="93" fillId="0" borderId="0" xfId="0" applyFont="1" applyAlignment="1">
      <alignment horizontal="left" vertical="center" wrapText="1"/>
    </xf>
    <xf numFmtId="0" fontId="182" fillId="0" borderId="0" xfId="2" applyNumberFormat="1" applyFont="1" applyFill="1" applyAlignment="1" applyProtection="1"/>
    <xf numFmtId="0" fontId="96"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04" fillId="0" borderId="2" xfId="0" applyNumberFormat="1" applyFont="1" applyBorder="1" applyAlignment="1" applyProtection="1">
      <alignment vertical="center"/>
      <protection locked="0"/>
    </xf>
    <xf numFmtId="8" fontId="222" fillId="8" borderId="20" xfId="0" applyNumberFormat="1" applyFont="1" applyFill="1" applyBorder="1" applyAlignment="1" applyProtection="1">
      <alignment horizontal="center" vertical="center"/>
      <protection locked="0"/>
    </xf>
    <xf numFmtId="9" fontId="204" fillId="0" borderId="2" xfId="0" applyNumberFormat="1" applyFont="1" applyBorder="1" applyAlignment="1" applyProtection="1">
      <alignment horizontal="center" vertical="center"/>
      <protection locked="0"/>
    </xf>
    <xf numFmtId="8" fontId="93" fillId="18" borderId="33" xfId="0" applyNumberFormat="1" applyFont="1" applyFill="1" applyBorder="1" applyAlignment="1" applyProtection="1">
      <alignment vertical="center"/>
      <protection hidden="1"/>
    </xf>
    <xf numFmtId="8" fontId="93" fillId="23" borderId="33" xfId="0" applyNumberFormat="1" applyFont="1" applyFill="1" applyBorder="1" applyAlignment="1" applyProtection="1">
      <alignment vertical="center"/>
      <protection hidden="1"/>
    </xf>
    <xf numFmtId="169" fontId="182" fillId="0" borderId="23" xfId="2" applyNumberFormat="1" applyFont="1" applyBorder="1" applyAlignment="1" applyProtection="1">
      <alignment vertical="center"/>
    </xf>
    <xf numFmtId="169" fontId="182" fillId="0" borderId="44" xfId="2" applyNumberFormat="1" applyFont="1" applyBorder="1" applyAlignment="1" applyProtection="1">
      <alignment vertical="center"/>
    </xf>
    <xf numFmtId="169" fontId="182" fillId="0" borderId="0" xfId="2" applyNumberFormat="1" applyFont="1" applyAlignment="1" applyProtection="1">
      <alignment vertical="center"/>
    </xf>
    <xf numFmtId="169" fontId="182"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91"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66" fillId="4" borderId="0" xfId="0" quotePrefix="1" applyNumberFormat="1" applyFont="1" applyFill="1" applyAlignment="1" applyProtection="1">
      <alignment horizontal="center" vertical="center" wrapText="1"/>
      <protection hidden="1"/>
    </xf>
    <xf numFmtId="8" fontId="214" fillId="0" borderId="2" xfId="0" applyNumberFormat="1" applyFont="1" applyBorder="1" applyAlignment="1" applyProtection="1">
      <alignment horizontal="center" vertical="center"/>
      <protection locked="0"/>
    </xf>
    <xf numFmtId="181" fontId="214" fillId="0" borderId="2" xfId="0" applyNumberFormat="1" applyFont="1" applyBorder="1" applyAlignment="1" applyProtection="1">
      <alignment horizontal="center" vertical="center"/>
      <protection locked="0"/>
    </xf>
    <xf numFmtId="10" fontId="204" fillId="0" borderId="2" xfId="0" applyNumberFormat="1" applyFont="1" applyBorder="1" applyAlignment="1" applyProtection="1">
      <alignment horizontal="center" vertical="center"/>
      <protection locked="0"/>
    </xf>
    <xf numFmtId="9" fontId="214" fillId="0" borderId="2" xfId="0" applyNumberFormat="1" applyFont="1" applyBorder="1" applyAlignment="1" applyProtection="1">
      <alignment horizontal="center" vertical="center"/>
      <protection locked="0"/>
    </xf>
    <xf numFmtId="9" fontId="223" fillId="0" borderId="2" xfId="0" applyNumberFormat="1" applyFont="1" applyBorder="1" applyAlignment="1" applyProtection="1">
      <alignment horizontal="center" vertical="center"/>
      <protection locked="0"/>
    </xf>
    <xf numFmtId="10" fontId="204" fillId="0" borderId="131" xfId="0" applyNumberFormat="1" applyFont="1" applyBorder="1" applyAlignment="1" applyProtection="1">
      <alignment horizontal="center" vertical="center"/>
      <protection locked="0"/>
    </xf>
    <xf numFmtId="9" fontId="214" fillId="0" borderId="131" xfId="0" applyNumberFormat="1" applyFont="1" applyBorder="1" applyAlignment="1" applyProtection="1">
      <alignment horizontal="center" vertical="center"/>
      <protection locked="0"/>
    </xf>
    <xf numFmtId="165" fontId="56" fillId="4" borderId="15" xfId="0" applyNumberFormat="1" applyFont="1" applyFill="1" applyBorder="1"/>
    <xf numFmtId="0" fontId="56" fillId="4" borderId="0" xfId="0" quotePrefix="1" applyFont="1" applyFill="1" applyAlignment="1" applyProtection="1">
      <alignment horizontal="center" vertical="center"/>
      <protection hidden="1"/>
    </xf>
    <xf numFmtId="0" fontId="56" fillId="4" borderId="15" xfId="0" applyFont="1" applyFill="1" applyBorder="1"/>
    <xf numFmtId="6" fontId="56" fillId="4" borderId="0" xfId="0" applyNumberFormat="1" applyFont="1" applyFill="1" applyAlignment="1">
      <alignment horizontal="center" vertical="center"/>
    </xf>
    <xf numFmtId="2" fontId="95" fillId="4" borderId="0" xfId="0" applyNumberFormat="1" applyFont="1" applyFill="1" applyAlignment="1">
      <alignment horizontal="center" vertical="center"/>
    </xf>
    <xf numFmtId="2" fontId="54"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67" fillId="0" borderId="2" xfId="3" applyNumberFormat="1" applyFill="1" applyBorder="1"/>
    <xf numFmtId="10" fontId="67" fillId="0" borderId="2" xfId="3" applyNumberFormat="1" applyFill="1" applyBorder="1" applyAlignment="1">
      <alignment vertical="center"/>
    </xf>
    <xf numFmtId="6" fontId="66" fillId="4" borderId="0" xfId="0" applyNumberFormat="1" applyFont="1" applyFill="1" applyAlignment="1" applyProtection="1">
      <alignment horizontal="center" vertical="center" wrapText="1"/>
      <protection hidden="1"/>
    </xf>
    <xf numFmtId="8" fontId="145" fillId="4" borderId="0" xfId="0" applyNumberFormat="1" applyFont="1" applyFill="1" applyAlignment="1">
      <alignment horizontal="center" vertical="center"/>
    </xf>
    <xf numFmtId="6" fontId="145" fillId="4" borderId="0" xfId="0" applyNumberFormat="1" applyFont="1" applyFill="1" applyAlignment="1">
      <alignment horizontal="center" vertical="center"/>
    </xf>
    <xf numFmtId="10" fontId="80" fillId="4" borderId="0" xfId="3" applyNumberFormat="1" applyFont="1" applyFill="1" applyAlignment="1">
      <alignment horizontal="center" vertical="center"/>
    </xf>
    <xf numFmtId="178" fontId="95"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95" fillId="0" borderId="2" xfId="0" applyFont="1" applyBorder="1" applyAlignment="1">
      <alignment vertical="center"/>
    </xf>
    <xf numFmtId="0" fontId="95" fillId="0" borderId="2" xfId="0" applyFont="1" applyBorder="1" applyAlignment="1">
      <alignment horizontal="right" vertical="center"/>
    </xf>
    <xf numFmtId="10" fontId="0" fillId="0" borderId="1" xfId="3" applyNumberFormat="1" applyFont="1" applyBorder="1" applyAlignment="1">
      <alignment vertical="center"/>
    </xf>
    <xf numFmtId="14" fontId="46" fillId="0" borderId="2" xfId="0" applyNumberFormat="1" applyFont="1" applyBorder="1" applyAlignment="1" applyProtection="1">
      <alignment horizontal="center" vertical="center"/>
      <protection locked="0"/>
    </xf>
    <xf numFmtId="0" fontId="46" fillId="4" borderId="2" xfId="0" applyFont="1" applyFill="1" applyBorder="1" applyAlignment="1">
      <alignment horizontal="right" vertical="center" wrapText="1"/>
    </xf>
    <xf numFmtId="180" fontId="46" fillId="4" borderId="2" xfId="0" applyNumberFormat="1" applyFont="1" applyFill="1" applyBorder="1" applyAlignment="1">
      <alignment horizontal="center" vertical="center"/>
    </xf>
    <xf numFmtId="6" fontId="46" fillId="4" borderId="2" xfId="0" applyNumberFormat="1" applyFont="1" applyFill="1" applyBorder="1" applyAlignment="1">
      <alignment horizontal="center" vertical="center"/>
    </xf>
    <xf numFmtId="0" fontId="93" fillId="3" borderId="2" xfId="0" applyFont="1" applyFill="1" applyBorder="1" applyAlignment="1">
      <alignment horizontal="right" vertical="center" wrapText="1"/>
    </xf>
    <xf numFmtId="10" fontId="93" fillId="3" borderId="2" xfId="3" applyNumberFormat="1" applyFont="1" applyFill="1" applyBorder="1" applyAlignment="1">
      <alignment horizontal="center" vertical="center" wrapText="1"/>
    </xf>
    <xf numFmtId="0" fontId="49" fillId="4" borderId="2" xfId="0" applyFont="1" applyFill="1" applyBorder="1" applyAlignment="1" applyProtection="1">
      <alignment horizontal="right" vertical="center" wrapText="1"/>
      <protection hidden="1"/>
    </xf>
    <xf numFmtId="6" fontId="49" fillId="4" borderId="2" xfId="0" applyNumberFormat="1" applyFont="1" applyFill="1" applyBorder="1" applyAlignment="1" applyProtection="1">
      <alignment horizontal="center" vertical="center" wrapText="1"/>
      <protection hidden="1"/>
    </xf>
    <xf numFmtId="9" fontId="49" fillId="4" borderId="2" xfId="0" applyNumberFormat="1" applyFont="1" applyFill="1" applyBorder="1" applyAlignment="1">
      <alignment horizontal="right" vertical="center" wrapText="1"/>
    </xf>
    <xf numFmtId="10" fontId="49" fillId="4" borderId="2" xfId="3" applyNumberFormat="1" applyFont="1" applyFill="1" applyBorder="1" applyAlignment="1">
      <alignment horizontal="center" vertical="center"/>
    </xf>
    <xf numFmtId="6" fontId="81" fillId="4" borderId="2" xfId="0" applyNumberFormat="1" applyFont="1" applyFill="1" applyBorder="1" applyAlignment="1">
      <alignment horizontal="center" vertical="center"/>
    </xf>
    <xf numFmtId="0" fontId="81" fillId="3" borderId="2" xfId="0" applyFont="1" applyFill="1" applyBorder="1" applyAlignment="1">
      <alignment horizontal="right" vertical="center" wrapText="1"/>
    </xf>
    <xf numFmtId="0" fontId="93" fillId="4" borderId="2" xfId="0" applyFont="1" applyFill="1" applyBorder="1" applyAlignment="1">
      <alignment horizontal="right" vertical="center" wrapText="1"/>
    </xf>
    <xf numFmtId="0" fontId="49" fillId="4" borderId="2" xfId="2" applyNumberFormat="1" applyFont="1" applyFill="1" applyBorder="1" applyAlignment="1" applyProtection="1">
      <alignment horizontal="right" vertical="center" wrapText="1"/>
      <protection hidden="1"/>
    </xf>
    <xf numFmtId="0" fontId="46" fillId="4" borderId="2" xfId="0" applyFont="1" applyFill="1" applyBorder="1" applyAlignment="1" applyProtection="1">
      <alignment horizontal="right" vertical="center" wrapText="1"/>
      <protection hidden="1"/>
    </xf>
    <xf numFmtId="180" fontId="49" fillId="4" borderId="2" xfId="0" applyNumberFormat="1" applyFont="1" applyFill="1" applyBorder="1" applyAlignment="1">
      <alignment horizontal="center" vertical="center"/>
    </xf>
    <xf numFmtId="14" fontId="56" fillId="4" borderId="0" xfId="0" applyNumberFormat="1" applyFont="1" applyFill="1" applyAlignment="1">
      <alignment horizontal="center" vertical="center"/>
    </xf>
    <xf numFmtId="10" fontId="80" fillId="4" borderId="0" xfId="3" applyNumberFormat="1" applyFont="1" applyFill="1" applyAlignment="1">
      <alignment vertical="center"/>
    </xf>
    <xf numFmtId="0" fontId="46"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04" fillId="0" borderId="2" xfId="3" applyNumberFormat="1" applyFont="1" applyBorder="1" applyAlignment="1" applyProtection="1">
      <alignment horizontal="center" vertical="center"/>
      <protection locked="0"/>
    </xf>
    <xf numFmtId="6" fontId="93" fillId="18" borderId="33" xfId="0" applyNumberFormat="1" applyFont="1" applyFill="1" applyBorder="1" applyAlignment="1" applyProtection="1">
      <alignment vertical="center"/>
      <protection hidden="1"/>
    </xf>
    <xf numFmtId="6" fontId="93" fillId="23" borderId="218" xfId="0" applyNumberFormat="1" applyFont="1" applyFill="1" applyBorder="1" applyAlignment="1" applyProtection="1">
      <alignment vertical="center"/>
      <protection hidden="1"/>
    </xf>
    <xf numFmtId="6" fontId="93" fillId="18" borderId="2" xfId="0" applyNumberFormat="1" applyFont="1" applyFill="1" applyBorder="1" applyAlignment="1" applyProtection="1">
      <alignment vertical="center"/>
      <protection hidden="1"/>
    </xf>
    <xf numFmtId="6" fontId="93" fillId="23" borderId="130" xfId="0" applyNumberFormat="1" applyFont="1" applyFill="1" applyBorder="1" applyAlignment="1" applyProtection="1">
      <alignment vertical="center"/>
      <protection hidden="1"/>
    </xf>
    <xf numFmtId="183" fontId="67" fillId="0" borderId="6" xfId="3" applyNumberFormat="1" applyFill="1" applyBorder="1" applyAlignment="1">
      <alignment vertical="center"/>
    </xf>
    <xf numFmtId="183" fontId="67" fillId="0" borderId="21" xfId="3" applyNumberFormat="1" applyFill="1" applyBorder="1" applyAlignment="1">
      <alignment vertical="center"/>
    </xf>
    <xf numFmtId="0" fontId="91" fillId="4" borderId="131" xfId="0" applyFont="1" applyFill="1" applyBorder="1" applyAlignment="1" applyProtection="1">
      <alignment horizontal="right" vertical="center"/>
      <protection hidden="1"/>
    </xf>
    <xf numFmtId="6" fontId="93" fillId="4" borderId="175" xfId="0" applyNumberFormat="1" applyFont="1" applyFill="1" applyBorder="1" applyAlignment="1" applyProtection="1">
      <alignment vertical="center"/>
      <protection hidden="1"/>
    </xf>
    <xf numFmtId="6" fontId="93" fillId="4" borderId="132" xfId="0" applyNumberFormat="1" applyFont="1" applyFill="1" applyBorder="1" applyAlignment="1" applyProtection="1">
      <alignment vertical="center"/>
      <protection hidden="1"/>
    </xf>
    <xf numFmtId="9" fontId="93"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96" fillId="12" borderId="17" xfId="0" applyFont="1" applyFill="1" applyBorder="1" applyAlignment="1" applyProtection="1">
      <alignment horizontal="right" vertical="center" wrapText="1"/>
      <protection hidden="1"/>
    </xf>
    <xf numFmtId="14" fontId="91" fillId="12" borderId="228" xfId="0" applyNumberFormat="1" applyFont="1" applyFill="1" applyBorder="1" applyAlignment="1" applyProtection="1">
      <alignment horizontal="right" vertical="center" wrapText="1"/>
      <protection hidden="1"/>
    </xf>
    <xf numFmtId="6" fontId="227"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9" fontId="204" fillId="0" borderId="131" xfId="0" applyNumberFormat="1" applyFont="1" applyBorder="1" applyAlignment="1" applyProtection="1">
      <alignment horizontal="center" vertical="center"/>
      <protection locked="0"/>
    </xf>
    <xf numFmtId="0" fontId="223" fillId="0" borderId="2" xfId="0" applyFont="1" applyBorder="1" applyAlignment="1" applyProtection="1">
      <alignment horizontal="center" vertical="center" wrapText="1"/>
      <protection locked="0"/>
    </xf>
    <xf numFmtId="0" fontId="139"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29" fillId="29" borderId="2" xfId="0" applyNumberFormat="1" applyFont="1" applyFill="1" applyBorder="1" applyAlignment="1">
      <alignment horizontal="center" vertical="top" wrapText="1"/>
    </xf>
    <xf numFmtId="8" fontId="229" fillId="29" borderId="2" xfId="0" applyNumberFormat="1" applyFont="1" applyFill="1" applyBorder="1" applyAlignment="1">
      <alignment horizontal="center" vertical="top" wrapText="1"/>
    </xf>
    <xf numFmtId="10" fontId="229" fillId="29" borderId="2" xfId="0" applyNumberFormat="1" applyFont="1" applyFill="1" applyBorder="1" applyAlignment="1">
      <alignment horizontal="center" vertical="top" wrapText="1"/>
    </xf>
    <xf numFmtId="10" fontId="229" fillId="29"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29" fillId="29" borderId="2" xfId="0" applyNumberFormat="1" applyFont="1" applyFill="1" applyBorder="1" applyAlignment="1">
      <alignment horizontal="center" vertical="center" wrapText="1"/>
    </xf>
    <xf numFmtId="8" fontId="229" fillId="29" borderId="2" xfId="0" applyNumberFormat="1" applyFont="1" applyFill="1" applyBorder="1" applyAlignment="1">
      <alignment horizontal="center" vertical="center" wrapText="1"/>
    </xf>
    <xf numFmtId="10" fontId="229" fillId="29" borderId="2" xfId="0" applyNumberFormat="1" applyFont="1" applyFill="1" applyBorder="1" applyAlignment="1">
      <alignment horizontal="center" vertical="center" wrapText="1"/>
    </xf>
    <xf numFmtId="10" fontId="229" fillId="29"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29" fillId="29" borderId="41" xfId="0" applyNumberFormat="1" applyFont="1" applyFill="1" applyBorder="1" applyAlignment="1">
      <alignment horizontal="center" vertical="center" wrapText="1"/>
    </xf>
    <xf numFmtId="8" fontId="229" fillId="29" borderId="41" xfId="0" applyNumberFormat="1" applyFont="1" applyFill="1" applyBorder="1" applyAlignment="1">
      <alignment horizontal="center" vertical="center" wrapText="1"/>
    </xf>
    <xf numFmtId="10" fontId="229" fillId="29"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79" fillId="25" borderId="229" xfId="0" applyFont="1" applyFill="1" applyBorder="1" applyAlignment="1">
      <alignment horizontal="center" vertical="top" wrapText="1"/>
    </xf>
    <xf numFmtId="0" fontId="179" fillId="25" borderId="0" xfId="0" applyFont="1" applyFill="1" applyAlignment="1">
      <alignment horizontal="center" vertical="top" wrapText="1"/>
    </xf>
    <xf numFmtId="0" fontId="179" fillId="25" borderId="230" xfId="0" applyFont="1" applyFill="1" applyBorder="1" applyAlignment="1">
      <alignment horizontal="center" vertical="top" wrapText="1"/>
    </xf>
    <xf numFmtId="0" fontId="179" fillId="25" borderId="190" xfId="0" applyFont="1" applyFill="1" applyBorder="1" applyAlignment="1">
      <alignment horizontal="center" vertical="top" wrapText="1"/>
    </xf>
    <xf numFmtId="0" fontId="27"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06"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93" fillId="9" borderId="2" xfId="0" applyFont="1" applyFill="1" applyBorder="1" applyAlignment="1">
      <alignment horizontal="center" vertical="center"/>
    </xf>
    <xf numFmtId="0" fontId="0" fillId="4" borderId="0" xfId="0" applyFill="1" applyAlignment="1">
      <alignment vertical="center" wrapText="1"/>
    </xf>
    <xf numFmtId="14" fontId="131" fillId="0" borderId="2" xfId="0" applyNumberFormat="1" applyFont="1" applyBorder="1" applyAlignment="1">
      <alignment horizontal="center" textRotation="90"/>
    </xf>
    <xf numFmtId="14" fontId="131" fillId="0" borderId="3" xfId="0" applyNumberFormat="1" applyFont="1" applyBorder="1" applyAlignment="1">
      <alignment horizontal="center" textRotation="90"/>
    </xf>
    <xf numFmtId="10" fontId="155" fillId="0" borderId="2" xfId="3" applyNumberFormat="1" applyFont="1" applyBorder="1" applyAlignment="1">
      <alignment horizontal="center" vertical="center"/>
    </xf>
    <xf numFmtId="4" fontId="155" fillId="0" borderId="2" xfId="0" applyNumberFormat="1" applyFont="1" applyBorder="1" applyAlignment="1">
      <alignment horizontal="center" vertical="center"/>
    </xf>
    <xf numFmtId="4" fontId="155" fillId="0" borderId="3" xfId="0" applyNumberFormat="1" applyFont="1" applyBorder="1" applyAlignment="1">
      <alignment horizontal="center" vertical="center"/>
    </xf>
    <xf numFmtId="10" fontId="0" fillId="0" borderId="0" xfId="3" applyNumberFormat="1" applyFont="1" applyAlignment="1">
      <alignment vertical="center"/>
    </xf>
    <xf numFmtId="0" fontId="91"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71" fillId="4" borderId="3" xfId="0" applyNumberFormat="1" applyFont="1" applyFill="1" applyBorder="1" applyAlignment="1" applyProtection="1">
      <alignment horizontal="center" vertical="center"/>
      <protection hidden="1"/>
    </xf>
    <xf numFmtId="10" fontId="67"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06" fillId="18" borderId="2" xfId="0" applyNumberFormat="1" applyFont="1" applyFill="1" applyBorder="1" applyAlignment="1" applyProtection="1">
      <alignment horizontal="center" vertical="center"/>
      <protection hidden="1"/>
    </xf>
    <xf numFmtId="172" fontId="114" fillId="8" borderId="0" xfId="0" applyNumberFormat="1" applyFont="1" applyFill="1" applyAlignment="1">
      <alignment vertical="center"/>
    </xf>
    <xf numFmtId="178" fontId="44"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23" fillId="0" borderId="2" xfId="0" applyNumberFormat="1" applyFont="1" applyBorder="1" applyAlignment="1" applyProtection="1">
      <alignment vertical="center"/>
      <protection locked="0"/>
    </xf>
    <xf numFmtId="6" fontId="23" fillId="0" borderId="130" xfId="0" applyNumberFormat="1" applyFont="1" applyBorder="1" applyAlignment="1" applyProtection="1">
      <alignment vertical="center"/>
      <protection locked="0"/>
    </xf>
    <xf numFmtId="8" fontId="93" fillId="0" borderId="2" xfId="0" applyNumberFormat="1" applyFont="1" applyBorder="1"/>
    <xf numFmtId="0" fontId="95" fillId="18" borderId="131" xfId="0" applyFont="1" applyFill="1" applyBorder="1" applyAlignment="1" applyProtection="1">
      <alignment horizontal="center" vertical="center"/>
      <protection hidden="1"/>
    </xf>
    <xf numFmtId="0" fontId="95"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49" fillId="0" borderId="0" xfId="0" applyFont="1" applyAlignment="1">
      <alignment horizontal="center" vertical="center"/>
    </xf>
    <xf numFmtId="2" fontId="0" fillId="0" borderId="0" xfId="0" quotePrefix="1" applyNumberFormat="1" applyAlignment="1">
      <alignment vertical="center" wrapText="1"/>
    </xf>
    <xf numFmtId="8" fontId="97"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96" fillId="4" borderId="130" xfId="0" applyFont="1" applyFill="1" applyBorder="1" applyAlignment="1" applyProtection="1">
      <alignment horizontal="center" vertical="center"/>
      <protection hidden="1"/>
    </xf>
    <xf numFmtId="191" fontId="96" fillId="4" borderId="183" xfId="0" applyNumberFormat="1" applyFont="1" applyFill="1" applyBorder="1" applyAlignment="1" applyProtection="1">
      <alignment horizontal="center" vertical="center"/>
      <protection hidden="1"/>
    </xf>
    <xf numFmtId="0" fontId="96" fillId="4" borderId="153" xfId="0" applyFont="1" applyFill="1" applyBorder="1" applyAlignment="1" applyProtection="1">
      <alignment vertical="center"/>
      <protection hidden="1"/>
    </xf>
    <xf numFmtId="0" fontId="0" fillId="4" borderId="130" xfId="0" applyFill="1" applyBorder="1" applyAlignment="1">
      <alignment horizontal="center"/>
    </xf>
    <xf numFmtId="0" fontId="93"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52" fillId="4" borderId="15" xfId="0" applyFont="1" applyFill="1" applyBorder="1" applyAlignment="1">
      <alignment horizontal="center" vertical="center"/>
    </xf>
    <xf numFmtId="0" fontId="96" fillId="4" borderId="0" xfId="0" applyFont="1" applyFill="1" applyAlignment="1">
      <alignment horizontal="center" vertical="center"/>
    </xf>
    <xf numFmtId="0" fontId="133" fillId="0" borderId="0" xfId="0" applyFont="1" applyAlignment="1">
      <alignment horizontal="center" vertical="center"/>
    </xf>
    <xf numFmtId="8" fontId="40" fillId="0" borderId="19" xfId="0" applyNumberFormat="1" applyFont="1" applyBorder="1" applyAlignment="1">
      <alignment horizontal="center"/>
    </xf>
    <xf numFmtId="8" fontId="40" fillId="9" borderId="19" xfId="0" applyNumberFormat="1" applyFont="1" applyFill="1" applyBorder="1" applyAlignment="1">
      <alignment horizontal="center"/>
    </xf>
    <xf numFmtId="178" fontId="40" fillId="0" borderId="5" xfId="0" applyNumberFormat="1" applyFont="1" applyBorder="1" applyAlignment="1">
      <alignment horizontal="center" vertical="center" wrapText="1"/>
    </xf>
    <xf numFmtId="178" fontId="40" fillId="0" borderId="7" xfId="0" applyNumberFormat="1" applyFont="1" applyBorder="1" applyAlignment="1">
      <alignment horizontal="center" vertical="center" wrapText="1"/>
    </xf>
    <xf numFmtId="0" fontId="40" fillId="0" borderId="0" xfId="0" applyFont="1" applyProtection="1">
      <protection hidden="1"/>
    </xf>
    <xf numFmtId="0" fontId="40" fillId="0" borderId="0" xfId="0" applyFont="1" applyAlignment="1" applyProtection="1">
      <alignment horizontal="center" vertical="center" wrapText="1"/>
      <protection hidden="1"/>
    </xf>
    <xf numFmtId="0" fontId="37" fillId="0" borderId="0" xfId="0" applyFont="1" applyProtection="1">
      <protection hidden="1"/>
    </xf>
    <xf numFmtId="4" fontId="22" fillId="0" borderId="0" xfId="0" applyNumberFormat="1" applyFont="1"/>
    <xf numFmtId="167" fontId="190" fillId="9" borderId="0" xfId="0" applyNumberFormat="1" applyFont="1" applyFill="1" applyAlignment="1">
      <alignment horizontal="center"/>
    </xf>
    <xf numFmtId="14" fontId="80" fillId="0" borderId="2" xfId="0" applyNumberFormat="1" applyFont="1" applyBorder="1" applyAlignment="1" applyProtection="1">
      <alignment horizontal="center" vertical="center"/>
      <protection locked="0"/>
    </xf>
    <xf numFmtId="8" fontId="80" fillId="0" borderId="2" xfId="0" applyNumberFormat="1" applyFont="1" applyBorder="1" applyAlignment="1" applyProtection="1">
      <alignment horizontal="center" vertical="center"/>
      <protection locked="0"/>
    </xf>
    <xf numFmtId="10" fontId="80" fillId="0" borderId="2" xfId="0" applyNumberFormat="1" applyFont="1" applyBorder="1" applyAlignment="1" applyProtection="1">
      <alignment horizontal="center" vertical="center"/>
      <protection locked="0"/>
    </xf>
    <xf numFmtId="198" fontId="0" fillId="0" borderId="0" xfId="0" applyNumberFormat="1"/>
    <xf numFmtId="0" fontId="91" fillId="0" borderId="0" xfId="0" applyFont="1" applyAlignment="1">
      <alignment vertical="center"/>
    </xf>
    <xf numFmtId="0" fontId="234" fillId="0" borderId="0" xfId="0" applyFont="1" applyAlignment="1">
      <alignment vertical="center"/>
    </xf>
    <xf numFmtId="8" fontId="0" fillId="4" borderId="20" xfId="0" applyNumberFormat="1" applyFill="1" applyBorder="1" applyAlignment="1">
      <alignment horizontal="center" vertical="center"/>
    </xf>
    <xf numFmtId="0" fontId="93" fillId="0" borderId="0" xfId="0" applyFont="1" applyAlignment="1">
      <alignment wrapText="1"/>
    </xf>
    <xf numFmtId="0" fontId="96" fillId="9" borderId="0" xfId="0" applyFont="1" applyFill="1" applyAlignment="1">
      <alignment horizontal="center" vertical="center"/>
    </xf>
    <xf numFmtId="0" fontId="144" fillId="0" borderId="0" xfId="0" applyFont="1" applyAlignment="1">
      <alignment horizontal="left" vertical="center" wrapText="1" readingOrder="1"/>
    </xf>
    <xf numFmtId="0" fontId="144" fillId="0" borderId="0" xfId="0" applyFont="1" applyAlignment="1">
      <alignment horizontal="center" vertical="center" wrapText="1" readingOrder="1"/>
    </xf>
    <xf numFmtId="0" fontId="207" fillId="0" borderId="0" xfId="0" applyFont="1" applyAlignment="1">
      <alignment horizontal="center" vertical="top" wrapText="1"/>
    </xf>
    <xf numFmtId="0" fontId="208" fillId="0" borderId="0" xfId="0" applyFont="1" applyAlignment="1">
      <alignment horizontal="left" vertical="center"/>
    </xf>
    <xf numFmtId="176" fontId="0" fillId="0" borderId="0" xfId="3" applyNumberFormat="1" applyFont="1" applyFill="1" applyBorder="1" applyAlignment="1">
      <alignment horizontal="center"/>
    </xf>
    <xf numFmtId="0" fontId="207"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96" fillId="9" borderId="0" xfId="3" applyFont="1" applyFill="1" applyAlignment="1">
      <alignment horizontal="center" vertical="center"/>
    </xf>
    <xf numFmtId="0" fontId="93" fillId="9" borderId="2"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33" fillId="9" borderId="2" xfId="0" applyFont="1" applyFill="1" applyBorder="1" applyAlignment="1" applyProtection="1">
      <alignment horizontal="center" vertical="center"/>
      <protection hidden="1"/>
    </xf>
    <xf numFmtId="9" fontId="214" fillId="9" borderId="2" xfId="3" applyFont="1" applyFill="1" applyBorder="1" applyAlignment="1" applyProtection="1">
      <alignment horizontal="center" vertical="center"/>
      <protection hidden="1"/>
    </xf>
    <xf numFmtId="10" fontId="204" fillId="9" borderId="2" xfId="3" applyNumberFormat="1" applyFont="1" applyFill="1" applyBorder="1" applyAlignment="1" applyProtection="1">
      <alignment horizontal="center" vertical="center"/>
      <protection hidden="1"/>
    </xf>
    <xf numFmtId="9" fontId="136" fillId="9" borderId="0" xfId="0" applyNumberFormat="1" applyFont="1" applyFill="1"/>
    <xf numFmtId="0" fontId="93" fillId="9" borderId="0" xfId="0" applyFont="1" applyFill="1" applyAlignment="1">
      <alignment vertical="center"/>
    </xf>
    <xf numFmtId="0" fontId="93" fillId="9" borderId="0" xfId="0" applyFont="1" applyFill="1" applyAlignment="1" applyProtection="1">
      <alignment vertical="center"/>
      <protection locked="0"/>
    </xf>
    <xf numFmtId="0" fontId="97" fillId="9" borderId="71" xfId="0" applyFont="1" applyFill="1" applyBorder="1" applyAlignment="1" applyProtection="1">
      <alignment horizontal="center" vertical="center" textRotation="90"/>
      <protection locked="0"/>
    </xf>
    <xf numFmtId="0" fontId="93" fillId="9" borderId="187" xfId="0" applyFont="1" applyFill="1" applyBorder="1" applyAlignment="1">
      <alignment vertical="center"/>
    </xf>
    <xf numFmtId="0" fontId="97" fillId="9" borderId="170" xfId="0" applyFont="1" applyFill="1" applyBorder="1" applyAlignment="1">
      <alignment horizontal="center" vertical="center"/>
    </xf>
    <xf numFmtId="0" fontId="97" fillId="9" borderId="2" xfId="0" applyFont="1" applyFill="1" applyBorder="1" applyAlignment="1">
      <alignment horizontal="center" vertical="center"/>
    </xf>
    <xf numFmtId="0" fontId="91" fillId="9" borderId="219" xfId="0" applyFont="1" applyFill="1" applyBorder="1" applyAlignment="1" applyProtection="1">
      <alignment horizontal="center" vertical="center"/>
      <protection hidden="1"/>
    </xf>
    <xf numFmtId="0" fontId="97" fillId="9" borderId="155" xfId="0" applyFont="1" applyFill="1" applyBorder="1" applyAlignment="1" applyProtection="1">
      <alignment horizontal="center" vertical="center"/>
      <protection hidden="1"/>
    </xf>
    <xf numFmtId="0" fontId="97" fillId="9" borderId="41" xfId="0" applyFont="1" applyFill="1" applyBorder="1" applyAlignment="1" applyProtection="1">
      <alignment horizontal="center" vertical="center"/>
      <protection hidden="1"/>
    </xf>
    <xf numFmtId="0" fontId="93" fillId="9" borderId="170" xfId="0" applyFont="1" applyFill="1" applyBorder="1" applyAlignment="1" applyProtection="1">
      <alignment horizontal="center" vertical="center"/>
      <protection hidden="1"/>
    </xf>
    <xf numFmtId="0" fontId="93" fillId="9" borderId="154" xfId="0" applyFont="1" applyFill="1" applyBorder="1" applyAlignment="1" applyProtection="1">
      <alignment horizontal="center" vertical="center"/>
      <protection hidden="1"/>
    </xf>
    <xf numFmtId="6" fontId="93" fillId="9" borderId="2" xfId="0" applyNumberFormat="1" applyFont="1" applyFill="1" applyBorder="1" applyAlignment="1" applyProtection="1">
      <alignment horizontal="center" vertical="center"/>
      <protection hidden="1"/>
    </xf>
    <xf numFmtId="8" fontId="93" fillId="9" borderId="170" xfId="0" applyNumberFormat="1" applyFont="1" applyFill="1" applyBorder="1" applyAlignment="1" applyProtection="1">
      <alignment horizontal="center" vertical="center"/>
      <protection hidden="1"/>
    </xf>
    <xf numFmtId="8" fontId="93" fillId="9" borderId="2" xfId="0" applyNumberFormat="1" applyFont="1" applyFill="1" applyBorder="1" applyAlignment="1" applyProtection="1">
      <alignment horizontal="center" vertical="center"/>
      <protection hidden="1"/>
    </xf>
    <xf numFmtId="0" fontId="93" fillId="9" borderId="153" xfId="0" applyFont="1" applyFill="1" applyBorder="1" applyAlignment="1">
      <alignment vertical="center"/>
    </xf>
    <xf numFmtId="6" fontId="103" fillId="9" borderId="168" xfId="0" applyNumberFormat="1" applyFont="1" applyFill="1" applyBorder="1" applyAlignment="1">
      <alignment horizontal="center" vertical="top"/>
    </xf>
    <xf numFmtId="6" fontId="103" fillId="9" borderId="169" xfId="0" applyNumberFormat="1" applyFont="1" applyFill="1" applyBorder="1" applyAlignment="1">
      <alignment horizontal="center" vertical="top"/>
    </xf>
    <xf numFmtId="8" fontId="202" fillId="9" borderId="168" xfId="0" applyNumberFormat="1" applyFont="1" applyFill="1" applyBorder="1" applyAlignment="1">
      <alignment vertical="center"/>
    </xf>
    <xf numFmtId="8" fontId="202" fillId="9" borderId="169" xfId="0" applyNumberFormat="1" applyFont="1" applyFill="1" applyBorder="1" applyAlignment="1">
      <alignment vertical="center"/>
    </xf>
    <xf numFmtId="9" fontId="96" fillId="9" borderId="0" xfId="3" applyFont="1" applyFill="1" applyAlignment="1">
      <alignment vertical="center"/>
    </xf>
    <xf numFmtId="0" fontId="93" fillId="9" borderId="221" xfId="0" applyFont="1" applyFill="1" applyBorder="1" applyAlignment="1">
      <alignment vertical="center"/>
    </xf>
    <xf numFmtId="6" fontId="103" fillId="9" borderId="131" xfId="0" applyNumberFormat="1" applyFont="1" applyFill="1" applyBorder="1" applyAlignment="1">
      <alignment horizontal="center" vertical="top"/>
    </xf>
    <xf numFmtId="6" fontId="103" fillId="9" borderId="132" xfId="0" applyNumberFormat="1" applyFont="1" applyFill="1" applyBorder="1" applyAlignment="1">
      <alignment horizontal="center" vertical="top"/>
    </xf>
    <xf numFmtId="8" fontId="203" fillId="9" borderId="131" xfId="0" applyNumberFormat="1" applyFont="1" applyFill="1" applyBorder="1" applyAlignment="1">
      <alignment vertical="center"/>
    </xf>
    <xf numFmtId="0" fontId="203" fillId="9" borderId="131" xfId="0" applyFont="1" applyFill="1" applyBorder="1" applyAlignment="1">
      <alignment vertical="center"/>
    </xf>
    <xf numFmtId="0" fontId="203" fillId="9" borderId="132" xfId="0" applyFont="1" applyFill="1" applyBorder="1" applyAlignment="1">
      <alignment vertical="center"/>
    </xf>
    <xf numFmtId="0" fontId="93" fillId="9" borderId="0" xfId="0" applyFont="1" applyFill="1"/>
    <xf numFmtId="0" fontId="54" fillId="9" borderId="180" xfId="2" applyNumberFormat="1" applyFill="1" applyBorder="1" applyAlignment="1" applyProtection="1">
      <alignment vertical="center"/>
    </xf>
    <xf numFmtId="0" fontId="97" fillId="9" borderId="0" xfId="0" applyFont="1" applyFill="1" applyAlignment="1">
      <alignment vertical="center"/>
    </xf>
    <xf numFmtId="6" fontId="81" fillId="9" borderId="180" xfId="2" applyNumberFormat="1" applyFont="1" applyFill="1" applyBorder="1" applyAlignment="1" applyProtection="1">
      <alignment horizontal="center" vertical="center"/>
    </xf>
    <xf numFmtId="0" fontId="0" fillId="9" borderId="0" xfId="0" applyFill="1" applyAlignment="1">
      <alignment vertical="center" textRotation="90" wrapText="1"/>
    </xf>
    <xf numFmtId="0" fontId="115" fillId="9" borderId="0" xfId="0" applyFont="1" applyFill="1" applyAlignment="1">
      <alignment horizontal="center" vertical="center" textRotation="90" wrapText="1"/>
    </xf>
    <xf numFmtId="0" fontId="93" fillId="9" borderId="0" xfId="0" applyFont="1" applyFill="1" applyAlignment="1">
      <alignment horizontal="center"/>
    </xf>
    <xf numFmtId="0" fontId="93" fillId="9" borderId="0" xfId="0" applyFont="1" applyFill="1" applyAlignment="1">
      <alignment horizontal="center" vertical="center"/>
    </xf>
    <xf numFmtId="0" fontId="93" fillId="9" borderId="2" xfId="0" applyFont="1" applyFill="1" applyBorder="1" applyAlignment="1">
      <alignment vertical="center"/>
    </xf>
    <xf numFmtId="0" fontId="115" fillId="9" borderId="2" xfId="0" applyFont="1" applyFill="1" applyBorder="1" applyAlignment="1">
      <alignment horizontal="center" vertical="center" textRotation="90" wrapText="1"/>
    </xf>
    <xf numFmtId="0" fontId="93" fillId="9" borderId="2" xfId="0" applyFont="1" applyFill="1" applyBorder="1" applyAlignment="1" applyProtection="1">
      <alignment vertical="center"/>
      <protection locked="0"/>
    </xf>
    <xf numFmtId="0" fontId="93" fillId="9" borderId="2" xfId="0" applyFont="1" applyFill="1" applyBorder="1"/>
    <xf numFmtId="0" fontId="93" fillId="9" borderId="2" xfId="0" applyFont="1" applyFill="1" applyBorder="1" applyAlignment="1">
      <alignment horizontal="center"/>
    </xf>
    <xf numFmtId="0" fontId="93" fillId="9" borderId="1" xfId="0" applyFont="1" applyFill="1" applyBorder="1" applyAlignment="1">
      <alignment vertical="center"/>
    </xf>
    <xf numFmtId="0" fontId="93" fillId="9" borderId="4" xfId="0" applyFont="1" applyFill="1" applyBorder="1" applyAlignment="1">
      <alignment horizontal="center" vertical="center"/>
    </xf>
    <xf numFmtId="0" fontId="93" fillId="9" borderId="3" xfId="0" applyFont="1" applyFill="1" applyBorder="1" applyAlignment="1">
      <alignment horizontal="center" vertical="center"/>
    </xf>
    <xf numFmtId="2" fontId="93" fillId="9" borderId="2" xfId="0" applyNumberFormat="1" applyFont="1" applyFill="1" applyBorder="1" applyAlignment="1">
      <alignment horizontal="center" vertical="center"/>
    </xf>
    <xf numFmtId="14" fontId="93" fillId="9" borderId="2" xfId="0" applyNumberFormat="1" applyFont="1" applyFill="1" applyBorder="1" applyAlignment="1">
      <alignment horizontal="center" vertical="center"/>
    </xf>
    <xf numFmtId="10" fontId="93" fillId="9" borderId="2" xfId="3" applyNumberFormat="1" applyFont="1" applyFill="1" applyBorder="1" applyAlignment="1">
      <alignment horizontal="center" vertical="center"/>
    </xf>
    <xf numFmtId="167" fontId="93" fillId="9" borderId="2" xfId="0" applyNumberFormat="1" applyFont="1" applyFill="1" applyBorder="1" applyAlignment="1">
      <alignment horizontal="center" vertical="center"/>
    </xf>
    <xf numFmtId="1" fontId="93" fillId="9" borderId="2" xfId="0" applyNumberFormat="1" applyFont="1" applyFill="1" applyBorder="1" applyAlignment="1">
      <alignment horizontal="center" vertical="center"/>
    </xf>
    <xf numFmtId="194" fontId="93" fillId="9" borderId="2" xfId="0" applyNumberFormat="1" applyFont="1" applyFill="1" applyBorder="1" applyAlignment="1">
      <alignment horizontal="center" vertical="center"/>
    </xf>
    <xf numFmtId="8" fontId="103" fillId="9" borderId="3" xfId="0" applyNumberFormat="1" applyFont="1" applyFill="1" applyBorder="1" applyAlignment="1">
      <alignment horizontal="center" vertical="center"/>
    </xf>
    <xf numFmtId="0" fontId="115" fillId="9" borderId="113" xfId="0" applyFont="1" applyFill="1" applyBorder="1" applyAlignment="1">
      <alignment horizontal="center" vertical="center" textRotation="90" wrapText="1"/>
    </xf>
    <xf numFmtId="0" fontId="93" fillId="9" borderId="5" xfId="0" applyFont="1" applyFill="1" applyBorder="1" applyAlignment="1">
      <alignment horizontal="center" vertical="center"/>
    </xf>
    <xf numFmtId="0" fontId="93" fillId="9" borderId="6" xfId="0" applyFont="1" applyFill="1" applyBorder="1" applyAlignment="1">
      <alignment vertical="center"/>
    </xf>
    <xf numFmtId="0" fontId="93" fillId="9" borderId="6" xfId="0" applyFont="1" applyFill="1" applyBorder="1" applyAlignment="1" applyProtection="1">
      <alignment vertical="center"/>
      <protection locked="0"/>
    </xf>
    <xf numFmtId="2" fontId="93" fillId="9" borderId="6" xfId="0" applyNumberFormat="1" applyFont="1" applyFill="1" applyBorder="1" applyAlignment="1">
      <alignment horizontal="center" vertical="center"/>
    </xf>
    <xf numFmtId="14" fontId="93" fillId="9" borderId="6" xfId="0" applyNumberFormat="1" applyFont="1" applyFill="1" applyBorder="1" applyAlignment="1">
      <alignment horizontal="center" vertical="center"/>
    </xf>
    <xf numFmtId="10" fontId="93" fillId="9" borderId="6" xfId="3" applyNumberFormat="1" applyFont="1" applyFill="1" applyBorder="1" applyAlignment="1">
      <alignment horizontal="center" vertical="center"/>
    </xf>
    <xf numFmtId="0" fontId="93" fillId="9" borderId="6" xfId="0" applyFont="1" applyFill="1" applyBorder="1" applyAlignment="1">
      <alignment horizontal="center" vertical="center"/>
    </xf>
    <xf numFmtId="1" fontId="93" fillId="9" borderId="6" xfId="0" applyNumberFormat="1" applyFont="1" applyFill="1" applyBorder="1" applyAlignment="1">
      <alignment horizontal="center" vertical="center"/>
    </xf>
    <xf numFmtId="194" fontId="93" fillId="9" borderId="6" xfId="0" applyNumberFormat="1" applyFont="1" applyFill="1" applyBorder="1" applyAlignment="1">
      <alignment horizontal="center" vertical="center"/>
    </xf>
    <xf numFmtId="8" fontId="103" fillId="9" borderId="7" xfId="0" applyNumberFormat="1" applyFont="1" applyFill="1" applyBorder="1" applyAlignment="1">
      <alignment horizontal="center" vertical="center"/>
    </xf>
    <xf numFmtId="0" fontId="115" fillId="9" borderId="28" xfId="0" applyFont="1" applyFill="1" applyBorder="1" applyAlignment="1">
      <alignment horizontal="center" vertical="center" textRotation="90" wrapText="1"/>
    </xf>
    <xf numFmtId="0" fontId="93" fillId="9" borderId="0" xfId="0" applyFont="1" applyFill="1" applyAlignment="1" applyProtection="1">
      <alignment horizontal="center" vertical="center"/>
      <protection locked="0"/>
    </xf>
    <xf numFmtId="0" fontId="93" fillId="9" borderId="31" xfId="0" applyFont="1" applyFill="1" applyBorder="1" applyAlignment="1">
      <alignment horizontal="center" vertical="center"/>
    </xf>
    <xf numFmtId="8" fontId="93" fillId="9" borderId="0" xfId="0" applyNumberFormat="1" applyFont="1" applyFill="1" applyAlignment="1">
      <alignment vertical="center"/>
    </xf>
    <xf numFmtId="14" fontId="93" fillId="9" borderId="1" xfId="0" applyNumberFormat="1" applyFont="1" applyFill="1" applyBorder="1" applyAlignment="1">
      <alignment vertical="center"/>
    </xf>
    <xf numFmtId="0" fontId="93" fillId="9" borderId="1" xfId="0" applyFont="1" applyFill="1" applyBorder="1" applyAlignment="1">
      <alignment horizontal="center" vertical="center"/>
    </xf>
    <xf numFmtId="14" fontId="93" fillId="9" borderId="2" xfId="0" applyNumberFormat="1" applyFont="1" applyFill="1" applyBorder="1" applyAlignment="1">
      <alignment vertical="center"/>
    </xf>
    <xf numFmtId="2" fontId="93" fillId="9" borderId="2" xfId="0" applyNumberFormat="1" applyFont="1" applyFill="1" applyBorder="1" applyAlignment="1">
      <alignment vertical="center"/>
    </xf>
    <xf numFmtId="2" fontId="93" fillId="9" borderId="1" xfId="0" applyNumberFormat="1" applyFont="1" applyFill="1" applyBorder="1" applyAlignment="1">
      <alignment vertical="center"/>
    </xf>
    <xf numFmtId="8" fontId="93" fillId="9" borderId="2" xfId="0" applyNumberFormat="1" applyFont="1" applyFill="1" applyBorder="1" applyAlignment="1">
      <alignment vertical="center"/>
    </xf>
    <xf numFmtId="167" fontId="93" fillId="9" borderId="2" xfId="0" applyNumberFormat="1" applyFont="1" applyFill="1" applyBorder="1" applyAlignment="1">
      <alignment vertical="center"/>
    </xf>
    <xf numFmtId="8" fontId="96" fillId="9" borderId="0" xfId="0" applyNumberFormat="1" applyFont="1" applyFill="1" applyAlignment="1">
      <alignment horizontal="center" vertical="center"/>
    </xf>
    <xf numFmtId="0" fontId="115" fillId="9" borderId="0" xfId="3" applyNumberFormat="1" applyFont="1" applyFill="1" applyBorder="1" applyAlignment="1">
      <alignment horizontal="center" vertical="center" wrapText="1"/>
    </xf>
    <xf numFmtId="10" fontId="93" fillId="9" borderId="0" xfId="0" applyNumberFormat="1" applyFont="1" applyFill="1" applyAlignment="1">
      <alignment horizontal="center" vertical="center"/>
    </xf>
    <xf numFmtId="167" fontId="93" fillId="9" borderId="1" xfId="0" applyNumberFormat="1" applyFont="1" applyFill="1" applyBorder="1" applyAlignment="1">
      <alignment vertical="center"/>
    </xf>
    <xf numFmtId="8" fontId="93" fillId="9" borderId="67" xfId="0" applyNumberFormat="1" applyFont="1" applyFill="1" applyBorder="1" applyAlignment="1">
      <alignment vertical="center"/>
    </xf>
    <xf numFmtId="8" fontId="93" fillId="9" borderId="22" xfId="0" applyNumberFormat="1" applyFont="1" applyFill="1" applyBorder="1" applyAlignment="1">
      <alignment vertical="center"/>
    </xf>
    <xf numFmtId="8" fontId="93" fillId="9" borderId="10" xfId="0" applyNumberFormat="1" applyFont="1" applyFill="1" applyBorder="1" applyAlignment="1">
      <alignment vertical="center"/>
    </xf>
    <xf numFmtId="8" fontId="93" fillId="9" borderId="0" xfId="0" applyNumberFormat="1" applyFont="1" applyFill="1" applyAlignment="1" applyProtection="1">
      <alignment vertical="center"/>
      <protection locked="0"/>
    </xf>
    <xf numFmtId="0" fontId="93" fillId="9" borderId="0" xfId="0" applyFont="1" applyFill="1" applyAlignment="1" applyProtection="1">
      <alignment horizontal="center" vertical="center" wrapText="1"/>
      <protection locked="0"/>
    </xf>
    <xf numFmtId="10" fontId="93" fillId="9" borderId="2" xfId="3" applyNumberFormat="1" applyFont="1" applyFill="1" applyBorder="1" applyAlignment="1">
      <alignment vertical="center"/>
    </xf>
    <xf numFmtId="10" fontId="93" fillId="9" borderId="1" xfId="3" applyNumberFormat="1" applyFont="1" applyFill="1" applyBorder="1" applyAlignment="1">
      <alignment vertical="center"/>
    </xf>
    <xf numFmtId="8" fontId="93" fillId="9" borderId="82" xfId="0" applyNumberFormat="1" applyFont="1" applyFill="1" applyBorder="1" applyAlignment="1">
      <alignment vertical="center"/>
    </xf>
    <xf numFmtId="8" fontId="93" fillId="9" borderId="7" xfId="0" applyNumberFormat="1" applyFont="1" applyFill="1" applyBorder="1" applyAlignment="1">
      <alignment vertical="center"/>
    </xf>
    <xf numFmtId="3" fontId="93" fillId="9" borderId="2" xfId="0" applyNumberFormat="1" applyFont="1" applyFill="1" applyBorder="1" applyAlignment="1">
      <alignment vertical="center"/>
    </xf>
    <xf numFmtId="176" fontId="93" fillId="9" borderId="0" xfId="3" applyNumberFormat="1" applyFont="1" applyFill="1" applyBorder="1" applyAlignment="1" applyProtection="1">
      <alignment horizontal="center" vertical="center"/>
      <protection locked="0"/>
    </xf>
    <xf numFmtId="10" fontId="93" fillId="9" borderId="0" xfId="3" applyNumberFormat="1" applyFont="1" applyFill="1" applyAlignment="1" applyProtection="1">
      <alignment horizontal="center" vertical="center"/>
      <protection locked="0"/>
    </xf>
    <xf numFmtId="8" fontId="93" fillId="9" borderId="2" xfId="0" applyNumberFormat="1" applyFont="1" applyFill="1" applyBorder="1" applyAlignment="1">
      <alignment vertical="center" wrapText="1"/>
    </xf>
    <xf numFmtId="3" fontId="93" fillId="9" borderId="2" xfId="8" applyNumberFormat="1" applyFont="1" applyFill="1" applyBorder="1" applyAlignment="1">
      <alignment vertical="center"/>
    </xf>
    <xf numFmtId="0" fontId="93" fillId="9" borderId="2" xfId="0" applyFont="1" applyFill="1" applyBorder="1" applyAlignment="1">
      <alignment horizontal="center" vertical="center" wrapText="1"/>
    </xf>
    <xf numFmtId="6" fontId="93" fillId="9" borderId="2" xfId="0" applyNumberFormat="1" applyFont="1" applyFill="1" applyBorder="1" applyAlignment="1">
      <alignment vertical="center"/>
    </xf>
    <xf numFmtId="8" fontId="93" fillId="9" borderId="2" xfId="3" applyNumberFormat="1" applyFont="1" applyFill="1" applyBorder="1" applyAlignment="1">
      <alignment horizontal="center" vertical="center"/>
    </xf>
    <xf numFmtId="8" fontId="93" fillId="9" borderId="2" xfId="0" applyNumberFormat="1" applyFont="1" applyFill="1" applyBorder="1" applyAlignment="1">
      <alignment horizontal="center" vertical="center"/>
    </xf>
    <xf numFmtId="2" fontId="93" fillId="9" borderId="0" xfId="0" applyNumberFormat="1" applyFont="1" applyFill="1" applyAlignment="1">
      <alignment horizontal="center" vertical="center"/>
    </xf>
    <xf numFmtId="167" fontId="93" fillId="9" borderId="0" xfId="0" applyNumberFormat="1" applyFont="1" applyFill="1" applyAlignment="1">
      <alignment horizontal="center" vertical="center"/>
    </xf>
    <xf numFmtId="10" fontId="93" fillId="9" borderId="0" xfId="3" applyNumberFormat="1" applyFont="1" applyFill="1" applyBorder="1" applyAlignment="1">
      <alignment horizontal="center" vertical="center"/>
    </xf>
    <xf numFmtId="10" fontId="93" fillId="9" borderId="0" xfId="3" quotePrefix="1" applyNumberFormat="1" applyFont="1" applyFill="1" applyBorder="1" applyAlignment="1">
      <alignment horizontal="left" vertical="center"/>
    </xf>
    <xf numFmtId="8" fontId="93" fillId="9" borderId="0" xfId="3" applyNumberFormat="1" applyFont="1" applyFill="1" applyBorder="1" applyAlignment="1">
      <alignment horizontal="center" vertical="center"/>
    </xf>
    <xf numFmtId="8" fontId="93" fillId="9" borderId="0" xfId="0" applyNumberFormat="1" applyFont="1" applyFill="1" applyAlignment="1">
      <alignment horizontal="center" vertical="center"/>
    </xf>
    <xf numFmtId="9" fontId="93" fillId="9" borderId="0" xfId="0" applyNumberFormat="1" applyFont="1" applyFill="1" applyAlignment="1">
      <alignment vertical="center"/>
    </xf>
    <xf numFmtId="10" fontId="93" fillId="9" borderId="0" xfId="0" applyNumberFormat="1" applyFont="1" applyFill="1" applyAlignment="1">
      <alignment vertical="center"/>
    </xf>
    <xf numFmtId="195" fontId="93" fillId="9" borderId="2" xfId="0" applyNumberFormat="1" applyFont="1" applyFill="1" applyBorder="1" applyAlignment="1">
      <alignment vertical="center"/>
    </xf>
    <xf numFmtId="195" fontId="93" fillId="9" borderId="0" xfId="0" applyNumberFormat="1" applyFont="1" applyFill="1" applyAlignment="1">
      <alignment vertical="center"/>
    </xf>
    <xf numFmtId="190" fontId="93" fillId="9" borderId="0" xfId="0" applyNumberFormat="1" applyFont="1" applyFill="1" applyAlignment="1">
      <alignment vertical="center" wrapText="1"/>
    </xf>
    <xf numFmtId="8" fontId="93" fillId="9" borderId="56" xfId="0" applyNumberFormat="1" applyFont="1" applyFill="1" applyBorder="1" applyAlignment="1">
      <alignment vertical="center"/>
    </xf>
    <xf numFmtId="176" fontId="93" fillId="9" borderId="0" xfId="0" applyNumberFormat="1" applyFont="1" applyFill="1" applyAlignment="1" applyProtection="1">
      <alignment vertical="center"/>
      <protection locked="0"/>
    </xf>
    <xf numFmtId="196" fontId="93" fillId="9" borderId="2" xfId="3" applyNumberFormat="1" applyFont="1" applyFill="1" applyBorder="1" applyAlignment="1">
      <alignment horizontal="center" vertical="center"/>
    </xf>
    <xf numFmtId="9" fontId="93" fillId="9" borderId="0" xfId="3" applyFont="1" applyFill="1" applyBorder="1" applyAlignment="1">
      <alignment horizontal="center" vertical="center"/>
    </xf>
    <xf numFmtId="0" fontId="93" fillId="9" borderId="2" xfId="0" applyFont="1" applyFill="1" applyBorder="1" applyProtection="1">
      <protection locked="0"/>
    </xf>
    <xf numFmtId="0" fontId="93" fillId="9" borderId="10" xfId="0" applyFont="1" applyFill="1" applyBorder="1" applyAlignment="1" applyProtection="1">
      <alignment horizontal="center" vertical="center"/>
      <protection hidden="1"/>
    </xf>
    <xf numFmtId="0" fontId="93" fillId="9" borderId="2" xfId="0" applyFont="1" applyFill="1" applyBorder="1" applyAlignment="1" applyProtection="1">
      <alignment horizontal="center" vertical="center"/>
      <protection hidden="1"/>
    </xf>
    <xf numFmtId="0" fontId="93" fillId="9" borderId="33" xfId="0" applyFont="1" applyFill="1" applyBorder="1" applyAlignment="1" applyProtection="1">
      <alignment horizontal="center" vertical="center"/>
      <protection hidden="1"/>
    </xf>
    <xf numFmtId="0" fontId="91" fillId="9" borderId="56" xfId="0" applyFont="1" applyFill="1" applyBorder="1" applyAlignment="1" applyProtection="1">
      <alignment horizontal="center" vertical="center"/>
      <protection hidden="1"/>
    </xf>
    <xf numFmtId="0" fontId="93" fillId="9" borderId="210" xfId="0" applyFont="1" applyFill="1" applyBorder="1" applyAlignment="1" applyProtection="1">
      <alignment horizontal="center" vertical="center"/>
      <protection hidden="1"/>
    </xf>
    <xf numFmtId="8" fontId="93" fillId="9" borderId="8" xfId="0" applyNumberFormat="1" applyFont="1" applyFill="1" applyBorder="1" applyAlignment="1">
      <alignment horizontal="center" vertical="center"/>
    </xf>
    <xf numFmtId="0" fontId="97"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77" fillId="2" borderId="242" xfId="0" applyNumberFormat="1" applyFont="1" applyFill="1" applyBorder="1" applyAlignment="1" applyProtection="1">
      <alignment horizontal="center" vertical="center"/>
      <protection locked="0"/>
    </xf>
    <xf numFmtId="6" fontId="98"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25" fillId="4" borderId="248" xfId="0" applyNumberFormat="1" applyFont="1" applyFill="1" applyBorder="1" applyAlignment="1">
      <alignment horizontal="center" vertical="center"/>
    </xf>
    <xf numFmtId="9" fontId="95" fillId="9" borderId="0" xfId="3" applyFont="1" applyFill="1" applyAlignment="1">
      <alignment horizontal="center" vertical="center"/>
    </xf>
    <xf numFmtId="0" fontId="0" fillId="9" borderId="0" xfId="0" applyFill="1" applyAlignment="1" applyProtection="1">
      <alignment vertical="center"/>
      <protection hidden="1"/>
    </xf>
    <xf numFmtId="0" fontId="80" fillId="0" borderId="0" xfId="0" applyFont="1"/>
    <xf numFmtId="8" fontId="80" fillId="0" borderId="0" xfId="0" applyNumberFormat="1" applyFont="1"/>
    <xf numFmtId="8" fontId="52" fillId="0" borderId="0" xfId="0" applyNumberFormat="1" applyFont="1" applyAlignment="1">
      <alignment horizontal="center" vertical="center"/>
    </xf>
    <xf numFmtId="0" fontId="107"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90"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80"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70" fillId="0" borderId="0" xfId="0" applyFont="1" applyAlignment="1">
      <alignment horizontal="center" vertical="center"/>
    </xf>
    <xf numFmtId="8" fontId="25" fillId="0" borderId="0" xfId="0" applyNumberFormat="1" applyFont="1" applyAlignment="1" applyProtection="1">
      <alignment horizontal="center" vertical="center"/>
      <protection hidden="1"/>
    </xf>
    <xf numFmtId="6" fontId="25" fillId="0" borderId="0" xfId="3" applyNumberFormat="1" applyFont="1" applyFill="1" applyBorder="1" applyAlignment="1" applyProtection="1">
      <alignment horizontal="center" vertical="center"/>
      <protection hidden="1"/>
    </xf>
    <xf numFmtId="6" fontId="106" fillId="0" borderId="0" xfId="0" applyNumberFormat="1" applyFont="1" applyAlignment="1" applyProtection="1">
      <alignment horizontal="center" vertical="center"/>
      <protection hidden="1"/>
    </xf>
    <xf numFmtId="0" fontId="148"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91"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91" fillId="9" borderId="24" xfId="0" applyFont="1" applyFill="1" applyBorder="1" applyAlignment="1">
      <alignment horizontal="right" vertical="center"/>
    </xf>
    <xf numFmtId="9" fontId="80"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91"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19" fillId="4" borderId="2" xfId="0" applyFont="1" applyFill="1" applyBorder="1" applyAlignment="1">
      <alignment horizontal="center" vertical="center"/>
    </xf>
    <xf numFmtId="185" fontId="19" fillId="2" borderId="2" xfId="0" applyNumberFormat="1" applyFont="1" applyFill="1" applyBorder="1" applyAlignment="1" applyProtection="1">
      <alignment horizontal="center" vertical="center"/>
      <protection locked="0"/>
    </xf>
    <xf numFmtId="190" fontId="19" fillId="0" borderId="2" xfId="0" applyNumberFormat="1" applyFont="1" applyBorder="1" applyAlignment="1" applyProtection="1">
      <alignment horizontal="center" vertical="center"/>
      <protection locked="0"/>
    </xf>
    <xf numFmtId="14" fontId="19" fillId="0" borderId="2" xfId="0" applyNumberFormat="1" applyFont="1" applyBorder="1" applyAlignment="1" applyProtection="1">
      <alignment horizontal="center" vertical="center"/>
      <protection locked="0"/>
    </xf>
    <xf numFmtId="0" fontId="91"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80" fillId="9" borderId="77" xfId="0" applyNumberFormat="1" applyFont="1" applyFill="1" applyBorder="1" applyAlignment="1" applyProtection="1">
      <alignment horizontal="left" vertical="center"/>
      <protection hidden="1"/>
    </xf>
    <xf numFmtId="0" fontId="91" fillId="0" borderId="2" xfId="0" applyFont="1" applyBorder="1" applyAlignment="1">
      <alignment horizontal="center" vertical="center"/>
    </xf>
    <xf numFmtId="0" fontId="241" fillId="9" borderId="0" xfId="0" applyFont="1" applyFill="1" applyAlignment="1">
      <alignment horizontal="center" vertical="center"/>
    </xf>
    <xf numFmtId="0" fontId="100" fillId="9" borderId="0" xfId="0" applyFont="1" applyFill="1" applyAlignment="1">
      <alignment vertical="center"/>
    </xf>
    <xf numFmtId="0" fontId="91" fillId="9" borderId="0" xfId="0" applyFont="1" applyFill="1" applyAlignment="1">
      <alignment vertical="center"/>
    </xf>
    <xf numFmtId="0" fontId="18" fillId="9" borderId="0" xfId="0" applyFont="1" applyFill="1" applyAlignment="1" applyProtection="1">
      <alignment vertical="center"/>
      <protection hidden="1"/>
    </xf>
    <xf numFmtId="0" fontId="236" fillId="9" borderId="0" xfId="2" applyNumberFormat="1" applyFont="1" applyFill="1" applyAlignment="1" applyProtection="1">
      <alignment vertical="center"/>
      <protection hidden="1"/>
    </xf>
    <xf numFmtId="0" fontId="100"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01"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91" fillId="9" borderId="130" xfId="0" applyNumberFormat="1" applyFont="1" applyFill="1" applyBorder="1" applyAlignment="1">
      <alignment horizontal="center" vertical="center"/>
    </xf>
    <xf numFmtId="0" fontId="101" fillId="9" borderId="170" xfId="0" applyFont="1" applyFill="1" applyBorder="1" applyAlignment="1">
      <alignment horizontal="right" vertical="center"/>
    </xf>
    <xf numFmtId="8" fontId="101"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01"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8" fontId="91"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03" fillId="0" borderId="41" xfId="0" applyNumberFormat="1" applyFont="1" applyBorder="1" applyAlignment="1" applyProtection="1">
      <alignment horizontal="center" vertical="center" wrapText="1"/>
      <protection locked="0"/>
    </xf>
    <xf numFmtId="0" fontId="91" fillId="9" borderId="41" xfId="0" applyFont="1" applyFill="1" applyBorder="1" applyAlignment="1" applyProtection="1">
      <alignment horizontal="right" vertical="center"/>
      <protection hidden="1"/>
    </xf>
    <xf numFmtId="8" fontId="91" fillId="0" borderId="31" xfId="0" applyNumberFormat="1" applyFont="1" applyBorder="1" applyAlignment="1" applyProtection="1">
      <alignment horizontal="center" vertical="center"/>
      <protection locked="0"/>
    </xf>
    <xf numFmtId="0" fontId="91" fillId="0" borderId="41" xfId="0" applyFont="1" applyBorder="1" applyAlignment="1" applyProtection="1">
      <alignment horizontal="center" vertical="center"/>
      <protection locked="0"/>
    </xf>
    <xf numFmtId="10" fontId="91"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192"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protection hidden="1"/>
    </xf>
    <xf numFmtId="10" fontId="91" fillId="0" borderId="3" xfId="0" applyNumberFormat="1" applyFont="1" applyBorder="1" applyAlignment="1" applyProtection="1">
      <alignment horizontal="center" vertical="center"/>
      <protection locked="0"/>
    </xf>
    <xf numFmtId="0" fontId="230"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00"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13" fillId="9" borderId="7" xfId="0" applyNumberFormat="1" applyFont="1" applyFill="1" applyBorder="1" applyAlignment="1" applyProtection="1">
      <alignment horizontal="center" vertical="center"/>
      <protection hidden="1"/>
    </xf>
    <xf numFmtId="0" fontId="230" fillId="0" borderId="0" xfId="0" applyFont="1"/>
    <xf numFmtId="0" fontId="246" fillId="0" borderId="0" xfId="0" applyFont="1"/>
    <xf numFmtId="0" fontId="0" fillId="4" borderId="25" xfId="0" applyFill="1" applyBorder="1" applyAlignment="1" applyProtection="1">
      <alignment vertical="center"/>
      <protection hidden="1"/>
    </xf>
    <xf numFmtId="0" fontId="247" fillId="4" borderId="25" xfId="0" applyFont="1" applyFill="1" applyBorder="1" applyAlignment="1" applyProtection="1">
      <alignment horizontal="center" vertical="center"/>
      <protection hidden="1"/>
    </xf>
    <xf numFmtId="0" fontId="91" fillId="18" borderId="2" xfId="0" applyFont="1" applyFill="1" applyBorder="1" applyAlignment="1" applyProtection="1">
      <alignment horizontal="center" vertical="center"/>
      <protection hidden="1"/>
    </xf>
    <xf numFmtId="0" fontId="91" fillId="23" borderId="2" xfId="0" applyFont="1" applyFill="1" applyBorder="1" applyAlignment="1" applyProtection="1">
      <alignment horizontal="center" vertical="center"/>
      <protection hidden="1"/>
    </xf>
    <xf numFmtId="0" fontId="91" fillId="23" borderId="130" xfId="0" applyFont="1" applyFill="1" applyBorder="1" applyAlignment="1" applyProtection="1">
      <alignment horizontal="center" vertical="center"/>
      <protection hidden="1"/>
    </xf>
    <xf numFmtId="0" fontId="91" fillId="18" borderId="41" xfId="0" applyFont="1" applyFill="1" applyBorder="1" applyAlignment="1" applyProtection="1">
      <alignment horizontal="center" vertical="center"/>
      <protection hidden="1"/>
    </xf>
    <xf numFmtId="0" fontId="91" fillId="23" borderId="41" xfId="0" applyFont="1" applyFill="1" applyBorder="1" applyAlignment="1" applyProtection="1">
      <alignment horizontal="center" vertical="center"/>
      <protection hidden="1"/>
    </xf>
    <xf numFmtId="0" fontId="91" fillId="23" borderId="145" xfId="0" applyFont="1" applyFill="1" applyBorder="1" applyAlignment="1" applyProtection="1">
      <alignment horizontal="center" vertical="center"/>
      <protection hidden="1"/>
    </xf>
    <xf numFmtId="0" fontId="248" fillId="0" borderId="0" xfId="0" applyFont="1"/>
    <xf numFmtId="0" fontId="249" fillId="0" borderId="0" xfId="0" applyFont="1"/>
    <xf numFmtId="0" fontId="17" fillId="0" borderId="0" xfId="0" applyFont="1"/>
    <xf numFmtId="0" fontId="106"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91" fillId="0" borderId="131" xfId="0" applyFont="1" applyBorder="1" applyAlignment="1" applyProtection="1">
      <alignment vertical="center"/>
      <protection locked="0"/>
    </xf>
    <xf numFmtId="6" fontId="93" fillId="9" borderId="146" xfId="0" applyNumberFormat="1" applyFont="1" applyFill="1" applyBorder="1" applyAlignment="1">
      <alignment horizontal="center" vertical="center"/>
    </xf>
    <xf numFmtId="0" fontId="239" fillId="9" borderId="0" xfId="0" applyFont="1" applyFill="1" applyAlignment="1" applyProtection="1">
      <alignment vertical="center" wrapText="1"/>
      <protection hidden="1"/>
    </xf>
    <xf numFmtId="2" fontId="91" fillId="0" borderId="2" xfId="0" applyNumberFormat="1" applyFont="1" applyBorder="1" applyAlignment="1">
      <alignment horizontal="center" vertical="center"/>
    </xf>
    <xf numFmtId="14" fontId="106" fillId="23" borderId="130" xfId="0" quotePrefix="1" applyNumberFormat="1" applyFont="1" applyFill="1" applyBorder="1" applyAlignment="1" applyProtection="1">
      <alignment horizontal="center" vertical="center"/>
      <protection hidden="1"/>
    </xf>
    <xf numFmtId="0" fontId="16" fillId="0" borderId="0" xfId="0" applyFont="1"/>
    <xf numFmtId="194" fontId="0" fillId="0" borderId="0" xfId="0" applyNumberFormat="1" applyAlignment="1">
      <alignment horizontal="center" vertical="center"/>
    </xf>
    <xf numFmtId="2" fontId="91"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19" fillId="4" borderId="130" xfId="0" applyFont="1" applyFill="1" applyBorder="1" applyAlignment="1" applyProtection="1">
      <alignment horizontal="center" vertical="center"/>
      <protection hidden="1"/>
    </xf>
    <xf numFmtId="0" fontId="19" fillId="4" borderId="130" xfId="0" applyFont="1" applyFill="1" applyBorder="1" applyAlignment="1" applyProtection="1">
      <alignment vertical="center"/>
      <protection hidden="1"/>
    </xf>
    <xf numFmtId="0" fontId="106" fillId="4" borderId="130" xfId="0" applyFont="1" applyFill="1" applyBorder="1" applyAlignment="1" applyProtection="1">
      <alignment horizontal="center" vertical="center"/>
      <protection hidden="1"/>
    </xf>
    <xf numFmtId="6" fontId="106" fillId="4" borderId="130" xfId="0" applyNumberFormat="1" applyFont="1" applyFill="1" applyBorder="1" applyAlignment="1" applyProtection="1">
      <alignment horizontal="center" vertical="center"/>
      <protection hidden="1"/>
    </xf>
    <xf numFmtId="186" fontId="106" fillId="4" borderId="130" xfId="0" applyNumberFormat="1" applyFont="1" applyFill="1" applyBorder="1" applyAlignment="1" applyProtection="1">
      <alignment horizontal="center" vertical="center"/>
      <protection hidden="1"/>
    </xf>
    <xf numFmtId="190" fontId="106" fillId="4" borderId="130" xfId="0" applyNumberFormat="1" applyFont="1" applyFill="1" applyBorder="1" applyAlignment="1" applyProtection="1">
      <alignment horizontal="center" vertical="center"/>
      <protection hidden="1"/>
    </xf>
    <xf numFmtId="10" fontId="202" fillId="4" borderId="130" xfId="3" applyNumberFormat="1" applyFont="1" applyFill="1" applyBorder="1" applyAlignment="1" applyProtection="1">
      <alignment horizontal="center" vertical="center"/>
      <protection hidden="1"/>
    </xf>
    <xf numFmtId="6" fontId="106"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80" fillId="4" borderId="274" xfId="3" applyFont="1" applyFill="1" applyBorder="1" applyAlignment="1" applyProtection="1">
      <alignment horizontal="center" vertical="center"/>
      <protection hidden="1"/>
    </xf>
    <xf numFmtId="9" fontId="80"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91"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03" fillId="9" borderId="168" xfId="0" applyNumberFormat="1" applyFont="1" applyFill="1" applyBorder="1" applyAlignment="1">
      <alignment horizontal="center" vertical="top"/>
    </xf>
    <xf numFmtId="8" fontId="101" fillId="0" borderId="2" xfId="0" applyNumberFormat="1" applyFont="1" applyBorder="1" applyAlignment="1" applyProtection="1">
      <alignment horizontal="center" vertical="center"/>
      <protection locked="0"/>
    </xf>
    <xf numFmtId="0" fontId="258" fillId="0" borderId="0" xfId="0" applyFont="1" applyAlignment="1">
      <alignment horizontal="left" vertical="center"/>
    </xf>
    <xf numFmtId="0" fontId="259" fillId="0" borderId="0" xfId="0" applyFont="1"/>
    <xf numFmtId="0" fontId="260" fillId="0" borderId="0" xfId="0" applyFont="1"/>
    <xf numFmtId="0" fontId="0" fillId="0" borderId="0" xfId="0" applyAlignment="1">
      <alignment wrapText="1"/>
    </xf>
    <xf numFmtId="0" fontId="91"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95" fillId="4" borderId="2" xfId="0" applyNumberFormat="1" applyFont="1" applyFill="1" applyBorder="1" applyAlignment="1" applyProtection="1">
      <alignment horizontal="center" vertical="center"/>
      <protection hidden="1"/>
    </xf>
    <xf numFmtId="0" fontId="91" fillId="9" borderId="188" xfId="0" applyFont="1" applyFill="1" applyBorder="1" applyAlignment="1" applyProtection="1">
      <alignment horizontal="center" vertical="center"/>
      <protection hidden="1"/>
    </xf>
    <xf numFmtId="0" fontId="49" fillId="4" borderId="79" xfId="0" applyFont="1" applyFill="1" applyBorder="1" applyAlignment="1" applyProtection="1">
      <alignment vertical="center" wrapText="1"/>
      <protection hidden="1"/>
    </xf>
    <xf numFmtId="186" fontId="106"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01" fillId="4" borderId="288" xfId="0" applyFont="1" applyFill="1" applyBorder="1" applyAlignment="1" applyProtection="1">
      <alignment horizontal="right" vertical="center"/>
      <protection hidden="1"/>
    </xf>
    <xf numFmtId="6" fontId="101" fillId="4" borderId="106" xfId="0" applyNumberFormat="1" applyFont="1" applyFill="1" applyBorder="1" applyAlignment="1" applyProtection="1">
      <alignment horizontal="center" vertical="center"/>
      <protection hidden="1"/>
    </xf>
    <xf numFmtId="6" fontId="101"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36" fillId="9" borderId="0" xfId="0" applyNumberFormat="1" applyFont="1" applyFill="1" applyAlignment="1">
      <alignment horizontal="center" vertical="center"/>
    </xf>
    <xf numFmtId="10" fontId="14" fillId="9" borderId="2" xfId="3" applyNumberFormat="1" applyFont="1" applyFill="1" applyBorder="1" applyAlignment="1" applyProtection="1">
      <alignment vertical="center"/>
      <protection hidden="1"/>
    </xf>
    <xf numFmtId="8" fontId="194" fillId="9" borderId="130" xfId="0" applyNumberFormat="1" applyFont="1" applyFill="1" applyBorder="1" applyAlignment="1" applyProtection="1">
      <alignment vertical="center"/>
      <protection hidden="1"/>
    </xf>
    <xf numFmtId="0" fontId="14" fillId="9" borderId="9" xfId="0" quotePrefix="1" applyFont="1" applyFill="1" applyBorder="1" applyAlignment="1" applyProtection="1">
      <alignment vertical="center"/>
      <protection hidden="1"/>
    </xf>
    <xf numFmtId="0" fontId="14" fillId="9" borderId="10" xfId="0" quotePrefix="1" applyFont="1" applyFill="1" applyBorder="1" applyAlignment="1" applyProtection="1">
      <alignment vertical="center"/>
      <protection hidden="1"/>
    </xf>
    <xf numFmtId="8" fontId="14" fillId="0" borderId="2" xfId="0" applyNumberFormat="1" applyFont="1" applyBorder="1" applyAlignment="1" applyProtection="1">
      <alignment vertical="center"/>
      <protection locked="0"/>
    </xf>
    <xf numFmtId="8" fontId="14" fillId="6" borderId="2" xfId="0" applyNumberFormat="1" applyFont="1" applyFill="1" applyBorder="1" applyAlignment="1" applyProtection="1">
      <alignment vertical="center"/>
      <protection locked="0"/>
    </xf>
    <xf numFmtId="10" fontId="14" fillId="0" borderId="10" xfId="0" applyNumberFormat="1" applyFont="1" applyBorder="1" applyAlignment="1" applyProtection="1">
      <alignment horizontal="right" vertical="center"/>
      <protection locked="0"/>
    </xf>
    <xf numFmtId="10" fontId="14" fillId="9" borderId="2" xfId="0" applyNumberFormat="1" applyFont="1" applyFill="1" applyBorder="1" applyAlignment="1" applyProtection="1">
      <alignment vertical="center"/>
      <protection hidden="1"/>
    </xf>
    <xf numFmtId="8" fontId="14" fillId="9" borderId="2" xfId="3" applyNumberFormat="1" applyFont="1" applyFill="1" applyBorder="1" applyAlignment="1" applyProtection="1">
      <alignment vertical="center"/>
      <protection hidden="1"/>
    </xf>
    <xf numFmtId="10" fontId="14" fillId="9" borderId="41" xfId="3" applyNumberFormat="1" applyFont="1" applyFill="1" applyBorder="1" applyAlignment="1" applyProtection="1">
      <alignment vertical="center"/>
      <protection hidden="1"/>
    </xf>
    <xf numFmtId="8" fontId="58" fillId="0" borderId="0" xfId="3" applyNumberFormat="1" applyFont="1" applyFill="1" applyBorder="1" applyAlignment="1" applyProtection="1">
      <alignment horizontal="center" vertical="center"/>
      <protection locked="0"/>
    </xf>
    <xf numFmtId="10" fontId="90" fillId="0" borderId="0" xfId="3" applyNumberFormat="1" applyFont="1" applyFill="1" applyBorder="1" applyAlignment="1" applyProtection="1">
      <alignment horizontal="center" vertical="center"/>
      <protection hidden="1"/>
    </xf>
    <xf numFmtId="8" fontId="91" fillId="0" borderId="0" xfId="0" applyNumberFormat="1" applyFont="1" applyAlignment="1" applyProtection="1">
      <alignment horizontal="center" vertical="center"/>
      <protection hidden="1"/>
    </xf>
    <xf numFmtId="8" fontId="91" fillId="0" borderId="0" xfId="0" applyNumberFormat="1" applyFont="1" applyAlignment="1" applyProtection="1">
      <alignment horizontal="center" vertical="center"/>
      <protection locked="0"/>
    </xf>
    <xf numFmtId="0" fontId="148" fillId="0" borderId="0" xfId="0" applyFont="1" applyAlignment="1">
      <alignment vertical="center" wrapText="1"/>
    </xf>
    <xf numFmtId="0" fontId="107"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91" fillId="0" borderId="0" xfId="0" applyNumberFormat="1" applyFont="1" applyAlignment="1">
      <alignment horizontal="center" vertical="center"/>
    </xf>
    <xf numFmtId="6" fontId="91" fillId="0" borderId="0" xfId="0" applyNumberFormat="1" applyFont="1" applyAlignment="1" applyProtection="1">
      <alignment horizontal="center" vertical="center"/>
      <protection hidden="1"/>
    </xf>
    <xf numFmtId="8" fontId="26" fillId="0" borderId="0" xfId="0" applyNumberFormat="1" applyFont="1" applyAlignment="1" applyProtection="1">
      <alignment horizontal="center" vertical="center"/>
      <protection hidden="1"/>
    </xf>
    <xf numFmtId="8" fontId="163" fillId="0" borderId="0" xfId="0" applyNumberFormat="1" applyFont="1"/>
    <xf numFmtId="10" fontId="95" fillId="0" borderId="0" xfId="0" applyNumberFormat="1" applyFont="1"/>
    <xf numFmtId="10" fontId="14" fillId="0" borderId="2" xfId="0" applyNumberFormat="1" applyFont="1" applyBorder="1" applyAlignment="1" applyProtection="1">
      <alignment horizontal="center" vertical="center"/>
      <protection locked="0"/>
    </xf>
    <xf numFmtId="10" fontId="14" fillId="0" borderId="2" xfId="3" applyNumberFormat="1" applyFont="1" applyFill="1" applyBorder="1" applyAlignment="1" applyProtection="1">
      <alignment horizontal="center" vertical="center"/>
      <protection locked="0"/>
    </xf>
    <xf numFmtId="0" fontId="14" fillId="9" borderId="154" xfId="0" applyFont="1" applyFill="1" applyBorder="1" applyAlignment="1" applyProtection="1">
      <alignment horizontal="right" vertical="center"/>
      <protection hidden="1"/>
    </xf>
    <xf numFmtId="14" fontId="14" fillId="0" borderId="12" xfId="0" applyNumberFormat="1" applyFont="1" applyBorder="1" applyAlignment="1" applyProtection="1">
      <alignment vertical="center"/>
      <protection locked="0"/>
    </xf>
    <xf numFmtId="14" fontId="14" fillId="9" borderId="12" xfId="0" applyNumberFormat="1" applyFont="1" applyFill="1" applyBorder="1" applyAlignment="1" applyProtection="1">
      <alignment horizontal="center" vertical="center"/>
      <protection hidden="1"/>
    </xf>
    <xf numFmtId="0" fontId="14" fillId="9" borderId="111" xfId="0" applyFont="1" applyFill="1" applyBorder="1" applyAlignment="1">
      <alignment vertical="center"/>
    </xf>
    <xf numFmtId="8" fontId="14" fillId="6" borderId="14" xfId="0" applyNumberFormat="1" applyFont="1" applyFill="1" applyBorder="1" applyAlignment="1">
      <alignment horizontal="center" vertical="center"/>
    </xf>
    <xf numFmtId="0" fontId="14" fillId="9" borderId="14" xfId="0" applyFont="1" applyFill="1" applyBorder="1" applyAlignment="1">
      <alignment vertical="center"/>
    </xf>
    <xf numFmtId="185" fontId="14" fillId="0" borderId="14" xfId="0" applyNumberFormat="1" applyFont="1" applyBorder="1" applyAlignment="1" applyProtection="1">
      <alignment horizontal="center" vertical="center"/>
      <protection locked="0"/>
    </xf>
    <xf numFmtId="10" fontId="14" fillId="9" borderId="14" xfId="0" applyNumberFormat="1" applyFont="1" applyFill="1" applyBorder="1" applyAlignment="1">
      <alignment horizontal="center" vertical="center"/>
    </xf>
    <xf numFmtId="8" fontId="14" fillId="9" borderId="183" xfId="0" applyNumberFormat="1" applyFont="1" applyFill="1" applyBorder="1" applyAlignment="1" applyProtection="1">
      <alignment horizontal="center" vertical="center"/>
      <protection hidden="1"/>
    </xf>
    <xf numFmtId="8" fontId="14" fillId="9" borderId="2" xfId="0" applyNumberFormat="1" applyFont="1" applyFill="1" applyBorder="1" applyAlignment="1" applyProtection="1">
      <alignment vertical="center"/>
      <protection hidden="1"/>
    </xf>
    <xf numFmtId="165" fontId="14" fillId="9" borderId="226" xfId="0" applyNumberFormat="1" applyFont="1" applyFill="1" applyBorder="1" applyAlignment="1" applyProtection="1">
      <alignment horizontal="center" vertical="center"/>
      <protection hidden="1"/>
    </xf>
    <xf numFmtId="165" fontId="14" fillId="9" borderId="145" xfId="0" applyNumberFormat="1" applyFont="1" applyFill="1" applyBorder="1" applyAlignment="1" applyProtection="1">
      <alignment horizontal="center" vertical="center"/>
      <protection hidden="1"/>
    </xf>
    <xf numFmtId="0" fontId="202" fillId="9" borderId="2" xfId="0" applyFont="1" applyFill="1" applyBorder="1" applyAlignment="1">
      <alignment horizontal="center" vertical="center"/>
    </xf>
    <xf numFmtId="8" fontId="14" fillId="9" borderId="130" xfId="0" applyNumberFormat="1" applyFont="1" applyFill="1" applyBorder="1" applyAlignment="1" applyProtection="1">
      <alignment horizontal="center" vertical="center"/>
      <protection hidden="1"/>
    </xf>
    <xf numFmtId="8" fontId="165" fillId="0" borderId="41" xfId="0" applyNumberFormat="1" applyFont="1" applyBorder="1" applyAlignment="1" applyProtection="1">
      <alignment horizontal="center" vertical="center"/>
      <protection locked="0"/>
    </xf>
    <xf numFmtId="178" fontId="80" fillId="9" borderId="10" xfId="0" applyNumberFormat="1" applyFont="1" applyFill="1" applyBorder="1" applyAlignment="1" applyProtection="1">
      <alignment horizontal="right" vertical="center" wrapText="1"/>
      <protection hidden="1"/>
    </xf>
    <xf numFmtId="178" fontId="80" fillId="9" borderId="130" xfId="0" applyNumberFormat="1" applyFont="1" applyFill="1" applyBorder="1" applyAlignment="1" applyProtection="1">
      <alignment horizontal="center" vertical="center" wrapText="1"/>
      <protection hidden="1"/>
    </xf>
    <xf numFmtId="178" fontId="145" fillId="9" borderId="55" xfId="0" applyNumberFormat="1" applyFont="1" applyFill="1" applyBorder="1" applyAlignment="1" applyProtection="1">
      <alignment horizontal="right" vertical="center" wrapText="1"/>
      <protection hidden="1"/>
    </xf>
    <xf numFmtId="178" fontId="145" fillId="9" borderId="183" xfId="0" applyNumberFormat="1" applyFont="1" applyFill="1" applyBorder="1" applyAlignment="1" applyProtection="1">
      <alignment horizontal="center" vertical="center" wrapText="1"/>
      <protection hidden="1"/>
    </xf>
    <xf numFmtId="6" fontId="12" fillId="9" borderId="130" xfId="0" applyNumberFormat="1" applyFont="1" applyFill="1" applyBorder="1" applyAlignment="1" applyProtection="1">
      <alignment horizontal="center" vertical="center" wrapText="1"/>
      <protection hidden="1"/>
    </xf>
    <xf numFmtId="178" fontId="12" fillId="9" borderId="130" xfId="0" applyNumberFormat="1" applyFont="1" applyFill="1" applyBorder="1" applyAlignment="1" applyProtection="1">
      <alignment horizontal="center" vertical="center" wrapText="1"/>
      <protection hidden="1"/>
    </xf>
    <xf numFmtId="0" fontId="231" fillId="9" borderId="2" xfId="0" applyFont="1" applyFill="1" applyBorder="1" applyAlignment="1">
      <alignment horizontal="center" vertical="center"/>
    </xf>
    <xf numFmtId="0" fontId="231" fillId="9" borderId="130" xfId="0" applyFont="1" applyFill="1" applyBorder="1" applyAlignment="1">
      <alignment horizontal="center" vertical="center"/>
    </xf>
    <xf numFmtId="8" fontId="106" fillId="0" borderId="2" xfId="0" applyNumberFormat="1" applyFont="1" applyBorder="1" applyAlignment="1" applyProtection="1">
      <alignment horizontal="center" vertical="center" wrapText="1"/>
      <protection locked="0"/>
    </xf>
    <xf numFmtId="8" fontId="106" fillId="9" borderId="130" xfId="0" applyNumberFormat="1" applyFont="1" applyFill="1" applyBorder="1" applyAlignment="1" applyProtection="1">
      <alignment horizontal="center" vertical="center" wrapText="1"/>
      <protection hidden="1"/>
    </xf>
    <xf numFmtId="184" fontId="12" fillId="9" borderId="130" xfId="0" applyNumberFormat="1" applyFont="1" applyFill="1" applyBorder="1" applyAlignment="1" applyProtection="1">
      <alignment horizontal="center" vertical="center" wrapText="1"/>
      <protection hidden="1"/>
    </xf>
    <xf numFmtId="8" fontId="12" fillId="9" borderId="130" xfId="0" applyNumberFormat="1" applyFont="1" applyFill="1" applyBorder="1" applyAlignment="1" applyProtection="1">
      <alignment horizontal="center" vertical="center" wrapText="1"/>
      <protection hidden="1"/>
    </xf>
    <xf numFmtId="6" fontId="106" fillId="9" borderId="130" xfId="0" applyNumberFormat="1" applyFont="1" applyFill="1" applyBorder="1" applyAlignment="1" applyProtection="1">
      <alignment horizontal="center" vertical="center" wrapText="1"/>
      <protection hidden="1"/>
    </xf>
    <xf numFmtId="6" fontId="202" fillId="9" borderId="183" xfId="0" applyNumberFormat="1" applyFont="1" applyFill="1" applyBorder="1" applyAlignment="1" applyProtection="1">
      <alignment horizontal="center" vertical="center" wrapText="1"/>
      <protection hidden="1"/>
    </xf>
    <xf numFmtId="6" fontId="194" fillId="9" borderId="267" xfId="0" applyNumberFormat="1" applyFont="1" applyFill="1" applyBorder="1" applyAlignment="1" applyProtection="1">
      <alignment horizontal="center" vertical="center" wrapText="1"/>
      <protection hidden="1"/>
    </xf>
    <xf numFmtId="6" fontId="194" fillId="9" borderId="132" xfId="0" applyNumberFormat="1" applyFont="1" applyFill="1" applyBorder="1" applyAlignment="1" applyProtection="1">
      <alignment horizontal="center" vertical="center" wrapText="1"/>
      <protection hidden="1"/>
    </xf>
    <xf numFmtId="14" fontId="14" fillId="9" borderId="183" xfId="0" applyNumberFormat="1" applyFont="1" applyFill="1" applyBorder="1" applyAlignment="1" applyProtection="1">
      <alignment horizontal="center" vertical="center"/>
      <protection hidden="1"/>
    </xf>
    <xf numFmtId="0" fontId="101" fillId="0" borderId="0" xfId="0" applyFont="1" applyAlignment="1" applyProtection="1">
      <alignment vertical="center"/>
      <protection hidden="1"/>
    </xf>
    <xf numFmtId="0" fontId="101" fillId="0" borderId="0" xfId="0" applyFont="1" applyAlignment="1">
      <alignment vertical="center" wrapText="1"/>
    </xf>
    <xf numFmtId="0" fontId="96" fillId="9" borderId="8" xfId="0" applyFont="1" applyFill="1" applyBorder="1" applyAlignment="1">
      <alignment vertical="center"/>
    </xf>
    <xf numFmtId="0" fontId="91" fillId="9" borderId="55" xfId="0" applyFont="1" applyFill="1" applyBorder="1"/>
    <xf numFmtId="0" fontId="136" fillId="9" borderId="0" xfId="0" applyFont="1" applyFill="1" applyAlignment="1">
      <alignment horizontal="left"/>
    </xf>
    <xf numFmtId="0" fontId="96" fillId="0" borderId="8" xfId="0" applyFont="1" applyBorder="1" applyAlignment="1">
      <alignment vertical="center"/>
    </xf>
    <xf numFmtId="0" fontId="54" fillId="0" borderId="0" xfId="2" applyNumberFormat="1" applyFill="1" applyAlignment="1" applyProtection="1">
      <alignment vertical="center" wrapText="1"/>
    </xf>
    <xf numFmtId="0" fontId="98" fillId="0" borderId="8" xfId="0" applyFont="1" applyBorder="1" applyAlignment="1">
      <alignment vertical="center" textRotation="90"/>
    </xf>
    <xf numFmtId="0" fontId="231" fillId="9" borderId="113" xfId="0" applyFont="1" applyFill="1" applyBorder="1" applyAlignment="1">
      <alignment horizontal="right" vertical="center"/>
    </xf>
    <xf numFmtId="6" fontId="26"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01" fillId="0" borderId="0" xfId="0" applyFont="1" applyAlignment="1" applyProtection="1">
      <alignment horizontal="right" vertical="center" wrapText="1"/>
      <protection hidden="1"/>
    </xf>
    <xf numFmtId="0" fontId="96" fillId="9" borderId="0" xfId="0" applyFont="1" applyFill="1" applyAlignment="1">
      <alignment vertical="center"/>
    </xf>
    <xf numFmtId="0" fontId="273" fillId="9" borderId="78" xfId="0" applyFont="1" applyFill="1" applyBorder="1" applyAlignment="1" applyProtection="1">
      <alignment horizontal="center" vertical="center" wrapText="1"/>
      <protection hidden="1"/>
    </xf>
    <xf numFmtId="0" fontId="96" fillId="9" borderId="78" xfId="0" applyFont="1" applyFill="1" applyBorder="1" applyAlignment="1" applyProtection="1">
      <alignment horizontal="center" vertical="center" wrapText="1"/>
      <protection hidden="1"/>
    </xf>
    <xf numFmtId="0" fontId="136" fillId="4" borderId="0" xfId="0" applyFont="1" applyFill="1"/>
    <xf numFmtId="0" fontId="136" fillId="0" borderId="0" xfId="0" applyFont="1"/>
    <xf numFmtId="9" fontId="136" fillId="9" borderId="28" xfId="0" applyNumberFormat="1" applyFont="1" applyFill="1" applyBorder="1"/>
    <xf numFmtId="8" fontId="91" fillId="0" borderId="0" xfId="0" applyNumberFormat="1" applyFont="1" applyAlignment="1">
      <alignment vertical="center"/>
    </xf>
    <xf numFmtId="0" fontId="264" fillId="9" borderId="67" xfId="0" applyFont="1" applyFill="1" applyBorder="1" applyAlignment="1" applyProtection="1">
      <alignment vertical="center"/>
      <protection hidden="1"/>
    </xf>
    <xf numFmtId="0" fontId="264" fillId="9" borderId="21" xfId="0" applyFont="1" applyFill="1" applyBorder="1" applyAlignment="1" applyProtection="1">
      <alignment vertical="center"/>
      <protection hidden="1"/>
    </xf>
    <xf numFmtId="0" fontId="14" fillId="9" borderId="10" xfId="0" applyFont="1" applyFill="1" applyBorder="1" applyAlignment="1" applyProtection="1">
      <alignment vertical="center"/>
      <protection hidden="1"/>
    </xf>
    <xf numFmtId="0" fontId="14" fillId="9" borderId="56" xfId="0" applyFont="1" applyFill="1" applyBorder="1" applyAlignment="1" applyProtection="1">
      <alignment vertical="center"/>
      <protection hidden="1"/>
    </xf>
    <xf numFmtId="0" fontId="25" fillId="0" borderId="0" xfId="0" applyFont="1" applyAlignment="1" applyProtection="1">
      <alignment vertical="center"/>
      <protection hidden="1"/>
    </xf>
    <xf numFmtId="0" fontId="106" fillId="0" borderId="0" xfId="0" applyFont="1" applyAlignment="1" applyProtection="1">
      <alignment vertical="center" wrapText="1"/>
      <protection hidden="1"/>
    </xf>
    <xf numFmtId="14" fontId="96" fillId="0" borderId="0" xfId="0" applyNumberFormat="1" applyFont="1" applyAlignment="1" applyProtection="1">
      <alignment vertical="center" wrapText="1"/>
      <protection hidden="1"/>
    </xf>
    <xf numFmtId="0" fontId="96"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6" fontId="26" fillId="0" borderId="0" xfId="0" applyNumberFormat="1" applyFont="1" applyAlignment="1" applyProtection="1">
      <alignment vertical="center"/>
      <protection hidden="1"/>
    </xf>
    <xf numFmtId="0" fontId="93" fillId="0" borderId="0" xfId="0" applyFont="1" applyAlignment="1" applyProtection="1">
      <alignment vertical="center" wrapText="1"/>
      <protection hidden="1"/>
    </xf>
    <xf numFmtId="8" fontId="54" fillId="0" borderId="0" xfId="2" applyNumberFormat="1" applyFill="1" applyBorder="1" applyAlignment="1" applyProtection="1"/>
    <xf numFmtId="0" fontId="106" fillId="0" borderId="0" xfId="0" applyFont="1" applyAlignment="1" applyProtection="1">
      <alignment vertical="center"/>
      <protection hidden="1"/>
    </xf>
    <xf numFmtId="0" fontId="101" fillId="0" borderId="0" xfId="0" applyFont="1" applyAlignment="1" applyProtection="1">
      <alignment vertical="center" wrapText="1"/>
      <protection hidden="1"/>
    </xf>
    <xf numFmtId="6" fontId="103" fillId="0" borderId="0" xfId="0" applyNumberFormat="1" applyFont="1" applyAlignment="1" applyProtection="1">
      <alignment vertical="center"/>
      <protection locked="0"/>
    </xf>
    <xf numFmtId="0" fontId="231" fillId="0" borderId="0" xfId="0" applyFont="1" applyAlignment="1">
      <alignment vertical="center" wrapText="1"/>
    </xf>
    <xf numFmtId="6" fontId="106" fillId="0" borderId="0" xfId="0" applyNumberFormat="1" applyFont="1" applyAlignment="1" applyProtection="1">
      <alignment vertical="center"/>
      <protection hidden="1"/>
    </xf>
    <xf numFmtId="6" fontId="101" fillId="0" borderId="0" xfId="0" applyNumberFormat="1" applyFont="1" applyAlignment="1" applyProtection="1">
      <alignment vertical="center"/>
      <protection hidden="1"/>
    </xf>
    <xf numFmtId="0" fontId="106" fillId="9" borderId="0" xfId="0" applyFont="1" applyFill="1" applyAlignment="1">
      <alignment vertical="center" wrapText="1"/>
    </xf>
    <xf numFmtId="8" fontId="14" fillId="6" borderId="144" xfId="0" applyNumberFormat="1" applyFont="1" applyFill="1" applyBorder="1" applyAlignment="1" applyProtection="1">
      <alignment horizontal="right" vertical="center" wrapText="1"/>
      <protection locked="0"/>
    </xf>
    <xf numFmtId="0" fontId="136" fillId="9" borderId="0" xfId="0" applyFont="1" applyFill="1"/>
    <xf numFmtId="0" fontId="139" fillId="9" borderId="171" xfId="2" applyNumberFormat="1" applyFont="1" applyFill="1" applyBorder="1" applyAlignment="1" applyProtection="1">
      <alignment horizontal="center" vertical="center" wrapText="1"/>
    </xf>
    <xf numFmtId="0" fontId="264" fillId="9" borderId="227" xfId="0" applyFont="1" applyFill="1" applyBorder="1" applyAlignment="1" applyProtection="1">
      <alignment vertical="center"/>
      <protection hidden="1"/>
    </xf>
    <xf numFmtId="0" fontId="264" fillId="9" borderId="159" xfId="0" applyFont="1" applyFill="1" applyBorder="1" applyAlignment="1" applyProtection="1">
      <alignment vertical="center"/>
      <protection hidden="1"/>
    </xf>
    <xf numFmtId="177" fontId="240" fillId="9" borderId="130" xfId="3" applyNumberFormat="1" applyFont="1" applyFill="1" applyBorder="1" applyAlignment="1" applyProtection="1">
      <alignment horizontal="center" vertical="center"/>
      <protection hidden="1"/>
    </xf>
    <xf numFmtId="10" fontId="265" fillId="9" borderId="130" xfId="3" applyNumberFormat="1" applyFont="1" applyFill="1" applyBorder="1" applyAlignment="1" applyProtection="1">
      <alignment horizontal="center" vertical="center"/>
      <protection hidden="1"/>
    </xf>
    <xf numFmtId="8" fontId="106" fillId="9" borderId="152" xfId="3" applyNumberFormat="1" applyFont="1" applyFill="1" applyBorder="1" applyAlignment="1" applyProtection="1">
      <alignment horizontal="center" vertical="center"/>
      <protection hidden="1"/>
    </xf>
    <xf numFmtId="0" fontId="14" fillId="9" borderId="220" xfId="0" applyFont="1" applyFill="1" applyBorder="1" applyAlignment="1">
      <alignment vertical="center"/>
    </xf>
    <xf numFmtId="8" fontId="14" fillId="9" borderId="297" xfId="0" applyNumberFormat="1" applyFont="1" applyFill="1" applyBorder="1" applyAlignment="1">
      <alignment horizontal="right" vertical="center"/>
    </xf>
    <xf numFmtId="0" fontId="14" fillId="9" borderId="0" xfId="0" applyFont="1" applyFill="1" applyAlignment="1">
      <alignment horizontal="center" vertical="center"/>
    </xf>
    <xf numFmtId="8" fontId="231" fillId="9" borderId="113" xfId="0" applyNumberFormat="1" applyFont="1" applyFill="1" applyBorder="1" applyAlignment="1">
      <alignment horizontal="center" vertical="center"/>
    </xf>
    <xf numFmtId="8" fontId="106" fillId="9" borderId="131" xfId="0" applyNumberFormat="1" applyFont="1" applyFill="1" applyBorder="1" applyAlignment="1" applyProtection="1">
      <alignment vertical="center"/>
      <protection hidden="1"/>
    </xf>
    <xf numFmtId="0" fontId="106" fillId="9" borderId="184" xfId="0" applyFont="1" applyFill="1" applyBorder="1" applyAlignment="1">
      <alignment vertical="center"/>
    </xf>
    <xf numFmtId="10" fontId="106" fillId="9" borderId="131" xfId="0" applyNumberFormat="1" applyFont="1" applyFill="1" applyBorder="1" applyAlignment="1" applyProtection="1">
      <alignment vertical="center"/>
      <protection hidden="1"/>
    </xf>
    <xf numFmtId="8" fontId="106"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54" fillId="0" borderId="0" xfId="2" applyNumberFormat="1" applyAlignment="1" applyProtection="1">
      <alignment wrapText="1"/>
    </xf>
    <xf numFmtId="0" fontId="54"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43" fillId="0" borderId="2" xfId="0" applyFont="1" applyBorder="1" applyAlignment="1">
      <alignment horizontal="center" vertical="center" wrapText="1"/>
    </xf>
    <xf numFmtId="14" fontId="97" fillId="4" borderId="2" xfId="0" applyNumberFormat="1" applyFont="1" applyFill="1" applyBorder="1" applyAlignment="1" applyProtection="1">
      <alignment horizontal="center" vertical="center" wrapText="1"/>
      <protection locked="0"/>
    </xf>
    <xf numFmtId="14" fontId="93"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96" fillId="0" borderId="0" xfId="0" quotePrefix="1" applyFont="1" applyAlignment="1">
      <alignment horizontal="left" vertical="center"/>
    </xf>
    <xf numFmtId="0" fontId="96"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53" fillId="4" borderId="300" xfId="0" applyFont="1" applyFill="1" applyBorder="1" applyAlignment="1">
      <alignment horizontal="right" vertical="center"/>
    </xf>
    <xf numFmtId="0" fontId="49" fillId="12" borderId="17" xfId="0" applyFont="1" applyFill="1" applyBorder="1" applyAlignment="1" applyProtection="1">
      <alignment horizontal="center" vertical="center" wrapText="1"/>
      <protection hidden="1"/>
    </xf>
    <xf numFmtId="0" fontId="93" fillId="9" borderId="99" xfId="0" applyFont="1" applyFill="1" applyBorder="1" applyAlignment="1">
      <alignment horizontal="center" vertical="center" wrapText="1"/>
    </xf>
    <xf numFmtId="8" fontId="90"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91" fillId="0" borderId="102" xfId="0" applyNumberFormat="1" applyFont="1" applyBorder="1" applyAlignment="1" applyProtection="1">
      <alignment horizontal="center" vertical="center" wrapText="1"/>
      <protection locked="0"/>
    </xf>
    <xf numFmtId="178" fontId="93" fillId="9" borderId="2" xfId="0" applyNumberFormat="1" applyFont="1" applyFill="1" applyBorder="1" applyAlignment="1">
      <alignment horizontal="center" vertical="center"/>
    </xf>
    <xf numFmtId="178" fontId="93" fillId="9" borderId="6" xfId="0" applyNumberFormat="1" applyFont="1" applyFill="1" applyBorder="1" applyAlignment="1">
      <alignment horizontal="center" vertical="center"/>
    </xf>
    <xf numFmtId="0" fontId="204" fillId="9" borderId="0" xfId="0" applyFont="1" applyFill="1" applyAlignment="1">
      <alignment wrapText="1"/>
    </xf>
    <xf numFmtId="10" fontId="97" fillId="9" borderId="21" xfId="3" applyNumberFormat="1" applyFont="1" applyFill="1" applyBorder="1" applyAlignment="1">
      <alignment horizontal="center" vertical="center"/>
    </xf>
    <xf numFmtId="0" fontId="204" fillId="9" borderId="99" xfId="0" applyFont="1" applyFill="1" applyBorder="1" applyAlignment="1">
      <alignment wrapText="1"/>
    </xf>
    <xf numFmtId="10" fontId="97"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91" fillId="9" borderId="2" xfId="0" applyFont="1" applyFill="1" applyBorder="1" applyAlignment="1" applyProtection="1">
      <alignment horizontal="center" vertical="center" wrapText="1"/>
      <protection hidden="1"/>
    </xf>
    <xf numFmtId="0" fontId="91" fillId="9" borderId="130" xfId="0" applyFont="1" applyFill="1" applyBorder="1" applyAlignment="1" applyProtection="1">
      <alignment horizontal="center" vertical="center" wrapText="1"/>
      <protection hidden="1"/>
    </xf>
    <xf numFmtId="6" fontId="93" fillId="9" borderId="184" xfId="0" applyNumberFormat="1" applyFont="1" applyFill="1" applyBorder="1" applyAlignment="1">
      <alignment horizontal="center" vertical="center"/>
    </xf>
    <xf numFmtId="6" fontId="93" fillId="9" borderId="221" xfId="0" applyNumberFormat="1" applyFont="1" applyFill="1" applyBorder="1" applyAlignment="1">
      <alignment horizontal="center" vertical="center"/>
    </xf>
    <xf numFmtId="6" fontId="90"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90" fillId="23" borderId="183" xfId="3" applyNumberFormat="1" applyFont="1" applyFill="1" applyBorder="1" applyAlignment="1" applyProtection="1">
      <alignment horizontal="center" vertical="center"/>
      <protection hidden="1"/>
    </xf>
    <xf numFmtId="8" fontId="93" fillId="18" borderId="2" xfId="0" applyNumberFormat="1" applyFont="1" applyFill="1" applyBorder="1" applyAlignment="1" applyProtection="1">
      <alignment vertical="center"/>
      <protection hidden="1"/>
    </xf>
    <xf numFmtId="8" fontId="93" fillId="23" borderId="2" xfId="0" applyNumberFormat="1" applyFont="1" applyFill="1" applyBorder="1" applyAlignment="1" applyProtection="1">
      <alignment vertical="center"/>
      <protection hidden="1"/>
    </xf>
    <xf numFmtId="14" fontId="97" fillId="9" borderId="10" xfId="0" applyNumberFormat="1" applyFont="1" applyFill="1" applyBorder="1" applyAlignment="1" applyProtection="1">
      <alignment horizontal="right" vertical="center"/>
      <protection hidden="1"/>
    </xf>
    <xf numFmtId="6" fontId="93" fillId="18" borderId="2" xfId="3" applyNumberFormat="1" applyFont="1" applyFill="1" applyBorder="1" applyAlignment="1" applyProtection="1">
      <alignment horizontal="center" vertical="center"/>
      <protection hidden="1"/>
    </xf>
    <xf numFmtId="6" fontId="93"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91" fillId="4" borderId="0" xfId="0" applyFont="1" applyFill="1" applyAlignment="1">
      <alignment horizontal="center" vertical="center"/>
    </xf>
    <xf numFmtId="0" fontId="113" fillId="4" borderId="0" xfId="0" applyFont="1" applyFill="1" applyAlignment="1">
      <alignment horizontal="center" vertical="center"/>
    </xf>
    <xf numFmtId="0" fontId="113"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23"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91" fillId="4" borderId="170" xfId="0" applyFont="1" applyFill="1" applyBorder="1" applyAlignment="1" applyProtection="1">
      <alignment horizontal="right" vertical="center"/>
      <protection hidden="1"/>
    </xf>
    <xf numFmtId="8" fontId="91" fillId="0" borderId="130" xfId="0" applyNumberFormat="1" applyFont="1" applyBorder="1" applyAlignment="1" applyProtection="1">
      <alignment horizontal="center" vertical="center"/>
      <protection locked="0"/>
    </xf>
    <xf numFmtId="0" fontId="8" fillId="4" borderId="151" xfId="0" applyFont="1" applyFill="1" applyBorder="1" applyAlignment="1" applyProtection="1">
      <alignment horizontal="center" vertical="center" wrapText="1"/>
      <protection hidden="1"/>
    </xf>
    <xf numFmtId="0" fontId="164" fillId="9" borderId="223" xfId="0" applyFont="1" applyFill="1" applyBorder="1" applyAlignment="1" applyProtection="1">
      <alignment vertical="center"/>
      <protection hidden="1"/>
    </xf>
    <xf numFmtId="0" fontId="164" fillId="9" borderId="171" xfId="0" applyFont="1" applyFill="1" applyBorder="1" applyAlignment="1" applyProtection="1">
      <alignment vertical="center"/>
      <protection hidden="1"/>
    </xf>
    <xf numFmtId="0" fontId="10" fillId="9" borderId="188" xfId="0" applyFont="1" applyFill="1" applyBorder="1" applyAlignment="1" applyProtection="1">
      <alignment vertical="center"/>
      <protection hidden="1"/>
    </xf>
    <xf numFmtId="8" fontId="265" fillId="9" borderId="130" xfId="3" applyNumberFormat="1" applyFont="1" applyFill="1" applyBorder="1" applyAlignment="1" applyProtection="1">
      <alignment horizontal="center" vertical="center"/>
      <protection hidden="1"/>
    </xf>
    <xf numFmtId="8" fontId="240" fillId="9" borderId="132" xfId="3" applyNumberFormat="1" applyFont="1" applyFill="1" applyBorder="1" applyAlignment="1" applyProtection="1">
      <alignment horizontal="center" vertical="center"/>
      <protection hidden="1"/>
    </xf>
    <xf numFmtId="8" fontId="106" fillId="9" borderId="174" xfId="0" applyNumberFormat="1" applyFont="1" applyFill="1" applyBorder="1" applyAlignment="1" applyProtection="1">
      <alignment horizontal="center" vertical="center"/>
      <protection hidden="1"/>
    </xf>
    <xf numFmtId="8" fontId="194" fillId="9" borderId="145" xfId="0" applyNumberFormat="1" applyFont="1" applyFill="1" applyBorder="1" applyAlignment="1" applyProtection="1">
      <alignment horizontal="center" vertical="center"/>
      <protection hidden="1"/>
    </xf>
    <xf numFmtId="8" fontId="106" fillId="9" borderId="130" xfId="0" applyNumberFormat="1" applyFont="1" applyFill="1" applyBorder="1" applyAlignment="1" applyProtection="1">
      <alignment horizontal="center" vertical="center"/>
      <protection hidden="1"/>
    </xf>
    <xf numFmtId="8" fontId="106" fillId="9" borderId="130" xfId="0" applyNumberFormat="1" applyFont="1" applyFill="1" applyBorder="1" applyAlignment="1">
      <alignment horizontal="center" vertical="center"/>
    </xf>
    <xf numFmtId="10" fontId="14" fillId="9" borderId="130" xfId="0" applyNumberFormat="1" applyFont="1" applyFill="1" applyBorder="1" applyAlignment="1" applyProtection="1">
      <alignment horizontal="center" vertical="center"/>
      <protection hidden="1"/>
    </xf>
    <xf numFmtId="8" fontId="164"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02" fillId="0" borderId="0" xfId="0" applyNumberFormat="1" applyFont="1" applyAlignment="1" applyProtection="1">
      <alignment vertical="center" wrapText="1"/>
      <protection hidden="1"/>
    </xf>
    <xf numFmtId="14" fontId="91" fillId="0" borderId="0" xfId="0" applyNumberFormat="1" applyFont="1" applyAlignment="1" applyProtection="1">
      <alignment vertical="center"/>
      <protection hidden="1"/>
    </xf>
    <xf numFmtId="8" fontId="156" fillId="0" borderId="0" xfId="2" applyNumberFormat="1" applyFont="1" applyFill="1" applyBorder="1" applyAlignment="1" applyProtection="1">
      <alignment vertical="center"/>
      <protection hidden="1"/>
    </xf>
    <xf numFmtId="0" fontId="91" fillId="0" borderId="0" xfId="0" applyFont="1" applyAlignment="1" applyProtection="1">
      <alignment vertical="center"/>
      <protection hidden="1"/>
    </xf>
    <xf numFmtId="0" fontId="101"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91" fillId="0" borderId="0" xfId="0" applyNumberFormat="1" applyFont="1" applyAlignment="1">
      <alignment horizontal="center" vertical="center"/>
    </xf>
    <xf numFmtId="0" fontId="95" fillId="0" borderId="0" xfId="0" applyFont="1" applyAlignment="1" applyProtection="1">
      <alignment horizontal="center" vertical="center"/>
      <protection hidden="1"/>
    </xf>
    <xf numFmtId="8" fontId="91" fillId="0" borderId="0" xfId="0" applyNumberFormat="1" applyFont="1" applyAlignment="1" applyProtection="1">
      <alignment vertical="center"/>
      <protection locked="0"/>
    </xf>
    <xf numFmtId="0" fontId="26"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163" fillId="0" borderId="0" xfId="0" applyFont="1"/>
    <xf numFmtId="0" fontId="96"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02" fillId="3" borderId="0" xfId="0" applyFont="1" applyFill="1" applyAlignment="1">
      <alignment vertical="center" wrapText="1"/>
    </xf>
    <xf numFmtId="0" fontId="54" fillId="4" borderId="0" xfId="2" applyNumberFormat="1" applyFill="1" applyAlignment="1" applyProtection="1"/>
    <xf numFmtId="0" fontId="54" fillId="9" borderId="0" xfId="2" applyNumberFormat="1" applyFill="1" applyAlignment="1" applyProtection="1">
      <alignment vertical="center"/>
    </xf>
    <xf numFmtId="14" fontId="14" fillId="0" borderId="6" xfId="0" applyNumberFormat="1" applyFont="1" applyBorder="1" applyAlignment="1" applyProtection="1">
      <alignment horizontal="center" vertical="center"/>
      <protection locked="0"/>
    </xf>
    <xf numFmtId="9" fontId="0" fillId="4" borderId="15" xfId="3" applyFont="1" applyFill="1" applyBorder="1"/>
    <xf numFmtId="9" fontId="50"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81" fillId="4" borderId="38" xfId="3" applyFont="1" applyFill="1" applyBorder="1" applyAlignment="1" applyProtection="1">
      <alignment vertical="center"/>
      <protection hidden="1"/>
    </xf>
    <xf numFmtId="9" fontId="99" fillId="0" borderId="0" xfId="3" applyFont="1"/>
    <xf numFmtId="8" fontId="104" fillId="4" borderId="7" xfId="3" applyNumberFormat="1" applyFont="1" applyFill="1" applyBorder="1" applyAlignment="1" applyProtection="1">
      <alignment vertical="center"/>
      <protection hidden="1"/>
    </xf>
    <xf numFmtId="0" fontId="276" fillId="9" borderId="0" xfId="0" applyFont="1" applyFill="1" applyAlignment="1" applyProtection="1">
      <alignment horizontal="center" vertical="center" wrapText="1"/>
      <protection hidden="1"/>
    </xf>
    <xf numFmtId="0" fontId="276" fillId="9" borderId="0" xfId="0" applyFont="1" applyFill="1" applyAlignment="1">
      <alignment horizontal="center" vertical="center" wrapText="1"/>
    </xf>
    <xf numFmtId="198" fontId="93" fillId="9" borderId="0" xfId="0" applyNumberFormat="1" applyFont="1" applyFill="1" applyAlignment="1">
      <alignment vertical="center"/>
    </xf>
    <xf numFmtId="6" fontId="93" fillId="18" borderId="131" xfId="3" applyNumberFormat="1" applyFont="1" applyFill="1" applyBorder="1" applyAlignment="1" applyProtection="1">
      <alignment horizontal="center" vertical="center"/>
      <protection hidden="1"/>
    </xf>
    <xf numFmtId="6" fontId="93" fillId="23" borderId="132" xfId="0" applyNumberFormat="1" applyFont="1" applyFill="1" applyBorder="1" applyAlignment="1">
      <alignment horizontal="center" vertical="center"/>
    </xf>
    <xf numFmtId="8" fontId="93" fillId="9" borderId="177" xfId="0" applyNumberFormat="1" applyFont="1" applyFill="1" applyBorder="1" applyAlignment="1" applyProtection="1">
      <alignment horizontal="center" vertical="center"/>
      <protection hidden="1"/>
    </xf>
    <xf numFmtId="8" fontId="93" fillId="9" borderId="131" xfId="0" applyNumberFormat="1" applyFont="1" applyFill="1" applyBorder="1" applyAlignment="1" applyProtection="1">
      <alignment horizontal="center" vertical="center"/>
      <protection hidden="1"/>
    </xf>
    <xf numFmtId="6" fontId="93"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93" fillId="9" borderId="2" xfId="0" applyNumberFormat="1" applyFont="1" applyFill="1" applyBorder="1" applyAlignment="1">
      <alignment vertical="center"/>
    </xf>
    <xf numFmtId="14" fontId="97"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93" fillId="9" borderId="0" xfId="0" applyNumberFormat="1" applyFont="1" applyFill="1" applyAlignment="1" applyProtection="1">
      <alignment horizontal="center" vertical="center" wrapText="1"/>
      <protection hidden="1"/>
    </xf>
    <xf numFmtId="203" fontId="93" fillId="0" borderId="0" xfId="0" applyNumberFormat="1" applyFont="1" applyAlignment="1" applyProtection="1">
      <alignment horizontal="center"/>
      <protection hidden="1"/>
    </xf>
    <xf numFmtId="0" fontId="217" fillId="0" borderId="0" xfId="2" applyNumberFormat="1" applyFont="1" applyFill="1" applyBorder="1" applyAlignment="1" applyProtection="1">
      <alignment horizontal="center" vertical="center"/>
    </xf>
    <xf numFmtId="0" fontId="68" fillId="4" borderId="0" xfId="0" applyFont="1" applyFill="1" applyAlignment="1" applyProtection="1">
      <alignment horizontal="center" vertical="center"/>
      <protection locked="0"/>
    </xf>
    <xf numFmtId="0" fontId="93" fillId="8" borderId="0" xfId="0" applyFont="1" applyFill="1" applyAlignment="1">
      <alignment vertical="center"/>
    </xf>
    <xf numFmtId="177" fontId="93" fillId="9" borderId="2" xfId="3" applyNumberFormat="1" applyFont="1" applyFill="1" applyBorder="1" applyAlignment="1">
      <alignment horizontal="center" vertical="center"/>
    </xf>
    <xf numFmtId="0" fontId="0" fillId="23" borderId="0" xfId="0" applyFill="1" applyAlignment="1">
      <alignment horizontal="center" vertical="center"/>
    </xf>
    <xf numFmtId="0" fontId="96" fillId="23" borderId="0" xfId="0" applyFont="1" applyFill="1" applyAlignment="1">
      <alignment horizontal="center" vertical="center" wrapText="1"/>
    </xf>
    <xf numFmtId="0" fontId="55" fillId="23" borderId="0" xfId="0" applyFont="1" applyFill="1" applyAlignment="1">
      <alignment horizontal="center"/>
    </xf>
    <xf numFmtId="0" fontId="0" fillId="30" borderId="0" xfId="0" applyFill="1" applyAlignment="1">
      <alignment horizontal="center" vertical="center"/>
    </xf>
    <xf numFmtId="0" fontId="0" fillId="30" borderId="0" xfId="0" applyFill="1" applyAlignment="1">
      <alignment horizontal="center" vertical="center" wrapText="1"/>
    </xf>
    <xf numFmtId="0" fontId="70" fillId="30" borderId="0" xfId="0" applyFont="1" applyFill="1" applyAlignment="1">
      <alignment horizontal="center"/>
    </xf>
    <xf numFmtId="0" fontId="96" fillId="18" borderId="0" xfId="0" applyFont="1" applyFill="1" applyAlignment="1">
      <alignment horizontal="center" vertical="center" wrapText="1"/>
    </xf>
    <xf numFmtId="0" fontId="55" fillId="18" borderId="0" xfId="0" applyFont="1" applyFill="1" applyAlignment="1">
      <alignment horizontal="center"/>
    </xf>
    <xf numFmtId="0" fontId="0" fillId="8" borderId="0" xfId="0" applyFill="1" applyAlignment="1">
      <alignment horizontal="center" vertical="center" wrapText="1"/>
    </xf>
    <xf numFmtId="0" fontId="70" fillId="30" borderId="2" xfId="0" applyFont="1" applyFill="1" applyBorder="1" applyAlignment="1">
      <alignment horizontal="center" vertical="center"/>
    </xf>
    <xf numFmtId="10" fontId="0" fillId="0" borderId="2" xfId="3" applyNumberFormat="1" applyFont="1" applyBorder="1" applyAlignment="1">
      <alignment horizontal="center"/>
    </xf>
    <xf numFmtId="0" fontId="55" fillId="18" borderId="2" xfId="0" applyFont="1" applyFill="1" applyBorder="1" applyAlignment="1">
      <alignment horizontal="center"/>
    </xf>
    <xf numFmtId="168" fontId="0" fillId="9" borderId="2" xfId="0" applyNumberFormat="1" applyFill="1" applyBorder="1" applyAlignment="1">
      <alignment horizontal="center"/>
    </xf>
    <xf numFmtId="10" fontId="67"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70" fillId="18" borderId="24" xfId="0" applyFont="1" applyFill="1" applyBorder="1" applyAlignment="1">
      <alignment horizontal="center"/>
    </xf>
    <xf numFmtId="0" fontId="96" fillId="18" borderId="21" xfId="0" applyFont="1" applyFill="1" applyBorder="1" applyAlignment="1">
      <alignment horizontal="center" vertical="center" wrapText="1"/>
    </xf>
    <xf numFmtId="0" fontId="70" fillId="18" borderId="4" xfId="0" applyFont="1" applyFill="1" applyBorder="1" applyAlignment="1">
      <alignment horizontal="center"/>
    </xf>
    <xf numFmtId="0" fontId="55" fillId="18" borderId="3" xfId="0" applyFont="1" applyFill="1" applyBorder="1" applyAlignment="1">
      <alignment horizontal="center" vertical="center"/>
    </xf>
    <xf numFmtId="0" fontId="0" fillId="9" borderId="4" xfId="0" applyFill="1" applyBorder="1" applyAlignment="1">
      <alignment horizontal="center"/>
    </xf>
    <xf numFmtId="10" fontId="67" fillId="9" borderId="3" xfId="3" applyNumberFormat="1" applyFill="1" applyBorder="1" applyAlignment="1">
      <alignment horizontal="center"/>
    </xf>
    <xf numFmtId="10" fontId="67"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67" fillId="9" borderId="6" xfId="3" applyNumberFormat="1" applyFill="1" applyBorder="1" applyAlignment="1">
      <alignment horizontal="center"/>
    </xf>
    <xf numFmtId="10" fontId="67" fillId="9" borderId="7" xfId="3" applyNumberFormat="1" applyFill="1" applyBorder="1" applyAlignment="1">
      <alignment horizontal="center"/>
    </xf>
    <xf numFmtId="0" fontId="0" fillId="23" borderId="24" xfId="0" applyFill="1" applyBorder="1" applyAlignment="1">
      <alignment horizontal="center" vertical="center"/>
    </xf>
    <xf numFmtId="0" fontId="96" fillId="23" borderId="21" xfId="0" applyFont="1" applyFill="1" applyBorder="1" applyAlignment="1">
      <alignment horizontal="center" vertical="center" wrapText="1"/>
    </xf>
    <xf numFmtId="0" fontId="55" fillId="23" borderId="4" xfId="0" applyFont="1" applyFill="1" applyBorder="1" applyAlignment="1">
      <alignment horizontal="center" vertical="center"/>
    </xf>
    <xf numFmtId="0" fontId="55"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30" borderId="24" xfId="0" applyFill="1" applyBorder="1" applyAlignment="1">
      <alignment horizontal="center" vertical="center"/>
    </xf>
    <xf numFmtId="0" fontId="96" fillId="30" borderId="21" xfId="0" applyFont="1" applyFill="1" applyBorder="1" applyAlignment="1">
      <alignment horizontal="center" vertical="center" wrapText="1"/>
    </xf>
    <xf numFmtId="0" fontId="70" fillId="30" borderId="4" xfId="0" applyFont="1" applyFill="1" applyBorder="1" applyAlignment="1">
      <alignment horizontal="center" vertical="center"/>
    </xf>
    <xf numFmtId="0" fontId="70" fillId="30"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67" fillId="8" borderId="2" xfId="3" applyNumberFormat="1" applyFill="1" applyBorder="1" applyAlignment="1">
      <alignment horizontal="center"/>
    </xf>
    <xf numFmtId="10" fontId="67"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55" fillId="30" borderId="4" xfId="0" applyFont="1" applyFill="1" applyBorder="1" applyAlignment="1">
      <alignment horizontal="center" vertical="center"/>
    </xf>
    <xf numFmtId="0" fontId="55" fillId="30" borderId="2" xfId="0" applyFont="1" applyFill="1" applyBorder="1" applyAlignment="1">
      <alignment horizontal="center" vertical="center"/>
    </xf>
    <xf numFmtId="0" fontId="55" fillId="30" borderId="3" xfId="0" applyFont="1" applyFill="1" applyBorder="1" applyAlignment="1">
      <alignment horizontal="center" vertical="center"/>
    </xf>
    <xf numFmtId="0" fontId="113" fillId="9" borderId="0" xfId="0" applyFont="1" applyFill="1" applyAlignment="1">
      <alignment horizontal="center"/>
    </xf>
    <xf numFmtId="0" fontId="113" fillId="9" borderId="0" xfId="0" applyFont="1" applyFill="1" applyAlignment="1">
      <alignment horizontal="center" wrapText="1"/>
    </xf>
    <xf numFmtId="181" fontId="49"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96"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91"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91"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91" fillId="4" borderId="170" xfId="0" applyFont="1" applyFill="1" applyBorder="1" applyAlignment="1">
      <alignment horizontal="left" vertical="center"/>
    </xf>
    <xf numFmtId="6" fontId="91"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91"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91" fillId="4" borderId="170" xfId="0" applyFont="1" applyFill="1" applyBorder="1" applyAlignment="1" applyProtection="1">
      <alignment vertical="center"/>
      <protection hidden="1"/>
    </xf>
    <xf numFmtId="0" fontId="91"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93" fillId="0" borderId="0" xfId="0" applyFont="1" applyAlignment="1">
      <alignment horizontal="center" vertical="center" wrapText="1"/>
    </xf>
    <xf numFmtId="2" fontId="93" fillId="0" borderId="0" xfId="0" applyNumberFormat="1" applyFont="1" applyAlignment="1">
      <alignment horizontal="center" vertical="center"/>
    </xf>
    <xf numFmtId="167" fontId="93" fillId="0" borderId="0" xfId="0" applyNumberFormat="1" applyFont="1" applyAlignment="1">
      <alignment horizontal="center" vertical="center"/>
    </xf>
    <xf numFmtId="14" fontId="93"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91"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01"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91"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91"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6" fillId="0" borderId="2" xfId="0" applyNumberFormat="1" applyFont="1" applyBorder="1" applyAlignment="1" applyProtection="1">
      <alignment horizontal="center" vertical="center"/>
      <protection locked="0"/>
    </xf>
    <xf numFmtId="167" fontId="103" fillId="4" borderId="1" xfId="0" applyNumberFormat="1" applyFont="1" applyFill="1" applyBorder="1" applyAlignment="1">
      <alignment horizontal="center" vertical="center"/>
    </xf>
    <xf numFmtId="167" fontId="103" fillId="4" borderId="130" xfId="0" applyNumberFormat="1" applyFont="1" applyFill="1" applyBorder="1" applyAlignment="1">
      <alignment horizontal="center" vertical="center"/>
    </xf>
    <xf numFmtId="0" fontId="103" fillId="4" borderId="0" xfId="0" applyFont="1" applyFill="1" applyAlignment="1">
      <alignment vertical="center"/>
    </xf>
    <xf numFmtId="0" fontId="103" fillId="0" borderId="0" xfId="0" applyFont="1" applyAlignment="1">
      <alignment vertical="center"/>
    </xf>
    <xf numFmtId="0" fontId="103" fillId="0" borderId="0" xfId="0" applyFont="1" applyAlignment="1" applyProtection="1">
      <alignment vertical="center"/>
      <protection locked="0"/>
    </xf>
    <xf numFmtId="6" fontId="101" fillId="4" borderId="130" xfId="0" applyNumberFormat="1" applyFont="1" applyFill="1" applyBorder="1" applyAlignment="1" applyProtection="1">
      <alignment horizontal="center" vertical="center" wrapText="1"/>
      <protection hidden="1"/>
    </xf>
    <xf numFmtId="0" fontId="101"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03" fillId="4" borderId="130" xfId="0" applyNumberFormat="1" applyFont="1" applyFill="1" applyBorder="1" applyAlignment="1" applyProtection="1">
      <alignment horizontal="center" vertical="center" wrapText="1"/>
      <protection hidden="1"/>
    </xf>
    <xf numFmtId="9" fontId="103" fillId="4" borderId="0" xfId="3" applyFont="1" applyFill="1" applyAlignment="1">
      <alignment vertical="center"/>
    </xf>
    <xf numFmtId="9" fontId="103"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03" fillId="0" borderId="0" xfId="0" applyNumberFormat="1" applyFont="1" applyAlignment="1">
      <alignment horizontal="center" vertical="center"/>
    </xf>
    <xf numFmtId="8" fontId="103"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01"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locked="0"/>
    </xf>
    <xf numFmtId="6" fontId="279"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91"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97" fillId="9" borderId="12" xfId="0" applyNumberFormat="1" applyFont="1" applyFill="1" applyBorder="1" applyAlignment="1" applyProtection="1">
      <alignment horizontal="center" vertical="center"/>
      <protection hidden="1"/>
    </xf>
    <xf numFmtId="14" fontId="272" fillId="0" borderId="0" xfId="0" applyNumberFormat="1" applyFont="1" applyAlignment="1" applyProtection="1">
      <alignment vertical="center" wrapText="1"/>
      <protection hidden="1"/>
    </xf>
    <xf numFmtId="14" fontId="0" fillId="0" borderId="0" xfId="0" applyNumberFormat="1" applyAlignment="1" applyProtection="1">
      <alignment vertical="center"/>
      <protection locked="0"/>
    </xf>
    <xf numFmtId="3" fontId="128" fillId="14" borderId="2" xfId="0" applyNumberFormat="1" applyFont="1" applyFill="1" applyBorder="1" applyAlignment="1">
      <alignment horizontal="center"/>
    </xf>
    <xf numFmtId="3" fontId="128" fillId="0" borderId="2" xfId="0" applyNumberFormat="1" applyFont="1" applyBorder="1" applyAlignment="1">
      <alignment horizontal="center"/>
    </xf>
    <xf numFmtId="3" fontId="128" fillId="14" borderId="6" xfId="0" applyNumberFormat="1" applyFont="1" applyFill="1" applyBorder="1" applyAlignment="1">
      <alignment horizontal="center"/>
    </xf>
    <xf numFmtId="3" fontId="128" fillId="0" borderId="41" xfId="0" applyNumberFormat="1" applyFont="1" applyBorder="1" applyAlignment="1">
      <alignment horizontal="center"/>
    </xf>
    <xf numFmtId="0" fontId="0" fillId="0" borderId="0" xfId="3" applyNumberFormat="1" applyFont="1" applyBorder="1" applyAlignment="1">
      <alignment horizontal="left"/>
    </xf>
    <xf numFmtId="0" fontId="91" fillId="0" borderId="0" xfId="0" applyFont="1" applyAlignment="1">
      <alignment horizontal="left"/>
    </xf>
    <xf numFmtId="0" fontId="263" fillId="0" borderId="0" xfId="2" applyNumberFormat="1" applyFont="1" applyFill="1" applyAlignment="1" applyProtection="1">
      <alignment horizontal="left" vertical="center"/>
    </xf>
    <xf numFmtId="0" fontId="282" fillId="4" borderId="16" xfId="2" applyNumberFormat="1" applyFont="1" applyFill="1" applyBorder="1" applyAlignment="1" applyProtection="1">
      <alignment horizontal="center" vertical="center"/>
    </xf>
    <xf numFmtId="0" fontId="283" fillId="4" borderId="39" xfId="2" applyNumberFormat="1" applyFont="1" applyFill="1" applyBorder="1" applyAlignment="1" applyProtection="1">
      <alignment horizontal="center" vertical="center"/>
    </xf>
    <xf numFmtId="0" fontId="139" fillId="0" borderId="0" xfId="2" applyNumberFormat="1" applyFont="1" applyFill="1" applyAlignment="1" applyProtection="1">
      <alignment vertical="center"/>
    </xf>
    <xf numFmtId="0" fontId="139" fillId="0" borderId="0" xfId="2" applyNumberFormat="1" applyFont="1" applyFill="1" applyBorder="1" applyAlignment="1" applyProtection="1">
      <alignment vertical="center"/>
    </xf>
    <xf numFmtId="10" fontId="0" fillId="0" borderId="0" xfId="0" applyNumberFormat="1" applyAlignment="1">
      <alignment vertical="center" wrapText="1"/>
    </xf>
    <xf numFmtId="10" fontId="0" fillId="0" borderId="0" xfId="3" applyNumberFormat="1" applyFont="1" applyBorder="1" applyAlignment="1">
      <alignment horizontal="left"/>
    </xf>
    <xf numFmtId="10" fontId="0" fillId="0" borderId="0" xfId="0" applyNumberFormat="1" applyAlignment="1">
      <alignment horizontal="left"/>
    </xf>
    <xf numFmtId="0" fontId="58" fillId="0" borderId="165" xfId="0" applyFont="1" applyBorder="1" applyAlignment="1" applyProtection="1">
      <alignment horizontal="left" vertical="center" wrapText="1"/>
      <protection hidden="1"/>
    </xf>
    <xf numFmtId="6" fontId="58" fillId="0" borderId="166" xfId="3" applyNumberFormat="1" applyFont="1" applyBorder="1" applyAlignment="1" applyProtection="1">
      <alignment horizontal="center" vertical="center" wrapText="1"/>
      <protection hidden="1"/>
    </xf>
    <xf numFmtId="8" fontId="0" fillId="0" borderId="0" xfId="0" applyNumberFormat="1" applyAlignment="1">
      <alignment vertical="center" wrapText="1"/>
    </xf>
    <xf numFmtId="0" fontId="96" fillId="0" borderId="31" xfId="0" applyFont="1" applyBorder="1" applyAlignment="1">
      <alignment horizontal="center" vertical="center" wrapText="1"/>
    </xf>
    <xf numFmtId="0" fontId="96" fillId="0" borderId="28" xfId="0" applyFont="1" applyBorder="1" applyAlignment="1">
      <alignment horizontal="center" vertical="center" wrapText="1"/>
    </xf>
    <xf numFmtId="0" fontId="98" fillId="0" borderId="0" xfId="0" applyFont="1" applyAlignment="1">
      <alignment horizontal="center" vertical="center" wrapText="1"/>
    </xf>
    <xf numFmtId="0" fontId="96" fillId="0" borderId="0" xfId="0" applyFont="1" applyAlignment="1">
      <alignment horizontal="left" vertical="top" wrapText="1"/>
    </xf>
    <xf numFmtId="0" fontId="131" fillId="4" borderId="12" xfId="0" applyFont="1" applyFill="1" applyBorder="1" applyAlignment="1" applyProtection="1">
      <alignment horizontal="center" vertical="center" wrapText="1"/>
      <protection locked="0"/>
    </xf>
    <xf numFmtId="0" fontId="131" fillId="4" borderId="41" xfId="0" applyFont="1" applyFill="1" applyBorder="1" applyAlignment="1" applyProtection="1">
      <alignment horizontal="center" vertical="center" wrapText="1"/>
      <protection locked="0"/>
    </xf>
    <xf numFmtId="0" fontId="0" fillId="0" borderId="0" xfId="0" applyAlignment="1">
      <alignment horizontal="center"/>
    </xf>
    <xf numFmtId="0" fontId="93" fillId="0" borderId="0" xfId="0" applyFont="1" applyAlignment="1">
      <alignment horizontal="center"/>
    </xf>
    <xf numFmtId="0" fontId="113" fillId="4" borderId="2" xfId="0" applyFont="1" applyFill="1" applyBorder="1" applyAlignment="1">
      <alignment horizontal="center" vertical="center"/>
    </xf>
    <xf numFmtId="0" fontId="183" fillId="0" borderId="10" xfId="0" applyFont="1" applyBorder="1" applyAlignment="1">
      <alignment horizontal="center"/>
    </xf>
    <xf numFmtId="0" fontId="183" fillId="0" borderId="2" xfId="0" applyFont="1" applyBorder="1" applyAlignment="1">
      <alignment horizontal="center"/>
    </xf>
    <xf numFmtId="0" fontId="172" fillId="0" borderId="2" xfId="0" applyFont="1" applyBorder="1" applyAlignment="1">
      <alignment horizontal="center" vertical="center"/>
    </xf>
    <xf numFmtId="0" fontId="97" fillId="0" borderId="2" xfId="0" applyFont="1" applyBorder="1" applyAlignment="1">
      <alignment horizontal="center"/>
    </xf>
    <xf numFmtId="175" fontId="196" fillId="0" borderId="24" xfId="0" applyNumberFormat="1" applyFont="1" applyBorder="1" applyAlignment="1">
      <alignment horizontal="center" vertical="center"/>
    </xf>
    <xf numFmtId="175" fontId="196" fillId="0" borderId="21" xfId="0" applyNumberFormat="1" applyFont="1" applyBorder="1" applyAlignment="1">
      <alignment horizontal="center" vertical="center"/>
    </xf>
    <xf numFmtId="175" fontId="196" fillId="0" borderId="22" xfId="0" applyNumberFormat="1" applyFont="1" applyBorder="1" applyAlignment="1">
      <alignment horizontal="center" vertical="center"/>
    </xf>
    <xf numFmtId="175" fontId="196" fillId="0" borderId="4" xfId="0" applyNumberFormat="1" applyFont="1" applyBorder="1" applyAlignment="1">
      <alignment horizontal="center" vertical="center"/>
    </xf>
    <xf numFmtId="175" fontId="196" fillId="0" borderId="2" xfId="0" applyNumberFormat="1" applyFont="1" applyBorder="1" applyAlignment="1">
      <alignment horizontal="center" vertical="center"/>
    </xf>
    <xf numFmtId="175" fontId="196"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54" fillId="0" borderId="0" xfId="2" applyNumberFormat="1" applyFill="1" applyBorder="1" applyAlignment="1" applyProtection="1">
      <alignment horizontal="center"/>
    </xf>
    <xf numFmtId="0" fontId="219" fillId="0" borderId="0" xfId="0" applyFont="1" applyAlignment="1">
      <alignment horizontal="center"/>
    </xf>
    <xf numFmtId="0" fontId="113" fillId="0" borderId="0" xfId="0" applyFont="1" applyAlignment="1">
      <alignment horizontal="center"/>
    </xf>
    <xf numFmtId="0" fontId="107" fillId="0" borderId="0" xfId="0" applyFont="1" applyAlignment="1">
      <alignment horizontal="center"/>
    </xf>
    <xf numFmtId="0" fontId="101" fillId="0" borderId="12" xfId="0" applyFont="1" applyBorder="1" applyAlignment="1">
      <alignment horizontal="center" vertical="center" wrapText="1"/>
    </xf>
    <xf numFmtId="0" fontId="101" fillId="0" borderId="12" xfId="0" applyFont="1" applyBorder="1" applyAlignment="1">
      <alignment horizontal="center" vertical="center"/>
    </xf>
    <xf numFmtId="0" fontId="101" fillId="0" borderId="108" xfId="0" applyFont="1" applyBorder="1" applyAlignment="1">
      <alignment horizontal="center" vertical="center"/>
    </xf>
    <xf numFmtId="0" fontId="156" fillId="0" borderId="0" xfId="2" applyNumberFormat="1" applyFont="1" applyFill="1" applyAlignment="1" applyProtection="1">
      <alignment horizontal="left" vertical="center"/>
    </xf>
    <xf numFmtId="0" fontId="135" fillId="0" borderId="0" xfId="2" applyNumberFormat="1" applyFont="1" applyFill="1" applyAlignment="1" applyProtection="1">
      <alignment horizontal="left" vertical="center"/>
    </xf>
    <xf numFmtId="0" fontId="135" fillId="0" borderId="0" xfId="2" applyNumberFormat="1" applyFont="1" applyFill="1" applyBorder="1" applyAlignment="1" applyProtection="1">
      <alignment horizontal="left" vertical="center"/>
    </xf>
    <xf numFmtId="0" fontId="135" fillId="0" borderId="0" xfId="2" applyNumberFormat="1" applyFont="1" applyAlignment="1" applyProtection="1">
      <alignment horizontal="left" vertical="center"/>
    </xf>
    <xf numFmtId="0" fontId="135" fillId="0" borderId="0" xfId="2" applyNumberFormat="1" applyFont="1" applyBorder="1" applyAlignment="1" applyProtection="1">
      <alignment horizontal="left" vertical="center"/>
    </xf>
    <xf numFmtId="0" fontId="135" fillId="0" borderId="0" xfId="2" applyNumberFormat="1" applyFont="1" applyFill="1" applyAlignment="1" applyProtection="1">
      <alignment vertical="center"/>
    </xf>
    <xf numFmtId="0" fontId="87" fillId="0" borderId="79" xfId="0" applyFont="1" applyBorder="1" applyAlignment="1" applyProtection="1">
      <alignment horizontal="right" vertical="center"/>
      <protection hidden="1"/>
    </xf>
    <xf numFmtId="0" fontId="157" fillId="26" borderId="43" xfId="2" applyNumberFormat="1" applyFont="1" applyFill="1" applyBorder="1" applyAlignment="1" applyProtection="1">
      <alignment horizontal="center" vertical="center"/>
      <protection hidden="1"/>
    </xf>
    <xf numFmtId="0" fontId="157" fillId="26" borderId="44" xfId="2" applyNumberFormat="1" applyFont="1" applyFill="1" applyBorder="1" applyAlignment="1" applyProtection="1">
      <alignment horizontal="center" vertical="center"/>
      <protection hidden="1"/>
    </xf>
    <xf numFmtId="0" fontId="97" fillId="0" borderId="0" xfId="0" applyFont="1" applyAlignment="1">
      <alignment horizontal="center"/>
    </xf>
    <xf numFmtId="0" fontId="113" fillId="0" borderId="0" xfId="0" applyFont="1" applyAlignment="1">
      <alignment horizontal="left" vertical="center"/>
    </xf>
    <xf numFmtId="0" fontId="54" fillId="0" borderId="0" xfId="2" applyNumberFormat="1" applyAlignment="1" applyProtection="1">
      <alignment horizontal="center"/>
    </xf>
    <xf numFmtId="0" fontId="158" fillId="0" borderId="0" xfId="2" applyNumberFormat="1" applyFont="1" applyFill="1" applyAlignment="1" applyProtection="1"/>
    <xf numFmtId="0" fontId="191" fillId="9" borderId="43" xfId="0" applyFont="1" applyFill="1" applyBorder="1" applyAlignment="1">
      <alignment horizontal="center" vertical="center" wrapText="1"/>
    </xf>
    <xf numFmtId="0" fontId="191" fillId="9" borderId="44" xfId="0" applyFont="1" applyFill="1" applyBorder="1" applyAlignment="1">
      <alignment horizontal="center" vertical="center"/>
    </xf>
    <xf numFmtId="0" fontId="191" fillId="9" borderId="19" xfId="0" applyFont="1" applyFill="1" applyBorder="1" applyAlignment="1">
      <alignment horizontal="center" vertical="center"/>
    </xf>
    <xf numFmtId="0" fontId="191" fillId="9" borderId="15" xfId="0" applyFont="1" applyFill="1" applyBorder="1" applyAlignment="1">
      <alignment horizontal="center" vertical="center"/>
    </xf>
    <xf numFmtId="0" fontId="0" fillId="0" borderId="113" xfId="0" applyBorder="1" applyAlignment="1">
      <alignment horizontal="left" vertical="top" wrapText="1"/>
    </xf>
    <xf numFmtId="0" fontId="0" fillId="0" borderId="0" xfId="0" applyAlignment="1">
      <alignment horizontal="left" vertical="top" wrapText="1"/>
    </xf>
    <xf numFmtId="0" fontId="158" fillId="0" borderId="31" xfId="2" applyNumberFormat="1" applyFont="1" applyBorder="1" applyAlignment="1" applyProtection="1">
      <alignment horizontal="center" vertical="top"/>
    </xf>
    <xf numFmtId="0" fontId="158" fillId="0" borderId="28" xfId="2" applyNumberFormat="1" applyFont="1" applyBorder="1" applyAlignment="1" applyProtection="1">
      <alignment horizontal="center" vertical="top"/>
    </xf>
    <xf numFmtId="0" fontId="158" fillId="0" borderId="56" xfId="2" applyNumberFormat="1" applyFont="1" applyBorder="1" applyAlignment="1" applyProtection="1">
      <alignment horizontal="center" vertical="top"/>
    </xf>
    <xf numFmtId="0" fontId="135" fillId="0" borderId="0" xfId="2" applyNumberFormat="1" applyFont="1" applyAlignment="1" applyProtection="1">
      <alignment horizontal="left"/>
    </xf>
    <xf numFmtId="0" fontId="101" fillId="9" borderId="19" xfId="0" applyFont="1" applyFill="1" applyBorder="1" applyAlignment="1">
      <alignment horizontal="center" vertical="center" wrapText="1"/>
    </xf>
    <xf numFmtId="0" fontId="101" fillId="9" borderId="15" xfId="0" applyFont="1" applyFill="1" applyBorder="1" applyAlignment="1">
      <alignment horizontal="center" vertical="center" wrapText="1"/>
    </xf>
    <xf numFmtId="0" fontId="135" fillId="0" borderId="0" xfId="2" applyNumberFormat="1" applyFont="1" applyFill="1" applyAlignment="1" applyProtection="1">
      <alignment horizontal="left"/>
    </xf>
    <xf numFmtId="0" fontId="0" fillId="9" borderId="19" xfId="0" applyFill="1" applyBorder="1" applyAlignment="1">
      <alignment horizontal="center" wrapText="1"/>
    </xf>
    <xf numFmtId="0" fontId="0" fillId="9" borderId="15" xfId="0" applyFill="1" applyBorder="1" applyAlignment="1">
      <alignment horizontal="center" wrapText="1"/>
    </xf>
    <xf numFmtId="0" fontId="158" fillId="0" borderId="19" xfId="2" applyNumberFormat="1" applyFont="1" applyBorder="1" applyAlignment="1" applyProtection="1">
      <alignment horizontal="center" vertical="center"/>
    </xf>
    <xf numFmtId="0" fontId="158" fillId="0" borderId="15" xfId="2" applyNumberFormat="1" applyFont="1" applyBorder="1" applyAlignment="1" applyProtection="1">
      <alignment horizontal="center" vertical="center"/>
    </xf>
    <xf numFmtId="0" fontId="135" fillId="9" borderId="16" xfId="2" applyNumberFormat="1" applyFont="1" applyFill="1" applyBorder="1" applyAlignment="1" applyProtection="1">
      <alignment horizontal="center" vertical="center"/>
    </xf>
    <xf numFmtId="0" fontId="135" fillId="9" borderId="39" xfId="2" applyNumberFormat="1" applyFont="1" applyFill="1" applyBorder="1" applyAlignment="1" applyProtection="1">
      <alignment horizontal="center" vertical="center"/>
    </xf>
    <xf numFmtId="0" fontId="0" fillId="9" borderId="19" xfId="0" applyFill="1" applyBorder="1" applyAlignment="1">
      <alignment horizontal="center" vertical="top" wrapText="1"/>
    </xf>
    <xf numFmtId="0" fontId="0" fillId="9" borderId="15" xfId="0" applyFill="1" applyBorder="1" applyAlignment="1">
      <alignment horizontal="center" vertical="top" wrapText="1"/>
    </xf>
    <xf numFmtId="0" fontId="93" fillId="9" borderId="184" xfId="0" applyFont="1" applyFill="1" applyBorder="1" applyAlignment="1">
      <alignment horizontal="center" vertical="center"/>
    </xf>
    <xf numFmtId="0" fontId="101" fillId="9" borderId="184" xfId="0" applyFont="1" applyFill="1" applyBorder="1" applyAlignment="1">
      <alignment horizontal="center" vertical="center"/>
    </xf>
    <xf numFmtId="0" fontId="231" fillId="9" borderId="224" xfId="0" applyFont="1" applyFill="1" applyBorder="1" applyAlignment="1">
      <alignment horizontal="center" vertical="center" wrapText="1"/>
    </xf>
    <xf numFmtId="0" fontId="231" fillId="9" borderId="23" xfId="0" applyFont="1" applyFill="1" applyBorder="1" applyAlignment="1">
      <alignment horizontal="center" vertical="center" wrapText="1"/>
    </xf>
    <xf numFmtId="0" fontId="231" fillId="9" borderId="84" xfId="0" applyFont="1" applyFill="1" applyBorder="1" applyAlignment="1">
      <alignment horizontal="center" vertical="center" wrapText="1"/>
    </xf>
    <xf numFmtId="0" fontId="231" fillId="9" borderId="185" xfId="0" applyFont="1" applyFill="1" applyBorder="1" applyAlignment="1">
      <alignment horizontal="center" vertical="center" wrapText="1"/>
    </xf>
    <xf numFmtId="0" fontId="231" fillId="9" borderId="0" xfId="0" applyFont="1" applyFill="1" applyAlignment="1">
      <alignment horizontal="center" vertical="center" wrapText="1"/>
    </xf>
    <xf numFmtId="0" fontId="231" fillId="9" borderId="99" xfId="0" applyFont="1" applyFill="1" applyBorder="1" applyAlignment="1">
      <alignment horizontal="center" vertical="center" wrapText="1"/>
    </xf>
    <xf numFmtId="0" fontId="93" fillId="9" borderId="164" xfId="0" applyFont="1" applyFill="1" applyBorder="1" applyAlignment="1" applyProtection="1">
      <alignment horizontal="center" vertical="center"/>
      <protection hidden="1"/>
    </xf>
    <xf numFmtId="0" fontId="93" fillId="9" borderId="10" xfId="0" applyFont="1" applyFill="1" applyBorder="1" applyAlignment="1" applyProtection="1">
      <alignment horizontal="center" vertical="center"/>
      <protection hidden="1"/>
    </xf>
    <xf numFmtId="0" fontId="93" fillId="9" borderId="19" xfId="0" applyFont="1" applyFill="1" applyBorder="1" applyAlignment="1">
      <alignment horizontal="center" vertical="center" wrapText="1"/>
    </xf>
    <xf numFmtId="0" fontId="93" fillId="9" borderId="63" xfId="0" applyFont="1" applyFill="1" applyBorder="1" applyAlignment="1">
      <alignment horizontal="center" vertical="center"/>
    </xf>
    <xf numFmtId="0" fontId="93" fillId="9" borderId="78" xfId="0" applyFont="1" applyFill="1" applyBorder="1" applyAlignment="1">
      <alignment horizontal="center" vertical="center"/>
    </xf>
    <xf numFmtId="0" fontId="93" fillId="9" borderId="64" xfId="0" applyFont="1" applyFill="1" applyBorder="1" applyAlignment="1">
      <alignment horizontal="center" vertical="center"/>
    </xf>
    <xf numFmtId="0" fontId="93" fillId="9" borderId="2" xfId="0" applyFont="1" applyFill="1" applyBorder="1" applyAlignment="1">
      <alignment horizontal="center" vertical="center"/>
    </xf>
    <xf numFmtId="0" fontId="93" fillId="9" borderId="42" xfId="0" applyFont="1" applyFill="1" applyBorder="1" applyAlignment="1">
      <alignment horizontal="center" vertical="center"/>
    </xf>
    <xf numFmtId="0" fontId="93" fillId="9" borderId="113" xfId="0" applyFont="1" applyFill="1" applyBorder="1" applyAlignment="1">
      <alignment horizontal="center" vertical="center"/>
    </xf>
    <xf numFmtId="0" fontId="93" fillId="9" borderId="55" xfId="0" applyFont="1" applyFill="1" applyBorder="1" applyAlignment="1">
      <alignment horizontal="center" vertical="center"/>
    </xf>
    <xf numFmtId="0" fontId="218" fillId="9" borderId="42" xfId="0" applyFont="1" applyFill="1" applyBorder="1" applyAlignment="1" applyProtection="1">
      <alignment horizontal="center" vertical="center" wrapText="1"/>
      <protection hidden="1"/>
    </xf>
    <xf numFmtId="0" fontId="218" fillId="9" borderId="113" xfId="0" applyFont="1" applyFill="1" applyBorder="1" applyAlignment="1" applyProtection="1">
      <alignment horizontal="center" vertical="center" wrapText="1"/>
      <protection hidden="1"/>
    </xf>
    <xf numFmtId="0" fontId="218" fillId="9" borderId="55" xfId="0" applyFont="1" applyFill="1" applyBorder="1" applyAlignment="1" applyProtection="1">
      <alignment horizontal="center" vertical="center" wrapText="1"/>
      <protection hidden="1"/>
    </xf>
    <xf numFmtId="0" fontId="218" fillId="9" borderId="31" xfId="0" applyFont="1" applyFill="1" applyBorder="1" applyAlignment="1" applyProtection="1">
      <alignment horizontal="center" vertical="center" wrapText="1"/>
      <protection hidden="1"/>
    </xf>
    <xf numFmtId="0" fontId="218" fillId="9" borderId="28" xfId="0" applyFont="1" applyFill="1" applyBorder="1" applyAlignment="1" applyProtection="1">
      <alignment horizontal="center" vertical="center" wrapText="1"/>
      <protection hidden="1"/>
    </xf>
    <xf numFmtId="0" fontId="218" fillId="9" borderId="56" xfId="0" applyFont="1" applyFill="1" applyBorder="1" applyAlignment="1" applyProtection="1">
      <alignment horizontal="center" vertical="center" wrapText="1"/>
      <protection hidden="1"/>
    </xf>
    <xf numFmtId="0" fontId="32" fillId="0" borderId="12"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02" fillId="0" borderId="170" xfId="0" applyFont="1" applyBorder="1" applyAlignment="1" applyProtection="1">
      <alignment horizontal="left" vertical="center"/>
      <protection locked="0"/>
    </xf>
    <xf numFmtId="0" fontId="202" fillId="0" borderId="2" xfId="0" applyFont="1" applyBorder="1" applyAlignment="1" applyProtection="1">
      <alignment horizontal="left" vertical="center"/>
      <protection locked="0"/>
    </xf>
    <xf numFmtId="0" fontId="202" fillId="0" borderId="130" xfId="0" applyFont="1" applyBorder="1" applyAlignment="1" applyProtection="1">
      <alignment horizontal="left" vertical="center"/>
      <protection locked="0"/>
    </xf>
    <xf numFmtId="0" fontId="202" fillId="0" borderId="177" xfId="0" applyFont="1" applyBorder="1" applyAlignment="1" applyProtection="1">
      <alignment horizontal="left" vertical="center"/>
      <protection locked="0"/>
    </xf>
    <xf numFmtId="0" fontId="202" fillId="0" borderId="131" xfId="0" applyFont="1" applyBorder="1" applyAlignment="1" applyProtection="1">
      <alignment horizontal="left" vertical="center"/>
      <protection locked="0"/>
    </xf>
    <xf numFmtId="0" fontId="202"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93" fillId="9" borderId="170" xfId="0" applyFont="1" applyFill="1" applyBorder="1" applyAlignment="1" applyProtection="1">
      <alignment horizontal="right" vertical="center"/>
      <protection hidden="1"/>
    </xf>
    <xf numFmtId="0" fontId="93" fillId="9" borderId="2" xfId="0" applyFont="1" applyFill="1" applyBorder="1" applyAlignment="1" applyProtection="1">
      <alignment horizontal="right" vertical="center"/>
      <protection hidden="1"/>
    </xf>
    <xf numFmtId="0" fontId="157" fillId="9" borderId="187" xfId="2" applyNumberFormat="1" applyFont="1" applyFill="1" applyBorder="1" applyAlignment="1" applyProtection="1">
      <alignment horizontal="center" vertical="center" wrapText="1"/>
      <protection hidden="1"/>
    </xf>
    <xf numFmtId="0" fontId="157" fillId="9" borderId="113" xfId="2" applyNumberFormat="1" applyFont="1" applyFill="1" applyBorder="1" applyAlignment="1" applyProtection="1">
      <alignment horizontal="center" vertical="center" wrapText="1"/>
      <protection hidden="1"/>
    </xf>
    <xf numFmtId="0" fontId="157" fillId="9" borderId="55" xfId="2" applyNumberFormat="1" applyFont="1" applyFill="1" applyBorder="1" applyAlignment="1" applyProtection="1">
      <alignment horizontal="center" vertical="center" wrapText="1"/>
      <protection hidden="1"/>
    </xf>
    <xf numFmtId="0" fontId="157" fillId="9" borderId="215" xfId="2" applyNumberFormat="1" applyFont="1" applyFill="1" applyBorder="1" applyAlignment="1" applyProtection="1">
      <alignment horizontal="center" vertical="center" wrapText="1"/>
      <protection hidden="1"/>
    </xf>
    <xf numFmtId="0" fontId="157" fillId="9" borderId="216" xfId="2" applyNumberFormat="1" applyFont="1" applyFill="1" applyBorder="1" applyAlignment="1" applyProtection="1">
      <alignment horizontal="center" vertical="center" wrapText="1"/>
      <protection hidden="1"/>
    </xf>
    <xf numFmtId="0" fontId="157" fillId="9" borderId="217" xfId="2" applyNumberFormat="1" applyFont="1" applyFill="1" applyBorder="1" applyAlignment="1" applyProtection="1">
      <alignment horizontal="center" vertical="center" wrapText="1"/>
      <protection hidden="1"/>
    </xf>
    <xf numFmtId="0" fontId="28" fillId="6" borderId="131"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0" fontId="115" fillId="9" borderId="2" xfId="0" applyFont="1" applyFill="1" applyBorder="1" applyAlignment="1">
      <alignment horizontal="center" vertical="center" textRotation="90" wrapText="1"/>
    </xf>
    <xf numFmtId="0" fontId="115" fillId="9" borderId="10" xfId="0" applyFont="1" applyFill="1" applyBorder="1" applyAlignment="1">
      <alignment horizontal="center" vertical="center" textRotation="90" wrapText="1"/>
    </xf>
    <xf numFmtId="0" fontId="93" fillId="9" borderId="28" xfId="0" applyFont="1" applyFill="1" applyBorder="1" applyAlignment="1">
      <alignment horizontal="center"/>
    </xf>
    <xf numFmtId="0" fontId="93" fillId="0" borderId="219" xfId="0" applyFont="1" applyBorder="1" applyAlignment="1" applyProtection="1">
      <alignment horizontal="right" vertical="center"/>
      <protection locked="0"/>
    </xf>
    <xf numFmtId="0" fontId="93" fillId="0" borderId="33" xfId="0" applyFont="1" applyBorder="1" applyAlignment="1" applyProtection="1">
      <alignment horizontal="right" vertical="center"/>
      <protection locked="0"/>
    </xf>
    <xf numFmtId="0" fontId="93" fillId="9" borderId="1" xfId="0" applyFont="1" applyFill="1" applyBorder="1" applyAlignment="1" applyProtection="1">
      <alignment horizontal="right" vertical="center"/>
      <protection hidden="1"/>
    </xf>
    <xf numFmtId="0" fontId="93" fillId="9" borderId="9" xfId="0" applyFont="1" applyFill="1" applyBorder="1" applyAlignment="1" applyProtection="1">
      <alignment horizontal="right" vertical="center"/>
      <protection hidden="1"/>
    </xf>
    <xf numFmtId="0" fontId="93" fillId="9" borderId="10" xfId="0" applyFont="1" applyFill="1" applyBorder="1" applyAlignment="1" applyProtection="1">
      <alignment horizontal="right" vertical="center"/>
      <protection hidden="1"/>
    </xf>
    <xf numFmtId="0" fontId="93" fillId="4" borderId="180" xfId="0" applyFont="1" applyFill="1" applyBorder="1" applyAlignment="1" applyProtection="1">
      <alignment horizontal="center" vertical="center" wrapText="1"/>
      <protection hidden="1"/>
    </xf>
    <xf numFmtId="0" fontId="93" fillId="4" borderId="211" xfId="0" applyFont="1" applyFill="1" applyBorder="1" applyAlignment="1" applyProtection="1">
      <alignment horizontal="center" vertical="center" wrapText="1"/>
      <protection hidden="1"/>
    </xf>
    <xf numFmtId="0" fontId="93" fillId="4" borderId="28" xfId="0" applyFont="1" applyFill="1" applyBorder="1" applyAlignment="1" applyProtection="1">
      <alignment horizontal="center" vertical="center" wrapText="1"/>
      <protection hidden="1"/>
    </xf>
    <xf numFmtId="0" fontId="93" fillId="4" borderId="56" xfId="0" applyFont="1" applyFill="1" applyBorder="1" applyAlignment="1" applyProtection="1">
      <alignment horizontal="center" vertical="center" wrapText="1"/>
      <protection hidden="1"/>
    </xf>
    <xf numFmtId="14" fontId="2" fillId="0" borderId="1" xfId="0" applyNumberFormat="1" applyFont="1" applyBorder="1" applyAlignment="1" applyProtection="1">
      <alignment horizontal="center" vertical="center"/>
      <protection locked="0"/>
    </xf>
    <xf numFmtId="14" fontId="30" fillId="0" borderId="9" xfId="0" applyNumberFormat="1" applyFont="1" applyBorder="1" applyAlignment="1" applyProtection="1">
      <alignment horizontal="center" vertical="center"/>
      <protection locked="0"/>
    </xf>
    <xf numFmtId="14" fontId="30"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101" fillId="18" borderId="2" xfId="0" applyFont="1" applyFill="1" applyBorder="1" applyAlignment="1" applyProtection="1">
      <alignment horizontal="left" vertical="center"/>
      <protection hidden="1"/>
    </xf>
    <xf numFmtId="0" fontId="93" fillId="9" borderId="154"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102" fillId="4" borderId="108" xfId="0" applyFont="1" applyFill="1" applyBorder="1" applyAlignment="1">
      <alignment horizontal="center"/>
    </xf>
    <xf numFmtId="0" fontId="102" fillId="4" borderId="209" xfId="0" applyFont="1" applyFill="1" applyBorder="1" applyAlignment="1">
      <alignment horizontal="center"/>
    </xf>
    <xf numFmtId="190" fontId="106" fillId="0" borderId="2" xfId="0" applyNumberFormat="1" applyFont="1" applyBorder="1" applyAlignment="1" applyProtection="1">
      <alignment horizontal="center" vertical="center"/>
      <protection locked="0"/>
    </xf>
    <xf numFmtId="0" fontId="101" fillId="28" borderId="178" xfId="0" applyFont="1" applyFill="1" applyBorder="1" applyAlignment="1" applyProtection="1">
      <alignment horizontal="center" vertical="center"/>
      <protection hidden="1"/>
    </xf>
    <xf numFmtId="0" fontId="101" fillId="28" borderId="171" xfId="0" applyFont="1" applyFill="1" applyBorder="1" applyAlignment="1" applyProtection="1">
      <alignment horizontal="center" vertical="center"/>
      <protection hidden="1"/>
    </xf>
    <xf numFmtId="0" fontId="101" fillId="28" borderId="172" xfId="0" applyFont="1" applyFill="1" applyBorder="1" applyAlignment="1" applyProtection="1">
      <alignment horizontal="center" vertical="center"/>
      <protection hidden="1"/>
    </xf>
    <xf numFmtId="0" fontId="102" fillId="4" borderId="179" xfId="0" applyFont="1" applyFill="1" applyBorder="1" applyAlignment="1" applyProtection="1">
      <alignment horizontal="center" vertical="center"/>
      <protection hidden="1"/>
    </xf>
    <xf numFmtId="0" fontId="102" fillId="4" borderId="180" xfId="0" applyFont="1" applyFill="1" applyBorder="1" applyAlignment="1" applyProtection="1">
      <alignment horizontal="center" vertical="center"/>
      <protection hidden="1"/>
    </xf>
    <xf numFmtId="0" fontId="102" fillId="4" borderId="182" xfId="0" applyFont="1" applyFill="1" applyBorder="1" applyAlignment="1" applyProtection="1">
      <alignment horizontal="center" vertical="center"/>
      <protection hidden="1"/>
    </xf>
    <xf numFmtId="0" fontId="102" fillId="4" borderId="28" xfId="0" applyFont="1" applyFill="1" applyBorder="1" applyAlignment="1" applyProtection="1">
      <alignment horizontal="center" vertical="center"/>
      <protection hidden="1"/>
    </xf>
    <xf numFmtId="0" fontId="93" fillId="9" borderId="0" xfId="0" quotePrefix="1" applyFont="1" applyFill="1" applyAlignment="1">
      <alignment horizontal="center" vertical="center"/>
    </xf>
    <xf numFmtId="0" fontId="93" fillId="9" borderId="153" xfId="0" applyFont="1" applyFill="1" applyBorder="1" applyAlignment="1">
      <alignment horizontal="center" vertical="center"/>
    </xf>
    <xf numFmtId="0" fontId="202" fillId="9" borderId="8" xfId="0" applyFont="1" applyFill="1" applyBorder="1" applyAlignment="1" applyProtection="1">
      <alignment horizontal="center" vertical="top" wrapText="1"/>
      <protection hidden="1"/>
    </xf>
    <xf numFmtId="0" fontId="202" fillId="9" borderId="153" xfId="0" applyFont="1" applyFill="1" applyBorder="1" applyAlignment="1" applyProtection="1">
      <alignment horizontal="center" vertical="top" wrapText="1"/>
      <protection hidden="1"/>
    </xf>
    <xf numFmtId="0" fontId="202" fillId="9" borderId="31" xfId="0" applyFont="1" applyFill="1" applyBorder="1" applyAlignment="1" applyProtection="1">
      <alignment horizontal="center" vertical="top" wrapText="1"/>
      <protection hidden="1"/>
    </xf>
    <xf numFmtId="0" fontId="202" fillId="9" borderId="174" xfId="0" applyFont="1" applyFill="1" applyBorder="1" applyAlignment="1" applyProtection="1">
      <alignment horizontal="center" vertical="top" wrapText="1"/>
      <protection hidden="1"/>
    </xf>
    <xf numFmtId="0" fontId="202" fillId="9" borderId="185" xfId="0" applyFont="1" applyFill="1" applyBorder="1" applyAlignment="1">
      <alignment horizontal="center" vertical="center" wrapText="1"/>
    </xf>
    <xf numFmtId="0" fontId="202" fillId="9" borderId="0" xfId="0" applyFont="1" applyFill="1" applyAlignment="1">
      <alignment horizontal="center" vertical="center" wrapText="1"/>
    </xf>
    <xf numFmtId="0" fontId="202" fillId="9" borderId="99" xfId="0" applyFont="1" applyFill="1" applyBorder="1" applyAlignment="1">
      <alignment horizontal="center" vertical="center" wrapText="1"/>
    </xf>
    <xf numFmtId="0" fontId="101" fillId="4" borderId="189" xfId="0" applyFont="1" applyFill="1" applyBorder="1" applyAlignment="1" applyProtection="1">
      <alignment horizontal="center" vertical="center" wrapText="1"/>
      <protection hidden="1"/>
    </xf>
    <xf numFmtId="0" fontId="101" fillId="4" borderId="181" xfId="0" applyFont="1" applyFill="1" applyBorder="1" applyAlignment="1" applyProtection="1">
      <alignment horizontal="center" vertical="center" wrapText="1"/>
      <protection hidden="1"/>
    </xf>
    <xf numFmtId="0" fontId="101" fillId="4" borderId="8" xfId="0" applyFont="1" applyFill="1" applyBorder="1" applyAlignment="1" applyProtection="1">
      <alignment horizontal="center" vertical="center" wrapText="1"/>
      <protection hidden="1"/>
    </xf>
    <xf numFmtId="0" fontId="101" fillId="4" borderId="153" xfId="0" applyFont="1" applyFill="1" applyBorder="1" applyAlignment="1" applyProtection="1">
      <alignment horizontal="center" vertical="center" wrapText="1"/>
      <protection hidden="1"/>
    </xf>
    <xf numFmtId="0" fontId="93" fillId="9" borderId="113" xfId="0" applyFont="1" applyFill="1" applyBorder="1" applyAlignment="1">
      <alignment horizontal="center" vertical="center" wrapText="1"/>
    </xf>
    <xf numFmtId="0" fontId="93" fillId="9" borderId="0" xfId="0" applyFont="1" applyFill="1" applyAlignment="1">
      <alignment horizontal="center" vertical="center" wrapText="1"/>
    </xf>
    <xf numFmtId="0" fontId="93" fillId="9" borderId="28" xfId="0" applyFont="1" applyFill="1" applyBorder="1" applyAlignment="1">
      <alignment horizontal="center" vertical="center" wrapText="1"/>
    </xf>
    <xf numFmtId="0" fontId="93" fillId="0" borderId="170" xfId="0" applyFont="1" applyBorder="1" applyAlignment="1" applyProtection="1">
      <alignment horizontal="right" vertical="center"/>
      <protection locked="0"/>
    </xf>
    <xf numFmtId="0" fontId="93" fillId="0" borderId="2" xfId="0" applyFont="1" applyBorder="1" applyAlignment="1" applyProtection="1">
      <alignment horizontal="right" vertical="center"/>
      <protection locked="0"/>
    </xf>
    <xf numFmtId="0" fontId="28" fillId="6" borderId="2" xfId="0" applyFont="1" applyFill="1" applyBorder="1" applyAlignment="1" applyProtection="1">
      <alignment horizontal="center" vertical="center"/>
      <protection locked="0"/>
    </xf>
    <xf numFmtId="0" fontId="34" fillId="6" borderId="2" xfId="0" applyFont="1" applyFill="1" applyBorder="1" applyAlignment="1" applyProtection="1">
      <alignment horizontal="center" vertical="center"/>
      <protection locked="0"/>
    </xf>
    <xf numFmtId="0" fontId="81" fillId="9" borderId="180" xfId="2" applyNumberFormat="1" applyFont="1" applyFill="1" applyBorder="1" applyAlignment="1" applyProtection="1">
      <alignment horizontal="center" vertical="center"/>
    </xf>
    <xf numFmtId="0" fontId="93" fillId="9" borderId="19" xfId="0" applyFont="1" applyFill="1" applyBorder="1" applyAlignment="1">
      <alignment horizontal="center" vertical="center"/>
    </xf>
    <xf numFmtId="0" fontId="93" fillId="9" borderId="0" xfId="0" applyFont="1" applyFill="1" applyAlignment="1">
      <alignment horizontal="center" vertical="center"/>
    </xf>
    <xf numFmtId="0" fontId="93" fillId="9" borderId="99" xfId="0" applyFont="1" applyFill="1" applyBorder="1" applyAlignment="1">
      <alignment horizontal="center" vertical="center"/>
    </xf>
    <xf numFmtId="0" fontId="93" fillId="9" borderId="171" xfId="0" applyFont="1" applyFill="1" applyBorder="1" applyAlignment="1">
      <alignment horizontal="right" vertical="center"/>
    </xf>
    <xf numFmtId="0" fontId="93" fillId="9" borderId="188" xfId="0" applyFont="1" applyFill="1" applyBorder="1" applyAlignment="1">
      <alignment horizontal="right" vertical="center"/>
    </xf>
    <xf numFmtId="0" fontId="9" fillId="0" borderId="2" xfId="0" applyFont="1" applyBorder="1" applyAlignment="1" applyProtection="1">
      <alignment horizontal="center" vertical="center"/>
      <protection locked="0"/>
    </xf>
    <xf numFmtId="8" fontId="97" fillId="9" borderId="180"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101" fillId="4" borderId="155" xfId="0" applyFont="1" applyFill="1" applyBorder="1" applyAlignment="1" applyProtection="1">
      <alignment horizontal="left" vertical="center"/>
      <protection hidden="1"/>
    </xf>
    <xf numFmtId="0" fontId="101" fillId="4" borderId="41" xfId="0" applyFont="1" applyFill="1" applyBorder="1" applyAlignment="1" applyProtection="1">
      <alignment horizontal="left" vertical="center"/>
      <protection hidden="1"/>
    </xf>
    <xf numFmtId="6" fontId="91" fillId="4" borderId="304" xfId="0" applyNumberFormat="1" applyFont="1" applyFill="1" applyBorder="1" applyAlignment="1" applyProtection="1">
      <alignment horizontal="center" vertical="center" wrapText="1"/>
      <protection hidden="1"/>
    </xf>
    <xf numFmtId="6" fontId="91" fillId="4" borderId="305" xfId="0" applyNumberFormat="1" applyFont="1" applyFill="1" applyBorder="1" applyAlignment="1" applyProtection="1">
      <alignment horizontal="center" vertical="center" wrapText="1"/>
      <protection hidden="1"/>
    </xf>
    <xf numFmtId="167" fontId="91" fillId="4" borderId="115" xfId="0" quotePrefix="1" applyNumberFormat="1" applyFont="1" applyFill="1" applyBorder="1" applyAlignment="1" applyProtection="1">
      <alignment horizontal="center" vertical="center" wrapText="1"/>
      <protection hidden="1"/>
    </xf>
    <xf numFmtId="167" fontId="91" fillId="4" borderId="225" xfId="0" quotePrefix="1" applyNumberFormat="1" applyFont="1" applyFill="1" applyBorder="1" applyAlignment="1" applyProtection="1">
      <alignment horizontal="center" vertical="center" wrapText="1"/>
      <protection hidden="1"/>
    </xf>
    <xf numFmtId="167" fontId="91" fillId="4" borderId="31" xfId="0" quotePrefix="1" applyNumberFormat="1" applyFont="1" applyFill="1" applyBorder="1" applyAlignment="1" applyProtection="1">
      <alignment horizontal="center" vertical="center" wrapText="1"/>
      <protection hidden="1"/>
    </xf>
    <xf numFmtId="167" fontId="91" fillId="4" borderId="174" xfId="0" quotePrefix="1" applyNumberFormat="1" applyFont="1" applyFill="1" applyBorder="1" applyAlignment="1" applyProtection="1">
      <alignment horizontal="center" vertical="center" wrapText="1"/>
      <protection hidden="1"/>
    </xf>
    <xf numFmtId="167" fontId="256" fillId="9" borderId="42" xfId="0" quotePrefix="1" applyNumberFormat="1" applyFont="1" applyFill="1" applyBorder="1" applyAlignment="1" applyProtection="1">
      <alignment horizontal="center" vertical="center" wrapText="1"/>
      <protection hidden="1"/>
    </xf>
    <xf numFmtId="167" fontId="256" fillId="9" borderId="173" xfId="0" quotePrefix="1" applyNumberFormat="1" applyFont="1" applyFill="1" applyBorder="1" applyAlignment="1" applyProtection="1">
      <alignment horizontal="center" vertical="center" wrapText="1"/>
      <protection hidden="1"/>
    </xf>
    <xf numFmtId="167" fontId="256" fillId="9" borderId="8" xfId="0" quotePrefix="1" applyNumberFormat="1" applyFont="1" applyFill="1" applyBorder="1" applyAlignment="1" applyProtection="1">
      <alignment horizontal="center" vertical="center" wrapText="1"/>
      <protection hidden="1"/>
    </xf>
    <xf numFmtId="167" fontId="256" fillId="9" borderId="153" xfId="0" quotePrefix="1" applyNumberFormat="1" applyFont="1" applyFill="1" applyBorder="1" applyAlignment="1" applyProtection="1">
      <alignment horizontal="center" vertical="center" wrapText="1"/>
      <protection hidden="1"/>
    </xf>
    <xf numFmtId="167" fontId="256" fillId="9" borderId="31" xfId="0" quotePrefix="1" applyNumberFormat="1" applyFont="1" applyFill="1" applyBorder="1" applyAlignment="1" applyProtection="1">
      <alignment horizontal="center" vertical="center" wrapText="1"/>
      <protection hidden="1"/>
    </xf>
    <xf numFmtId="167" fontId="256" fillId="9" borderId="174" xfId="0" quotePrefix="1" applyNumberFormat="1" applyFont="1" applyFill="1" applyBorder="1" applyAlignment="1" applyProtection="1">
      <alignment horizontal="center" vertical="center" wrapText="1"/>
      <protection hidden="1"/>
    </xf>
    <xf numFmtId="6" fontId="96" fillId="9" borderId="180" xfId="3" applyNumberFormat="1" applyFont="1" applyFill="1" applyBorder="1" applyAlignment="1" applyProtection="1">
      <alignment horizontal="center" vertical="center"/>
    </xf>
    <xf numFmtId="197" fontId="106" fillId="0" borderId="1" xfId="0" applyNumberFormat="1" applyFont="1" applyBorder="1" applyAlignment="1" applyProtection="1">
      <alignment horizontal="center" vertical="center"/>
      <protection locked="0"/>
    </xf>
    <xf numFmtId="197" fontId="106" fillId="0" borderId="146" xfId="0" applyNumberFormat="1" applyFont="1" applyBorder="1" applyAlignment="1" applyProtection="1">
      <alignment horizontal="center" vertical="center"/>
      <protection locked="0"/>
    </xf>
    <xf numFmtId="0" fontId="101" fillId="4" borderId="223" xfId="0" applyFont="1" applyFill="1" applyBorder="1" applyAlignment="1" applyProtection="1">
      <alignment horizontal="center" vertical="center"/>
      <protection hidden="1"/>
    </xf>
    <xf numFmtId="0" fontId="101" fillId="4" borderId="171" xfId="0" applyFont="1" applyFill="1" applyBorder="1" applyAlignment="1" applyProtection="1">
      <alignment horizontal="center" vertical="center"/>
      <protection hidden="1"/>
    </xf>
    <xf numFmtId="0" fontId="101" fillId="4" borderId="188" xfId="0" applyFont="1" applyFill="1" applyBorder="1" applyAlignment="1" applyProtection="1">
      <alignment horizontal="center" vertical="center"/>
      <protection hidden="1"/>
    </xf>
    <xf numFmtId="0" fontId="54" fillId="9" borderId="170" xfId="2" applyNumberFormat="1" applyFill="1" applyBorder="1" applyAlignment="1" applyProtection="1">
      <alignment horizontal="center" vertical="center"/>
      <protection hidden="1"/>
    </xf>
    <xf numFmtId="0" fontId="54" fillId="9" borderId="2" xfId="2" applyNumberFormat="1" applyFill="1" applyBorder="1" applyAlignment="1" applyProtection="1">
      <alignment horizontal="center" vertical="center"/>
      <protection hidden="1"/>
    </xf>
    <xf numFmtId="0" fontId="275" fillId="9" borderId="41" xfId="0" applyFont="1" applyFill="1" applyBorder="1" applyAlignment="1" applyProtection="1">
      <alignment horizontal="center" vertical="top" wrapText="1"/>
      <protection hidden="1"/>
    </xf>
    <xf numFmtId="0" fontId="275" fillId="9" borderId="2" xfId="0" applyFont="1" applyFill="1" applyBorder="1" applyAlignment="1" applyProtection="1">
      <alignment horizontal="center" vertical="top" wrapText="1"/>
      <protection hidden="1"/>
    </xf>
    <xf numFmtId="0" fontId="29" fillId="9" borderId="41" xfId="0" applyFont="1" applyFill="1" applyBorder="1" applyAlignment="1" applyProtection="1">
      <alignment horizontal="center" vertical="center" textRotation="90" wrapText="1"/>
      <protection hidden="1"/>
    </xf>
    <xf numFmtId="0" fontId="32" fillId="9" borderId="2" xfId="0" applyFont="1" applyFill="1" applyBorder="1" applyAlignment="1" applyProtection="1">
      <alignment horizontal="center" vertical="center" textRotation="90" wrapText="1"/>
      <protection hidden="1"/>
    </xf>
    <xf numFmtId="0" fontId="202" fillId="9" borderId="41" xfId="0" applyFont="1" applyFill="1" applyBorder="1" applyAlignment="1" applyProtection="1">
      <alignment horizontal="center" vertical="center" textRotation="90" wrapText="1"/>
      <protection hidden="1"/>
    </xf>
    <xf numFmtId="0" fontId="202" fillId="9" borderId="2" xfId="0" applyFont="1" applyFill="1" applyBorder="1" applyAlignment="1" applyProtection="1">
      <alignment horizontal="center" vertical="center" textRotation="90" wrapText="1"/>
      <protection hidden="1"/>
    </xf>
    <xf numFmtId="0" fontId="33" fillId="9" borderId="41"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wrapText="1"/>
      <protection hidden="1"/>
    </xf>
    <xf numFmtId="0" fontId="91" fillId="4" borderId="130" xfId="0" applyFont="1" applyFill="1" applyBorder="1" applyAlignment="1" applyProtection="1">
      <alignment horizontal="center" vertical="center" wrapText="1"/>
      <protection hidden="1"/>
    </xf>
    <xf numFmtId="0" fontId="93" fillId="0" borderId="1" xfId="0" applyFont="1" applyBorder="1" applyAlignment="1" applyProtection="1">
      <alignment horizontal="center" vertical="center"/>
      <protection locked="0"/>
    </xf>
    <xf numFmtId="0" fontId="93" fillId="0" borderId="9" xfId="0" applyFont="1" applyBorder="1" applyAlignment="1" applyProtection="1">
      <alignment horizontal="center" vertical="center"/>
      <protection locked="0"/>
    </xf>
    <xf numFmtId="0" fontId="93" fillId="0" borderId="10" xfId="0" applyFont="1" applyBorder="1" applyAlignment="1" applyProtection="1">
      <alignment horizontal="center" vertical="center"/>
      <protection locked="0"/>
    </xf>
    <xf numFmtId="0" fontId="93" fillId="9" borderId="2" xfId="0" applyFont="1" applyFill="1" applyBorder="1" applyAlignment="1">
      <alignment horizontal="center" vertical="center" wrapText="1"/>
    </xf>
    <xf numFmtId="8" fontId="93" fillId="4" borderId="187" xfId="0" applyNumberFormat="1" applyFont="1" applyFill="1" applyBorder="1" applyAlignment="1" applyProtection="1">
      <alignment horizontal="center" vertical="center"/>
      <protection hidden="1"/>
    </xf>
    <xf numFmtId="8" fontId="93" fillId="4" borderId="113" xfId="0" applyNumberFormat="1" applyFont="1" applyFill="1" applyBorder="1" applyAlignment="1" applyProtection="1">
      <alignment horizontal="center" vertical="center"/>
      <protection hidden="1"/>
    </xf>
    <xf numFmtId="0" fontId="93" fillId="9" borderId="12" xfId="0" applyFont="1" applyFill="1" applyBorder="1" applyAlignment="1">
      <alignment horizontal="center" vertical="center" wrapText="1"/>
    </xf>
    <xf numFmtId="0" fontId="93" fillId="9" borderId="41" xfId="0" applyFont="1" applyFill="1" applyBorder="1" applyAlignment="1">
      <alignment horizontal="center" vertical="center" wrapText="1"/>
    </xf>
    <xf numFmtId="0" fontId="101" fillId="28" borderId="31" xfId="0" applyFont="1" applyFill="1" applyBorder="1" applyAlignment="1" applyProtection="1">
      <alignment horizontal="center" vertical="center"/>
      <protection hidden="1"/>
    </xf>
    <xf numFmtId="0" fontId="101" fillId="28" borderId="28" xfId="0" applyFont="1" applyFill="1" applyBorder="1" applyAlignment="1" applyProtection="1">
      <alignment horizontal="center" vertical="center"/>
      <protection hidden="1"/>
    </xf>
    <xf numFmtId="0" fontId="101" fillId="28" borderId="174" xfId="0" applyFont="1" applyFill="1" applyBorder="1" applyAlignment="1" applyProtection="1">
      <alignment horizontal="center" vertical="center"/>
      <protection hidden="1"/>
    </xf>
    <xf numFmtId="197" fontId="106" fillId="0" borderId="10" xfId="0" applyNumberFormat="1" applyFont="1" applyBorder="1" applyAlignment="1" applyProtection="1">
      <alignment horizontal="center" vertical="center"/>
      <protection locked="0"/>
    </xf>
    <xf numFmtId="0" fontId="91" fillId="10" borderId="220" xfId="0" applyFont="1" applyFill="1" applyBorder="1" applyAlignment="1">
      <alignment horizontal="center" vertical="center"/>
    </xf>
    <xf numFmtId="0" fontId="91" fillId="10" borderId="79" xfId="0" applyFont="1" applyFill="1" applyBorder="1" applyAlignment="1">
      <alignment horizontal="center" vertical="center"/>
    </xf>
    <xf numFmtId="0" fontId="91" fillId="10" borderId="111" xfId="0" applyFont="1" applyFill="1" applyBorder="1" applyAlignment="1">
      <alignment horizontal="center" vertical="center"/>
    </xf>
    <xf numFmtId="0" fontId="91" fillId="10" borderId="224" xfId="0" applyFont="1" applyFill="1" applyBorder="1" applyAlignment="1" applyProtection="1">
      <alignment horizontal="center" vertical="center"/>
      <protection hidden="1"/>
    </xf>
    <xf numFmtId="0" fontId="91" fillId="10" borderId="23" xfId="0" applyFont="1" applyFill="1" applyBorder="1" applyAlignment="1" applyProtection="1">
      <alignment horizontal="center" vertical="center"/>
      <protection hidden="1"/>
    </xf>
    <xf numFmtId="0" fontId="91" fillId="10" borderId="84" xfId="0" applyFont="1" applyFill="1" applyBorder="1" applyAlignment="1" applyProtection="1">
      <alignment horizontal="center" vertical="center"/>
      <protection hidden="1"/>
    </xf>
    <xf numFmtId="0" fontId="256" fillId="9" borderId="41" xfId="0" applyFont="1" applyFill="1" applyBorder="1" applyAlignment="1" applyProtection="1">
      <alignment horizontal="center" vertical="center" wrapText="1"/>
      <protection hidden="1"/>
    </xf>
    <xf numFmtId="0" fontId="256" fillId="9" borderId="2" xfId="0" applyFont="1" applyFill="1" applyBorder="1" applyAlignment="1" applyProtection="1">
      <alignment horizontal="center" vertical="center" wrapText="1"/>
      <protection hidden="1"/>
    </xf>
    <xf numFmtId="0" fontId="93" fillId="9" borderId="0" xfId="0" applyFont="1" applyFill="1" applyAlignment="1" applyProtection="1">
      <alignment horizontal="center" vertical="center" wrapText="1"/>
      <protection locked="0"/>
    </xf>
    <xf numFmtId="0" fontId="93" fillId="9" borderId="99" xfId="0" applyFont="1" applyFill="1" applyBorder="1" applyAlignment="1">
      <alignment horizontal="center" vertical="center" wrapText="1"/>
    </xf>
    <xf numFmtId="0" fontId="107" fillId="9" borderId="0" xfId="0" applyFont="1" applyFill="1" applyAlignment="1">
      <alignment horizontal="center" vertical="center"/>
    </xf>
    <xf numFmtId="0" fontId="97" fillId="9" borderId="153" xfId="0" applyFont="1" applyFill="1" applyBorder="1" applyAlignment="1">
      <alignment horizontal="center" vertical="center" textRotation="90"/>
    </xf>
    <xf numFmtId="0" fontId="103" fillId="9" borderId="167" xfId="0" applyFont="1" applyFill="1" applyBorder="1" applyAlignment="1">
      <alignment horizontal="right" vertical="top"/>
    </xf>
    <xf numFmtId="0" fontId="103" fillId="9" borderId="168" xfId="0" applyFont="1" applyFill="1" applyBorder="1" applyAlignment="1">
      <alignment horizontal="right" vertical="top"/>
    </xf>
    <xf numFmtId="0" fontId="202" fillId="9" borderId="185" xfId="0" applyFont="1" applyFill="1" applyBorder="1" applyAlignment="1" applyProtection="1">
      <alignment horizontal="center" vertical="center" wrapText="1"/>
      <protection hidden="1"/>
    </xf>
    <xf numFmtId="0" fontId="202" fillId="9" borderId="0" xfId="0" applyFont="1" applyFill="1" applyAlignment="1" applyProtection="1">
      <alignment horizontal="center" vertical="center" wrapText="1"/>
      <protection hidden="1"/>
    </xf>
    <xf numFmtId="0" fontId="202" fillId="9" borderId="99" xfId="0" applyFont="1" applyFill="1" applyBorder="1" applyAlignment="1" applyProtection="1">
      <alignment horizontal="center" vertical="center" wrapText="1"/>
      <protection hidden="1"/>
    </xf>
    <xf numFmtId="0" fontId="202" fillId="9" borderId="182" xfId="0" applyFont="1" applyFill="1" applyBorder="1" applyAlignment="1" applyProtection="1">
      <alignment horizontal="center" vertical="center" wrapText="1"/>
      <protection hidden="1"/>
    </xf>
    <xf numFmtId="0" fontId="202" fillId="9" borderId="28" xfId="0" applyFont="1" applyFill="1" applyBorder="1" applyAlignment="1" applyProtection="1">
      <alignment horizontal="center" vertical="center" wrapText="1"/>
      <protection hidden="1"/>
    </xf>
    <xf numFmtId="0" fontId="202" fillId="9" borderId="56"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textRotation="90" wrapText="1"/>
      <protection hidden="1"/>
    </xf>
    <xf numFmtId="0" fontId="97" fillId="9" borderId="176" xfId="0" applyFont="1" applyFill="1" applyBorder="1" applyAlignment="1">
      <alignment horizontal="right" vertical="center"/>
    </xf>
    <xf numFmtId="0" fontId="97" fillId="9" borderId="210" xfId="0" applyFont="1" applyFill="1" applyBorder="1" applyAlignment="1">
      <alignment horizontal="right" vertical="center"/>
    </xf>
    <xf numFmtId="0" fontId="97" fillId="9" borderId="179" xfId="0" applyFont="1" applyFill="1" applyBorder="1" applyAlignment="1">
      <alignment horizontal="right" vertical="center" wrapText="1"/>
    </xf>
    <xf numFmtId="0" fontId="97" fillId="9" borderId="180" xfId="0" applyFont="1" applyFill="1" applyBorder="1" applyAlignment="1">
      <alignment horizontal="right" vertical="center" wrapText="1"/>
    </xf>
    <xf numFmtId="0" fontId="97" fillId="9" borderId="211" xfId="0" applyFont="1" applyFill="1" applyBorder="1" applyAlignment="1">
      <alignment horizontal="right" vertical="center" wrapText="1"/>
    </xf>
    <xf numFmtId="0" fontId="97" fillId="9" borderId="212" xfId="0" applyFont="1" applyFill="1" applyBorder="1" applyAlignment="1">
      <alignment horizontal="right" vertical="center" wrapText="1"/>
    </xf>
    <xf numFmtId="0" fontId="97" fillId="9" borderId="184" xfId="0" applyFont="1" applyFill="1" applyBorder="1" applyAlignment="1">
      <alignment horizontal="right" vertical="center" wrapText="1"/>
    </xf>
    <xf numFmtId="0" fontId="97" fillId="9" borderId="213" xfId="0" applyFont="1" applyFill="1" applyBorder="1" applyAlignment="1">
      <alignment horizontal="right" vertical="center" wrapText="1"/>
    </xf>
    <xf numFmtId="8" fontId="93" fillId="4" borderId="28" xfId="0" applyNumberFormat="1" applyFont="1" applyFill="1" applyBorder="1" applyAlignment="1">
      <alignment horizontal="center" vertical="center"/>
    </xf>
    <xf numFmtId="8" fontId="93" fillId="4" borderId="174" xfId="0" applyNumberFormat="1" applyFont="1" applyFill="1" applyBorder="1" applyAlignment="1">
      <alignment horizontal="center" vertical="center"/>
    </xf>
    <xf numFmtId="0" fontId="91" fillId="9" borderId="12" xfId="0" applyFont="1" applyFill="1" applyBorder="1" applyAlignment="1">
      <alignment horizontal="center" textRotation="90" wrapText="1"/>
    </xf>
    <xf numFmtId="0" fontId="91" fillId="9" borderId="108" xfId="0" applyFont="1" applyFill="1" applyBorder="1" applyAlignment="1">
      <alignment horizontal="center" textRotation="90" wrapText="1"/>
    </xf>
    <xf numFmtId="0" fontId="91" fillId="9" borderId="41" xfId="0" applyFont="1" applyFill="1" applyBorder="1" applyAlignment="1">
      <alignment horizontal="center" textRotation="90" wrapText="1"/>
    </xf>
    <xf numFmtId="0" fontId="33" fillId="9" borderId="2" xfId="0" applyFont="1" applyFill="1" applyBorder="1" applyAlignment="1" applyProtection="1">
      <alignment horizontal="center" vertical="center"/>
      <protection hidden="1"/>
    </xf>
    <xf numFmtId="10" fontId="138" fillId="9" borderId="2" xfId="0" applyNumberFormat="1" applyFont="1" applyFill="1" applyBorder="1" applyAlignment="1" applyProtection="1">
      <alignment horizontal="center" vertical="center"/>
      <protection hidden="1"/>
    </xf>
    <xf numFmtId="0" fontId="138" fillId="9" borderId="2" xfId="0" applyFont="1" applyFill="1" applyBorder="1" applyAlignment="1" applyProtection="1">
      <alignment horizontal="center" vertical="center"/>
      <protection hidden="1"/>
    </xf>
    <xf numFmtId="0" fontId="31" fillId="9" borderId="41" xfId="0" applyFont="1" applyFill="1" applyBorder="1" applyAlignment="1" applyProtection="1">
      <alignment horizontal="center" vertical="center" textRotation="90" wrapText="1"/>
      <protection hidden="1"/>
    </xf>
    <xf numFmtId="0" fontId="93" fillId="9" borderId="303" xfId="0" applyFont="1" applyFill="1" applyBorder="1" applyAlignment="1">
      <alignment horizontal="center" vertical="center"/>
    </xf>
    <xf numFmtId="0" fontId="93" fillId="9" borderId="213" xfId="0" applyFont="1" applyFill="1" applyBorder="1" applyAlignment="1">
      <alignment horizontal="center" vertical="center"/>
    </xf>
    <xf numFmtId="0" fontId="91" fillId="10" borderId="224" xfId="0" applyFont="1" applyFill="1" applyBorder="1" applyAlignment="1" applyProtection="1">
      <alignment horizontal="center" vertical="center" wrapText="1"/>
      <protection hidden="1"/>
    </xf>
    <xf numFmtId="0" fontId="91" fillId="10" borderId="23" xfId="0" applyFont="1" applyFill="1" applyBorder="1" applyAlignment="1" applyProtection="1">
      <alignment horizontal="center" vertical="center" wrapText="1"/>
      <protection hidden="1"/>
    </xf>
    <xf numFmtId="0" fontId="91" fillId="10" borderId="84" xfId="0" applyFont="1" applyFill="1" applyBorder="1" applyAlignment="1" applyProtection="1">
      <alignment horizontal="center" vertical="center" wrapText="1"/>
      <protection hidden="1"/>
    </xf>
    <xf numFmtId="0" fontId="91" fillId="10" borderId="182" xfId="0" applyFont="1" applyFill="1" applyBorder="1" applyAlignment="1" applyProtection="1">
      <alignment horizontal="center" vertical="center" wrapText="1"/>
      <protection hidden="1"/>
    </xf>
    <xf numFmtId="0" fontId="91" fillId="10" borderId="28" xfId="0" applyFont="1" applyFill="1" applyBorder="1" applyAlignment="1" applyProtection="1">
      <alignment horizontal="center" vertical="center" wrapText="1"/>
      <protection hidden="1"/>
    </xf>
    <xf numFmtId="0" fontId="91" fillId="10" borderId="56" xfId="0" applyFont="1" applyFill="1" applyBorder="1" applyAlignment="1" applyProtection="1">
      <alignment horizontal="center" vertical="center" wrapText="1"/>
      <protection hidden="1"/>
    </xf>
    <xf numFmtId="0" fontId="256" fillId="9" borderId="155" xfId="0" applyFont="1" applyFill="1" applyBorder="1" applyAlignment="1" applyProtection="1">
      <alignment horizontal="center" vertical="center" wrapText="1"/>
      <protection hidden="1"/>
    </xf>
    <xf numFmtId="0" fontId="256" fillId="9" borderId="170" xfId="0" applyFont="1" applyFill="1" applyBorder="1" applyAlignment="1" applyProtection="1">
      <alignment horizontal="center" vertical="center" wrapText="1"/>
      <protection hidden="1"/>
    </xf>
    <xf numFmtId="0" fontId="103" fillId="9" borderId="177" xfId="0" applyFont="1" applyFill="1" applyBorder="1" applyAlignment="1">
      <alignment horizontal="right" vertical="top" wrapText="1"/>
    </xf>
    <xf numFmtId="0" fontId="103" fillId="9" borderId="131" xfId="0" applyFont="1" applyFill="1" applyBorder="1" applyAlignment="1">
      <alignment horizontal="right" vertical="top" wrapText="1"/>
    </xf>
    <xf numFmtId="0" fontId="91" fillId="9" borderId="0" xfId="0" applyFont="1" applyFill="1" applyAlignment="1">
      <alignment horizontal="center" vertical="center" textRotation="90"/>
    </xf>
    <xf numFmtId="0" fontId="24" fillId="9" borderId="41" xfId="0" applyFont="1" applyFill="1" applyBorder="1" applyAlignment="1" applyProtection="1">
      <alignment horizontal="center" vertical="center" textRotation="90" wrapText="1"/>
      <protection hidden="1"/>
    </xf>
    <xf numFmtId="0" fontId="106" fillId="9" borderId="155" xfId="0" applyFont="1" applyFill="1" applyBorder="1" applyAlignment="1" applyProtection="1">
      <alignment horizontal="center" vertical="center" textRotation="90" wrapText="1"/>
      <protection hidden="1"/>
    </xf>
    <xf numFmtId="0" fontId="32" fillId="9" borderId="170" xfId="0" applyFont="1" applyFill="1" applyBorder="1" applyAlignment="1" applyProtection="1">
      <alignment horizontal="center" vertical="center" textRotation="90" wrapText="1"/>
      <protection hidden="1"/>
    </xf>
    <xf numFmtId="0" fontId="106" fillId="9" borderId="41" xfId="0" applyFont="1" applyFill="1" applyBorder="1" applyAlignment="1" applyProtection="1">
      <alignment horizontal="center" vertical="center" wrapText="1"/>
      <protection hidden="1"/>
    </xf>
    <xf numFmtId="0" fontId="32" fillId="9" borderId="2"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wrapText="1"/>
      <protection hidden="1"/>
    </xf>
    <xf numFmtId="0" fontId="101" fillId="9" borderId="179" xfId="0" applyFont="1" applyFill="1" applyBorder="1" applyAlignment="1">
      <alignment horizontal="center" vertical="center"/>
    </xf>
    <xf numFmtId="0" fontId="101" fillId="9" borderId="180" xfId="0" applyFont="1" applyFill="1" applyBorder="1" applyAlignment="1">
      <alignment horizontal="center" vertical="center"/>
    </xf>
    <xf numFmtId="0" fontId="101" fillId="9" borderId="185" xfId="0" applyFont="1" applyFill="1" applyBorder="1" applyAlignment="1">
      <alignment horizontal="center" vertical="center"/>
    </xf>
    <xf numFmtId="0" fontId="101" fillId="9" borderId="0" xfId="0" applyFont="1" applyFill="1" applyAlignment="1">
      <alignment horizontal="center" vertical="center"/>
    </xf>
    <xf numFmtId="0" fontId="95" fillId="9" borderId="189" xfId="0" applyFont="1" applyFill="1" applyBorder="1" applyAlignment="1">
      <alignment horizontal="center" wrapText="1"/>
    </xf>
    <xf numFmtId="0" fontId="95" fillId="9" borderId="180" xfId="0" applyFont="1" applyFill="1" applyBorder="1" applyAlignment="1">
      <alignment horizontal="center" wrapText="1"/>
    </xf>
    <xf numFmtId="0" fontId="95" fillId="9" borderId="181" xfId="0" applyFont="1" applyFill="1" applyBorder="1" applyAlignment="1">
      <alignment horizontal="center" wrapText="1"/>
    </xf>
    <xf numFmtId="0" fontId="95" fillId="9" borderId="8" xfId="0" applyFont="1" applyFill="1" applyBorder="1" applyAlignment="1">
      <alignment horizontal="center" wrapText="1"/>
    </xf>
    <xf numFmtId="0" fontId="95" fillId="9" borderId="0" xfId="0" applyFont="1" applyFill="1" applyAlignment="1">
      <alignment horizontal="center" wrapText="1"/>
    </xf>
    <xf numFmtId="0" fontId="95" fillId="9" borderId="153" xfId="0" applyFont="1" applyFill="1" applyBorder="1" applyAlignment="1">
      <alignment horizontal="center" wrapText="1"/>
    </xf>
    <xf numFmtId="0" fontId="91" fillId="9" borderId="31" xfId="0" applyFont="1" applyFill="1" applyBorder="1" applyAlignment="1">
      <alignment horizontal="center" vertical="center"/>
    </xf>
    <xf numFmtId="0" fontId="91" fillId="9" borderId="28" xfId="0" applyFont="1" applyFill="1" applyBorder="1" applyAlignment="1">
      <alignment horizontal="center" vertical="center"/>
    </xf>
    <xf numFmtId="0" fontId="91" fillId="9" borderId="174" xfId="0" applyFont="1" applyFill="1" applyBorder="1" applyAlignment="1">
      <alignment horizontal="center" vertical="center"/>
    </xf>
    <xf numFmtId="0" fontId="113" fillId="4" borderId="182" xfId="0" applyFont="1" applyFill="1" applyBorder="1" applyAlignment="1">
      <alignment horizontal="center" vertical="center"/>
    </xf>
    <xf numFmtId="0" fontId="113"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01" fillId="9" borderId="170" xfId="0" applyFon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101" fillId="9" borderId="130" xfId="0" applyFont="1" applyFill="1" applyBorder="1" applyAlignment="1" applyProtection="1">
      <alignment horizontal="center" vertical="center"/>
      <protection hidden="1"/>
    </xf>
    <xf numFmtId="8" fontId="202" fillId="0" borderId="170" xfId="0" applyNumberFormat="1" applyFont="1" applyBorder="1" applyAlignment="1" applyProtection="1">
      <alignment horizontal="center" vertical="center"/>
      <protection locked="0"/>
    </xf>
    <xf numFmtId="8" fontId="202" fillId="0" borderId="2" xfId="0" applyNumberFormat="1" applyFont="1" applyBorder="1" applyAlignment="1" applyProtection="1">
      <alignment horizontal="center" vertical="center"/>
      <protection locked="0"/>
    </xf>
    <xf numFmtId="8" fontId="202" fillId="0" borderId="130" xfId="0" applyNumberFormat="1" applyFont="1" applyBorder="1" applyAlignment="1" applyProtection="1">
      <alignment horizontal="center" vertical="center"/>
      <protection locked="0"/>
    </xf>
    <xf numFmtId="8" fontId="157" fillId="4" borderId="187" xfId="2" applyNumberFormat="1" applyFont="1" applyFill="1" applyBorder="1" applyAlignment="1" applyProtection="1">
      <alignment horizontal="center" vertical="center" wrapText="1"/>
    </xf>
    <xf numFmtId="8" fontId="157" fillId="4" borderId="113" xfId="2" applyNumberFormat="1" applyFont="1" applyFill="1" applyBorder="1" applyAlignment="1" applyProtection="1">
      <alignment horizontal="center" vertical="center" wrapText="1"/>
    </xf>
    <xf numFmtId="8" fontId="157" fillId="4" borderId="173" xfId="2" applyNumberFormat="1" applyFont="1" applyFill="1" applyBorder="1" applyAlignment="1" applyProtection="1">
      <alignment horizontal="center" vertical="center" wrapText="1"/>
    </xf>
    <xf numFmtId="0" fontId="93" fillId="9" borderId="1" xfId="0" applyFont="1" applyFill="1" applyBorder="1" applyAlignment="1" applyProtection="1">
      <alignment horizontal="center" vertical="center"/>
      <protection hidden="1"/>
    </xf>
    <xf numFmtId="0" fontId="21" fillId="9" borderId="41" xfId="0" applyFont="1" applyFill="1" applyBorder="1" applyAlignment="1" applyProtection="1">
      <alignment horizontal="center" vertical="center" textRotation="90" wrapText="1"/>
      <protection hidden="1"/>
    </xf>
    <xf numFmtId="0" fontId="15" fillId="9" borderId="41" xfId="0" applyFont="1" applyFill="1" applyBorder="1" applyAlignment="1" applyProtection="1">
      <alignment horizontal="center" vertical="center" textRotation="90" wrapText="1"/>
      <protection hidden="1"/>
    </xf>
    <xf numFmtId="190" fontId="106" fillId="0" borderId="130" xfId="0" applyNumberFormat="1" applyFont="1" applyBorder="1" applyAlignment="1" applyProtection="1">
      <alignment horizontal="center" vertical="center"/>
      <protection locked="0"/>
    </xf>
    <xf numFmtId="0" fontId="112" fillId="4" borderId="0" xfId="0" applyFont="1" applyFill="1" applyAlignment="1">
      <alignment horizontal="center" textRotation="180" wrapText="1"/>
    </xf>
    <xf numFmtId="0" fontId="101" fillId="23" borderId="2" xfId="0" applyFont="1" applyFill="1" applyBorder="1" applyAlignment="1" applyProtection="1">
      <alignment horizontal="left" vertical="center"/>
      <protection hidden="1"/>
    </xf>
    <xf numFmtId="0" fontId="101" fillId="23" borderId="130" xfId="0" applyFont="1" applyFill="1" applyBorder="1" applyAlignment="1" applyProtection="1">
      <alignment horizontal="left" vertical="center"/>
      <protection hidden="1"/>
    </xf>
    <xf numFmtId="0" fontId="101" fillId="4" borderId="179" xfId="0" applyFont="1" applyFill="1" applyBorder="1" applyAlignment="1">
      <alignment horizontal="center" vertical="center"/>
    </xf>
    <xf numFmtId="0" fontId="101" fillId="4" borderId="180" xfId="0" applyFont="1" applyFill="1" applyBorder="1" applyAlignment="1">
      <alignment horizontal="center" vertical="center"/>
    </xf>
    <xf numFmtId="0" fontId="101" fillId="4" borderId="211" xfId="0" applyFont="1" applyFill="1" applyBorder="1" applyAlignment="1">
      <alignment horizontal="center" vertical="center"/>
    </xf>
    <xf numFmtId="0" fontId="131" fillId="9" borderId="205" xfId="0" applyFont="1" applyFill="1" applyBorder="1" applyAlignment="1">
      <alignment horizontal="right" vertical="center"/>
    </xf>
    <xf numFmtId="0" fontId="131" fillId="9" borderId="74" xfId="0" applyFont="1" applyFill="1" applyBorder="1" applyAlignment="1">
      <alignment horizontal="right" vertical="center"/>
    </xf>
    <xf numFmtId="0" fontId="204" fillId="9" borderId="206" xfId="0" applyFont="1" applyFill="1" applyBorder="1" applyAlignment="1">
      <alignment horizontal="right" vertical="center" wrapText="1"/>
    </xf>
    <xf numFmtId="0" fontId="204" fillId="9" borderId="67" xfId="0" applyFont="1" applyFill="1" applyBorder="1" applyAlignment="1">
      <alignment horizontal="right" vertical="center" wrapText="1"/>
    </xf>
    <xf numFmtId="0" fontId="93" fillId="9" borderId="41" xfId="0" applyFont="1" applyFill="1" applyBorder="1" applyAlignment="1">
      <alignment horizontal="center" vertical="center"/>
    </xf>
    <xf numFmtId="8" fontId="101" fillId="28" borderId="2" xfId="0" applyNumberFormat="1" applyFont="1" applyFill="1" applyBorder="1" applyAlignment="1">
      <alignment horizontal="center" vertical="center" wrapText="1"/>
    </xf>
    <xf numFmtId="8" fontId="101" fillId="28" borderId="130" xfId="0" applyNumberFormat="1" applyFont="1" applyFill="1" applyBorder="1" applyAlignment="1">
      <alignment horizontal="center" vertical="center" wrapText="1"/>
    </xf>
    <xf numFmtId="8" fontId="200" fillId="9" borderId="2" xfId="0" applyNumberFormat="1" applyFont="1" applyFill="1" applyBorder="1" applyAlignment="1">
      <alignment horizontal="center" vertical="center"/>
    </xf>
    <xf numFmtId="8" fontId="93" fillId="9" borderId="2" xfId="0" applyNumberFormat="1" applyFont="1" applyFill="1" applyBorder="1" applyAlignment="1">
      <alignment horizontal="center" vertical="center"/>
    </xf>
    <xf numFmtId="8" fontId="93" fillId="9" borderId="130" xfId="0" applyNumberFormat="1" applyFont="1" applyFill="1" applyBorder="1" applyAlignment="1">
      <alignment horizontal="center" vertical="center"/>
    </xf>
    <xf numFmtId="0" fontId="112" fillId="4" borderId="0" xfId="0" applyFont="1" applyFill="1" applyAlignment="1">
      <alignment horizontal="center" vertical="center" textRotation="180" wrapText="1"/>
    </xf>
    <xf numFmtId="0" fontId="93" fillId="9" borderId="31" xfId="0" applyFont="1" applyFill="1" applyBorder="1" applyAlignment="1">
      <alignment horizontal="center" vertical="center"/>
    </xf>
    <xf numFmtId="0" fontId="93" fillId="9" borderId="1" xfId="0" applyFont="1" applyFill="1" applyBorder="1" applyAlignment="1">
      <alignment horizontal="center" vertic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98" fillId="0" borderId="43" xfId="0" applyFont="1" applyBorder="1" applyAlignment="1">
      <alignment horizontal="center" vertical="center"/>
    </xf>
    <xf numFmtId="0" fontId="98" fillId="0" borderId="23" xfId="0" applyFont="1" applyBorder="1" applyAlignment="1">
      <alignment horizontal="center" vertical="center"/>
    </xf>
    <xf numFmtId="0" fontId="98" fillId="0" borderId="44" xfId="0" applyFont="1" applyBorder="1" applyAlignment="1">
      <alignment horizontal="center" vertical="center"/>
    </xf>
    <xf numFmtId="0" fontId="98" fillId="0" borderId="16" xfId="0" applyFont="1" applyBorder="1" applyAlignment="1">
      <alignment horizontal="center" vertical="center"/>
    </xf>
    <xf numFmtId="0" fontId="98" fillId="0" borderId="18" xfId="0" applyFont="1" applyBorder="1" applyAlignment="1">
      <alignment horizontal="center" vertical="center"/>
    </xf>
    <xf numFmtId="0" fontId="98" fillId="0" borderId="39" xfId="0" applyFont="1" applyBorder="1" applyAlignment="1">
      <alignment horizontal="center" vertical="center"/>
    </xf>
    <xf numFmtId="0" fontId="91" fillId="0" borderId="24" xfId="0" applyFont="1" applyBorder="1" applyAlignment="1">
      <alignment horizontal="center"/>
    </xf>
    <xf numFmtId="0" fontId="91" fillId="0" borderId="21" xfId="0" applyFont="1" applyBorder="1" applyAlignment="1">
      <alignment horizontal="center"/>
    </xf>
    <xf numFmtId="0" fontId="91" fillId="0" borderId="22" xfId="0" applyFont="1" applyBorder="1" applyAlignment="1">
      <alignment horizontal="center"/>
    </xf>
    <xf numFmtId="0" fontId="75" fillId="4" borderId="243" xfId="0" applyFont="1" applyFill="1" applyBorder="1" applyAlignment="1" applyProtection="1">
      <alignment horizontal="right" vertical="center" wrapText="1"/>
      <protection hidden="1"/>
    </xf>
    <xf numFmtId="0" fontId="75"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93" fillId="3" borderId="10" xfId="0" applyFont="1" applyFill="1" applyBorder="1" applyAlignment="1">
      <alignment horizontal="right" vertical="center"/>
    </xf>
    <xf numFmtId="0" fontId="93" fillId="3" borderId="3" xfId="0" applyFont="1" applyFill="1" applyBorder="1" applyAlignment="1">
      <alignment horizontal="right" vertical="center"/>
    </xf>
    <xf numFmtId="10" fontId="95" fillId="4" borderId="10" xfId="3" applyNumberFormat="1" applyFont="1" applyFill="1" applyBorder="1" applyAlignment="1" applyProtection="1">
      <alignment horizontal="center" vertical="center" wrapText="1"/>
      <protection hidden="1"/>
    </xf>
    <xf numFmtId="10" fontId="95" fillId="4" borderId="3" xfId="3" applyNumberFormat="1" applyFont="1" applyFill="1" applyBorder="1" applyAlignment="1" applyProtection="1">
      <alignment horizontal="center" vertical="center" wrapText="1"/>
      <protection hidden="1"/>
    </xf>
    <xf numFmtId="0" fontId="130" fillId="3" borderId="65" xfId="0" applyFont="1" applyFill="1" applyBorder="1" applyAlignment="1" applyProtection="1">
      <alignment horizontal="center"/>
      <protection hidden="1"/>
    </xf>
    <xf numFmtId="0" fontId="130" fillId="3" borderId="20" xfId="0" applyFont="1" applyFill="1" applyBorder="1" applyAlignment="1" applyProtection="1">
      <alignment horizontal="center"/>
      <protection hidden="1"/>
    </xf>
    <xf numFmtId="0" fontId="100" fillId="3" borderId="18" xfId="0" applyFont="1" applyFill="1" applyBorder="1" applyAlignment="1" applyProtection="1">
      <alignment horizontal="center" vertical="center"/>
      <protection hidden="1"/>
    </xf>
    <xf numFmtId="0" fontId="226" fillId="5" borderId="43" xfId="0" applyFont="1" applyFill="1" applyBorder="1" applyAlignment="1" applyProtection="1">
      <alignment horizontal="center" vertical="center" wrapText="1"/>
      <protection hidden="1"/>
    </xf>
    <xf numFmtId="0" fontId="107" fillId="5" borderId="23" xfId="0" applyFont="1" applyFill="1" applyBorder="1" applyAlignment="1" applyProtection="1">
      <alignment horizontal="center"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96" fillId="4" borderId="50" xfId="0" applyFont="1" applyFill="1" applyBorder="1" applyAlignment="1" applyProtection="1">
      <alignment horizontal="left" vertical="center"/>
      <protection hidden="1"/>
    </xf>
    <xf numFmtId="0" fontId="91" fillId="0" borderId="65" xfId="0" applyFont="1" applyBorder="1" applyAlignment="1">
      <alignment horizontal="center" vertical="center" wrapText="1"/>
    </xf>
    <xf numFmtId="0" fontId="91" fillId="0" borderId="20" xfId="0" applyFont="1" applyBorder="1" applyAlignment="1">
      <alignment horizontal="center" vertical="center" wrapText="1"/>
    </xf>
    <xf numFmtId="0" fontId="0" fillId="4" borderId="17" xfId="0" applyFill="1" applyBorder="1" applyAlignment="1" applyProtection="1">
      <alignment horizontal="right" vertical="center"/>
      <protection hidden="1"/>
    </xf>
    <xf numFmtId="0" fontId="95" fillId="4" borderId="54" xfId="0" applyFont="1" applyFill="1" applyBorder="1" applyAlignment="1" applyProtection="1">
      <alignment horizontal="center" vertical="center" wrapText="1"/>
      <protection hidden="1"/>
    </xf>
    <xf numFmtId="0" fontId="95" fillId="4" borderId="58" xfId="0" applyFont="1" applyFill="1" applyBorder="1" applyAlignment="1" applyProtection="1">
      <alignment horizontal="center" vertical="center" wrapText="1"/>
      <protection hidden="1"/>
    </xf>
    <xf numFmtId="0" fontId="95" fillId="4" borderId="30" xfId="0" applyFont="1" applyFill="1" applyBorder="1" applyAlignment="1" applyProtection="1">
      <alignment horizontal="center" vertical="center" wrapText="1"/>
      <protection hidden="1"/>
    </xf>
    <xf numFmtId="0" fontId="95" fillId="4" borderId="57" xfId="0" applyFont="1" applyFill="1" applyBorder="1" applyAlignment="1" applyProtection="1">
      <alignment horizontal="center" vertical="center" wrapText="1"/>
      <protection hidden="1"/>
    </xf>
    <xf numFmtId="0" fontId="96" fillId="4" borderId="68" xfId="0" applyFont="1" applyFill="1" applyBorder="1" applyAlignment="1" applyProtection="1">
      <alignment horizontal="center" vertical="center" wrapText="1"/>
      <protection hidden="1"/>
    </xf>
    <xf numFmtId="0" fontId="96" fillId="4" borderId="77" xfId="0" applyFont="1" applyFill="1" applyBorder="1" applyAlignment="1" applyProtection="1">
      <alignment horizontal="center" vertical="center" wrapText="1"/>
      <protection hidden="1"/>
    </xf>
    <xf numFmtId="0" fontId="105" fillId="7" borderId="19" xfId="0" applyFont="1" applyFill="1" applyBorder="1" applyAlignment="1" applyProtection="1">
      <alignment horizontal="center" vertical="center"/>
      <protection hidden="1"/>
    </xf>
    <xf numFmtId="0" fontId="105" fillId="7" borderId="0" xfId="0" applyFont="1" applyFill="1" applyAlignment="1" applyProtection="1">
      <alignment horizontal="center" vertical="center"/>
      <protection hidden="1"/>
    </xf>
    <xf numFmtId="0" fontId="105" fillId="7" borderId="15" xfId="0" applyFont="1" applyFill="1" applyBorder="1" applyAlignment="1" applyProtection="1">
      <alignment horizontal="center" vertical="center"/>
      <protection hidden="1"/>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95" fillId="4" borderId="4" xfId="0" applyFont="1" applyFill="1" applyBorder="1" applyAlignment="1" applyProtection="1">
      <alignment horizontal="center" vertical="center" wrapText="1"/>
      <protection hidden="1"/>
    </xf>
    <xf numFmtId="0" fontId="95" fillId="4" borderId="3"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0" fillId="0" borderId="2" xfId="0" applyBorder="1" applyAlignment="1">
      <alignment horizontal="center" vertical="center"/>
    </xf>
    <xf numFmtId="0" fontId="58" fillId="4" borderId="41" xfId="0" applyFont="1" applyFill="1" applyBorder="1" applyAlignment="1">
      <alignment horizontal="center" vertical="center" wrapText="1"/>
    </xf>
    <xf numFmtId="0" fontId="56"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96" fillId="3" borderId="15" xfId="0" applyFont="1" applyFill="1" applyBorder="1" applyAlignment="1">
      <alignment horizontal="center" vertical="center" wrapText="1"/>
    </xf>
    <xf numFmtId="0" fontId="108" fillId="4" borderId="43" xfId="0" applyFont="1" applyFill="1" applyBorder="1" applyAlignment="1" applyProtection="1">
      <alignment horizontal="left" vertical="center"/>
      <protection hidden="1"/>
    </xf>
    <xf numFmtId="0" fontId="108" fillId="4" borderId="23" xfId="0" applyFont="1" applyFill="1" applyBorder="1" applyAlignment="1" applyProtection="1">
      <alignment horizontal="left" vertical="center"/>
      <protection hidden="1"/>
    </xf>
    <xf numFmtId="0" fontId="108" fillId="4" borderId="44"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vertical="center"/>
      <protection hidden="1"/>
    </xf>
    <xf numFmtId="0" fontId="54" fillId="4" borderId="39" xfId="2" applyNumberFormat="1" applyFill="1" applyBorder="1" applyAlignment="1" applyProtection="1">
      <alignment horizontal="center" vertical="center"/>
      <protection hidden="1"/>
    </xf>
    <xf numFmtId="0" fontId="0" fillId="4" borderId="46" xfId="0" applyFill="1" applyBorder="1" applyAlignment="1" applyProtection="1">
      <alignment horizontal="left" vertical="center"/>
      <protection hidden="1"/>
    </xf>
    <xf numFmtId="0" fontId="68" fillId="4" borderId="19" xfId="0" quotePrefix="1" applyFont="1" applyFill="1" applyBorder="1" applyAlignment="1" applyProtection="1">
      <alignment horizontal="center" vertical="center"/>
      <protection hidden="1"/>
    </xf>
    <xf numFmtId="0" fontId="68" fillId="4" borderId="0" xfId="0" quotePrefix="1" applyFont="1" applyFill="1" applyAlignment="1" applyProtection="1">
      <alignment horizontal="center" vertical="center"/>
      <protection hidden="1"/>
    </xf>
    <xf numFmtId="0" fontId="68" fillId="4" borderId="15" xfId="0" quotePrefix="1" applyFont="1" applyFill="1" applyBorder="1" applyAlignment="1" applyProtection="1">
      <alignment horizontal="center" vertical="center"/>
      <protection hidden="1"/>
    </xf>
    <xf numFmtId="0" fontId="69" fillId="4" borderId="17" xfId="0" applyFont="1" applyFill="1" applyBorder="1" applyAlignment="1" applyProtection="1">
      <alignment horizontal="left" vertical="center" wrapText="1"/>
      <protection hidden="1"/>
    </xf>
    <xf numFmtId="0" fontId="69" fillId="4" borderId="49" xfId="0" applyFont="1" applyFill="1" applyBorder="1" applyAlignment="1" applyProtection="1">
      <alignment horizontal="left" vertical="center" wrapText="1"/>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61" fillId="4" borderId="51" xfId="2" applyNumberFormat="1" applyFont="1" applyFill="1" applyBorder="1" applyAlignment="1" applyProtection="1">
      <alignment vertical="center" wrapText="1"/>
    </xf>
    <xf numFmtId="0" fontId="161" fillId="4" borderId="17" xfId="2" applyNumberFormat="1" applyFont="1" applyFill="1" applyBorder="1" applyAlignment="1" applyProtection="1">
      <alignment vertical="center" wrapText="1"/>
    </xf>
    <xf numFmtId="0" fontId="161"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61" fillId="4" borderId="17" xfId="2" applyNumberFormat="1" applyFont="1" applyFill="1" applyBorder="1" applyAlignment="1" applyProtection="1">
      <alignment horizontal="left" vertical="center" wrapText="1"/>
      <protection hidden="1"/>
    </xf>
    <xf numFmtId="0" fontId="161" fillId="4" borderId="49" xfId="2" applyNumberFormat="1" applyFont="1"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71" fillId="4" borderId="19" xfId="0" applyFont="1" applyFill="1" applyBorder="1" applyAlignment="1" applyProtection="1">
      <alignment horizontal="center" vertical="center" wrapText="1"/>
      <protection hidden="1"/>
    </xf>
    <xf numFmtId="0" fontId="71" fillId="4" borderId="0" xfId="0" applyFont="1" applyFill="1" applyAlignment="1" applyProtection="1">
      <alignment horizontal="center" vertical="center" wrapText="1"/>
      <protection hidden="1"/>
    </xf>
    <xf numFmtId="0" fontId="71" fillId="4" borderId="15" xfId="0" applyFont="1" applyFill="1" applyBorder="1" applyAlignment="1" applyProtection="1">
      <alignment horizontal="center" vertical="center" wrapText="1"/>
      <protection hidden="1"/>
    </xf>
    <xf numFmtId="0" fontId="95" fillId="4" borderId="10" xfId="2" applyNumberFormat="1" applyFont="1" applyFill="1" applyBorder="1" applyAlignment="1" applyProtection="1">
      <alignment horizontal="center" vertical="center" wrapText="1"/>
      <protection hidden="1"/>
    </xf>
    <xf numFmtId="0" fontId="95" fillId="4" borderId="3" xfId="2" applyNumberFormat="1" applyFont="1" applyFill="1" applyBorder="1" applyAlignment="1" applyProtection="1">
      <alignment horizontal="center" vertical="center" wrapText="1"/>
      <protection hidden="1"/>
    </xf>
    <xf numFmtId="0" fontId="54" fillId="4" borderId="68" xfId="2" applyNumberFormat="1" applyFill="1" applyBorder="1" applyAlignment="1" applyProtection="1">
      <alignment horizontal="center" wrapText="1"/>
    </xf>
    <xf numFmtId="0" fontId="54" fillId="4" borderId="77" xfId="2" applyNumberFormat="1" applyFill="1" applyBorder="1" applyAlignment="1" applyProtection="1">
      <alignment horizontal="center" wrapText="1"/>
    </xf>
    <xf numFmtId="0" fontId="56" fillId="4" borderId="85" xfId="0" applyFont="1" applyFill="1" applyBorder="1" applyAlignment="1" applyProtection="1">
      <alignment horizontal="center" vertical="center" wrapText="1"/>
      <protection hidden="1"/>
    </xf>
    <xf numFmtId="0" fontId="56"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66" fillId="4" borderId="19" xfId="0" quotePrefix="1" applyNumberFormat="1" applyFont="1" applyFill="1" applyBorder="1" applyAlignment="1" applyProtection="1">
      <alignment horizontal="center" vertical="center" wrapText="1"/>
      <protection hidden="1"/>
    </xf>
    <xf numFmtId="165" fontId="66" fillId="4" borderId="0" xfId="0" quotePrefix="1" applyNumberFormat="1" applyFont="1" applyFill="1" applyAlignment="1" applyProtection="1">
      <alignment horizontal="center" vertical="center" wrapText="1"/>
      <protection hidden="1"/>
    </xf>
    <xf numFmtId="165" fontId="66"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69" fillId="4" borderId="51" xfId="0" applyFont="1" applyFill="1" applyBorder="1" applyAlignment="1" applyProtection="1">
      <alignment horizontal="left" vertical="center" wrapText="1"/>
      <protection hidden="1"/>
    </xf>
    <xf numFmtId="0" fontId="76" fillId="4" borderId="0" xfId="0" applyFont="1" applyFill="1" applyAlignment="1" applyProtection="1">
      <alignment horizontal="center" vertical="center" wrapText="1"/>
      <protection hidden="1"/>
    </xf>
    <xf numFmtId="0" fontId="76" fillId="4" borderId="15" xfId="0" applyFont="1" applyFill="1" applyBorder="1" applyAlignment="1" applyProtection="1">
      <alignment horizontal="center" vertical="center" wrapText="1"/>
      <protection hidden="1"/>
    </xf>
    <xf numFmtId="0" fontId="96" fillId="4" borderId="52" xfId="0" applyFont="1" applyFill="1" applyBorder="1" applyAlignment="1" applyProtection="1">
      <alignment horizontal="right" vertical="center" wrapText="1"/>
      <protection hidden="1"/>
    </xf>
    <xf numFmtId="0" fontId="96" fillId="4" borderId="53" xfId="0" applyFont="1" applyFill="1" applyBorder="1" applyAlignment="1" applyProtection="1">
      <alignment horizontal="right" vertical="center" wrapText="1"/>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224" fillId="4" borderId="30" xfId="2" applyNumberFormat="1" applyFont="1" applyFill="1" applyBorder="1" applyAlignment="1" applyProtection="1">
      <alignment horizontal="center" vertical="center" wrapText="1"/>
      <protection hidden="1"/>
    </xf>
    <xf numFmtId="0" fontId="224" fillId="4" borderId="57" xfId="2" applyNumberFormat="1" applyFont="1" applyFill="1" applyBorder="1" applyAlignment="1" applyProtection="1">
      <alignment horizontal="center" vertical="center" wrapText="1"/>
      <protection hidden="1"/>
    </xf>
    <xf numFmtId="0" fontId="95" fillId="4" borderId="9" xfId="0" applyFont="1" applyFill="1" applyBorder="1" applyAlignment="1" applyProtection="1">
      <alignment horizontal="center" vertical="center" wrapText="1"/>
      <protection hidden="1"/>
    </xf>
    <xf numFmtId="0" fontId="95" fillId="4" borderId="77" xfId="0" applyFont="1" applyFill="1" applyBorder="1" applyAlignment="1" applyProtection="1">
      <alignment horizontal="center" vertical="center" wrapText="1"/>
      <protection hidden="1"/>
    </xf>
    <xf numFmtId="0" fontId="97" fillId="4" borderId="301" xfId="0" applyFont="1" applyFill="1" applyBorder="1" applyAlignment="1">
      <alignment horizontal="center" vertical="center"/>
    </xf>
    <xf numFmtId="0" fontId="97" fillId="4" borderId="298" xfId="0" applyFont="1" applyFill="1" applyBorder="1" applyAlignment="1">
      <alignment horizontal="center" vertical="center"/>
    </xf>
    <xf numFmtId="0" fontId="97" fillId="4" borderId="302" xfId="0" applyFont="1" applyFill="1" applyBorder="1" applyAlignment="1">
      <alignment horizontal="center" vertical="center"/>
    </xf>
    <xf numFmtId="0" fontId="97" fillId="4" borderId="298" xfId="0" quotePrefix="1" applyFont="1" applyFill="1" applyBorder="1" applyAlignment="1">
      <alignment horizontal="center" vertical="center"/>
    </xf>
    <xf numFmtId="0" fontId="97" fillId="4" borderId="299" xfId="0" applyFont="1" applyFill="1" applyBorder="1" applyAlignment="1">
      <alignment horizontal="center" vertical="center"/>
    </xf>
    <xf numFmtId="10" fontId="67" fillId="0" borderId="2" xfId="3" applyNumberFormat="1" applyFill="1" applyBorder="1" applyAlignment="1">
      <alignment horizontal="center" vertical="center"/>
    </xf>
    <xf numFmtId="0" fontId="56" fillId="4" borderId="54" xfId="0" applyFont="1" applyFill="1" applyBorder="1" applyAlignment="1" applyProtection="1">
      <alignment horizontal="center" vertical="center" wrapText="1"/>
      <protection hidden="1"/>
    </xf>
    <xf numFmtId="0" fontId="56" fillId="4" borderId="58" xfId="0" applyFont="1" applyFill="1" applyBorder="1" applyAlignment="1" applyProtection="1">
      <alignment horizontal="center" vertical="center" wrapText="1"/>
      <protection hidden="1"/>
    </xf>
    <xf numFmtId="0" fontId="131" fillId="4" borderId="68" xfId="0" applyFont="1" applyFill="1" applyBorder="1" applyAlignment="1" applyProtection="1">
      <alignment horizontal="center" vertical="center" wrapText="1"/>
      <protection hidden="1"/>
    </xf>
    <xf numFmtId="0" fontId="131" fillId="4" borderId="77" xfId="0" applyFont="1" applyFill="1" applyBorder="1" applyAlignment="1" applyProtection="1">
      <alignment horizontal="center" vertical="center" wrapText="1"/>
      <protection hidden="1"/>
    </xf>
    <xf numFmtId="8" fontId="95" fillId="4" borderId="85" xfId="0" applyNumberFormat="1" applyFont="1" applyFill="1" applyBorder="1" applyAlignment="1" applyProtection="1">
      <alignment horizontal="center" vertical="center"/>
      <protection hidden="1"/>
    </xf>
    <xf numFmtId="0" fontId="95" fillId="4" borderId="86" xfId="0" applyFont="1" applyFill="1" applyBorder="1" applyAlignment="1" applyProtection="1">
      <alignment horizontal="center" vertical="center"/>
      <protection hidden="1"/>
    </xf>
    <xf numFmtId="0" fontId="95" fillId="4" borderId="68" xfId="0" applyFont="1" applyFill="1" applyBorder="1" applyAlignment="1" applyProtection="1">
      <alignment horizontal="center" vertical="center"/>
      <protection hidden="1"/>
    </xf>
    <xf numFmtId="0" fontId="95"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0" fontId="95" fillId="4" borderId="0" xfId="0" quotePrefix="1" applyFont="1" applyFill="1" applyAlignment="1" applyProtection="1">
      <alignment horizontal="center" vertical="center"/>
      <protection hidden="1"/>
    </xf>
    <xf numFmtId="165" fontId="224" fillId="4" borderId="4" xfId="2" applyNumberFormat="1" applyFont="1" applyFill="1" applyBorder="1" applyAlignment="1" applyProtection="1">
      <alignment horizontal="center" vertical="center"/>
      <protection hidden="1"/>
    </xf>
    <xf numFmtId="165" fontId="224" fillId="4" borderId="3" xfId="2" applyNumberFormat="1" applyFont="1" applyFill="1" applyBorder="1" applyAlignment="1" applyProtection="1">
      <alignment horizontal="center" vertical="center"/>
      <protection hidden="1"/>
    </xf>
    <xf numFmtId="0" fontId="80" fillId="4" borderId="19" xfId="0" applyFont="1" applyFill="1" applyBorder="1" applyAlignment="1" applyProtection="1">
      <alignment horizontal="left" vertical="center" wrapText="1"/>
      <protection hidden="1"/>
    </xf>
    <xf numFmtId="0" fontId="80" fillId="4" borderId="0" xfId="0" applyFont="1" applyFill="1" applyAlignment="1" applyProtection="1">
      <alignment horizontal="left" vertical="center" wrapText="1"/>
      <protection hidden="1"/>
    </xf>
    <xf numFmtId="0" fontId="80" fillId="4" borderId="15" xfId="0" applyFont="1" applyFill="1" applyBorder="1" applyAlignment="1" applyProtection="1">
      <alignment horizontal="left" vertical="center" wrapText="1"/>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69" fillId="0" borderId="61" xfId="0" applyFont="1" applyBorder="1" applyAlignment="1">
      <alignment horizontal="center" vertical="center" wrapText="1"/>
    </xf>
    <xf numFmtId="0" fontId="69" fillId="0" borderId="62" xfId="0" applyFont="1" applyBorder="1" applyAlignment="1">
      <alignment horizontal="center" vertical="center" wrapText="1"/>
    </xf>
    <xf numFmtId="0" fontId="74" fillId="0" borderId="63" xfId="0" applyFont="1" applyBorder="1" applyAlignment="1" applyProtection="1">
      <alignment horizontal="left" vertical="center"/>
      <protection hidden="1"/>
    </xf>
    <xf numFmtId="0" fontId="74" fillId="0" borderId="64" xfId="0" applyFont="1" applyBorder="1" applyAlignment="1" applyProtection="1">
      <alignment horizontal="left" vertical="center"/>
      <protection hidden="1"/>
    </xf>
    <xf numFmtId="0" fontId="74" fillId="0" borderId="4" xfId="0" applyFont="1" applyBorder="1" applyAlignment="1" applyProtection="1">
      <alignment horizontal="left"/>
      <protection hidden="1"/>
    </xf>
    <xf numFmtId="0" fontId="74" fillId="0" borderId="3" xfId="0" applyFont="1" applyBorder="1" applyAlignment="1" applyProtection="1">
      <alignment horizontal="left"/>
      <protection hidden="1"/>
    </xf>
    <xf numFmtId="0" fontId="74" fillId="0" borderId="54" xfId="0" applyFont="1" applyBorder="1" applyAlignment="1" applyProtection="1">
      <alignment horizontal="left"/>
      <protection hidden="1"/>
    </xf>
    <xf numFmtId="0" fontId="74" fillId="0" borderId="58" xfId="0" applyFont="1" applyBorder="1" applyAlignment="1" applyProtection="1">
      <alignment horizontal="left"/>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87" fillId="4" borderId="43" xfId="0" applyFont="1" applyFill="1" applyBorder="1" applyAlignment="1">
      <alignment horizontal="center"/>
    </xf>
    <xf numFmtId="0" fontId="87" fillId="4" borderId="23" xfId="0" applyFont="1" applyFill="1" applyBorder="1" applyAlignment="1">
      <alignment horizontal="center"/>
    </xf>
    <xf numFmtId="0" fontId="87" fillId="4" borderId="44" xfId="0" applyFont="1" applyFill="1" applyBorder="1" applyAlignment="1">
      <alignment horizontal="center"/>
    </xf>
    <xf numFmtId="0" fontId="49" fillId="4" borderId="30" xfId="0" applyFont="1" applyFill="1" applyBorder="1" applyAlignment="1">
      <alignment horizontal="center" wrapText="1"/>
    </xf>
    <xf numFmtId="0" fontId="49" fillId="4" borderId="28" xfId="0" applyFont="1" applyFill="1" applyBorder="1" applyAlignment="1">
      <alignment horizontal="center" wrapText="1"/>
    </xf>
    <xf numFmtId="0" fontId="52" fillId="4" borderId="75" xfId="0" applyFont="1" applyFill="1" applyBorder="1" applyAlignment="1">
      <alignment horizontal="center"/>
    </xf>
    <xf numFmtId="0" fontId="96"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9" fontId="104" fillId="4" borderId="60" xfId="3" applyFont="1" applyFill="1" applyBorder="1" applyAlignment="1" applyProtection="1">
      <alignment horizontal="center" vertical="center"/>
      <protection hidden="1"/>
    </xf>
    <xf numFmtId="9" fontId="104" fillId="4" borderId="103" xfId="3" applyFont="1" applyFill="1" applyBorder="1" applyAlignment="1" applyProtection="1">
      <alignment horizontal="center" vertical="center"/>
      <protection hidden="1"/>
    </xf>
    <xf numFmtId="9" fontId="104" fillId="4" borderId="27" xfId="3" applyFont="1" applyFill="1" applyBorder="1" applyAlignment="1" applyProtection="1">
      <alignment horizontal="center" vertical="center"/>
      <protection hidden="1"/>
    </xf>
    <xf numFmtId="0" fontId="178" fillId="4" borderId="0" xfId="2" applyNumberFormat="1" applyFont="1" applyFill="1" applyBorder="1" applyAlignment="1" applyProtection="1">
      <alignment horizontal="center" vertical="center"/>
      <protection hidden="1"/>
    </xf>
    <xf numFmtId="0" fontId="157" fillId="4" borderId="0" xfId="2" applyNumberFormat="1" applyFont="1" applyFill="1" applyBorder="1" applyAlignment="1" applyProtection="1">
      <alignment horizontal="center" vertical="center"/>
      <protection hidden="1"/>
    </xf>
    <xf numFmtId="0" fontId="50" fillId="4" borderId="59" xfId="0" applyFont="1" applyFill="1" applyBorder="1" applyAlignment="1">
      <alignment horizontal="center" vertical="center" wrapText="1"/>
    </xf>
    <xf numFmtId="0" fontId="50" fillId="4" borderId="191" xfId="0" applyFont="1" applyFill="1" applyBorder="1" applyAlignment="1">
      <alignment horizontal="center" vertical="center" wrapText="1"/>
    </xf>
    <xf numFmtId="0" fontId="50" fillId="4" borderId="144" xfId="0" applyFont="1" applyFill="1" applyBorder="1" applyAlignment="1">
      <alignment horizontal="center" wrapText="1"/>
    </xf>
    <xf numFmtId="0" fontId="50" fillId="4" borderId="192" xfId="0" applyFont="1" applyFill="1" applyBorder="1" applyAlignment="1">
      <alignment horizontal="center" wrapText="1"/>
    </xf>
    <xf numFmtId="0" fontId="52" fillId="4" borderId="115" xfId="0" applyFont="1" applyFill="1" applyBorder="1" applyAlignment="1">
      <alignment horizontal="center" vertical="center" wrapText="1"/>
    </xf>
    <xf numFmtId="0" fontId="52" fillId="4" borderId="194" xfId="0" applyFont="1" applyFill="1" applyBorder="1" applyAlignment="1">
      <alignment horizontal="center" vertical="center" wrapText="1"/>
    </xf>
    <xf numFmtId="0" fontId="52" fillId="4" borderId="59" xfId="0" applyFont="1" applyFill="1" applyBorder="1" applyAlignment="1" applyProtection="1">
      <alignment horizontal="right" wrapText="1"/>
      <protection hidden="1"/>
    </xf>
    <xf numFmtId="0" fontId="52" fillId="4" borderId="191" xfId="0" applyFont="1" applyFill="1" applyBorder="1" applyAlignment="1" applyProtection="1">
      <alignment horizontal="right" wrapText="1"/>
      <protection hidden="1"/>
    </xf>
    <xf numFmtId="14" fontId="50" fillId="4" borderId="72" xfId="0" applyNumberFormat="1" applyFont="1" applyFill="1" applyBorder="1" applyAlignment="1">
      <alignment horizontal="center" vertical="center" wrapText="1"/>
    </xf>
    <xf numFmtId="14" fontId="50" fillId="4" borderId="73" xfId="0" applyNumberFormat="1" applyFont="1" applyFill="1" applyBorder="1" applyAlignment="1">
      <alignment horizontal="center" vertical="center" wrapText="1"/>
    </xf>
    <xf numFmtId="0" fontId="50" fillId="4" borderId="75" xfId="0" applyFont="1" applyFill="1" applyBorder="1" applyAlignment="1" applyProtection="1">
      <alignment horizontal="center" vertical="center"/>
      <protection hidden="1"/>
    </xf>
    <xf numFmtId="0" fontId="50" fillId="4" borderId="196" xfId="0" applyFont="1" applyFill="1" applyBorder="1" applyAlignment="1" applyProtection="1">
      <alignment horizontal="center" vertical="center"/>
      <protection hidden="1"/>
    </xf>
    <xf numFmtId="0" fontId="50" fillId="4" borderId="76" xfId="0" applyFont="1" applyFill="1" applyBorder="1" applyAlignment="1" applyProtection="1">
      <alignment horizontal="center" vertical="center"/>
      <protection hidden="1"/>
    </xf>
    <xf numFmtId="0" fontId="87" fillId="4" borderId="43" xfId="0" applyFont="1" applyFill="1" applyBorder="1" applyProtection="1">
      <protection hidden="1"/>
    </xf>
    <xf numFmtId="0" fontId="87" fillId="4" borderId="23" xfId="0" applyFont="1" applyFill="1" applyBorder="1" applyProtection="1">
      <protection hidden="1"/>
    </xf>
    <xf numFmtId="0" fontId="87" fillId="4" borderId="44" xfId="0" applyFont="1" applyFill="1" applyBorder="1" applyProtection="1">
      <protection hidden="1"/>
    </xf>
    <xf numFmtId="0" fontId="52" fillId="4" borderId="16" xfId="0" applyFont="1" applyFill="1" applyBorder="1" applyAlignment="1" applyProtection="1">
      <alignment horizontal="center" vertical="center"/>
      <protection hidden="1"/>
    </xf>
    <xf numFmtId="0" fontId="52" fillId="4" borderId="18" xfId="0" applyFont="1" applyFill="1" applyBorder="1" applyAlignment="1" applyProtection="1">
      <alignment horizontal="center" vertical="center"/>
      <protection hidden="1"/>
    </xf>
    <xf numFmtId="0" fontId="52" fillId="4" borderId="39" xfId="0" applyFont="1" applyFill="1" applyBorder="1" applyAlignment="1" applyProtection="1">
      <alignment horizontal="center" vertical="center"/>
      <protection hidden="1"/>
    </xf>
    <xf numFmtId="0" fontId="49" fillId="4" borderId="65" xfId="0" applyFont="1" applyFill="1" applyBorder="1" applyAlignment="1" applyProtection="1">
      <alignment horizontal="center" wrapText="1"/>
      <protection hidden="1"/>
    </xf>
    <xf numFmtId="0" fontId="49" fillId="4" borderId="79" xfId="0" applyFont="1" applyFill="1" applyBorder="1" applyAlignment="1" applyProtection="1">
      <alignment horizontal="center" wrapText="1"/>
      <protection hidden="1"/>
    </xf>
    <xf numFmtId="0" fontId="49" fillId="4" borderId="20" xfId="0" applyFont="1" applyFill="1" applyBorder="1" applyAlignment="1" applyProtection="1">
      <alignment horizontal="center" wrapText="1"/>
      <protection hidden="1"/>
    </xf>
    <xf numFmtId="0" fontId="0" fillId="4" borderId="0" xfId="0" applyFill="1" applyAlignment="1">
      <alignment horizontal="center"/>
    </xf>
    <xf numFmtId="0" fontId="167"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96" fillId="4" borderId="16" xfId="0" applyFont="1" applyFill="1" applyBorder="1" applyAlignment="1" applyProtection="1">
      <alignment horizontal="center"/>
      <protection hidden="1"/>
    </xf>
    <xf numFmtId="0" fontId="96" fillId="4" borderId="18" xfId="0" applyFont="1" applyFill="1" applyBorder="1" applyAlignment="1" applyProtection="1">
      <alignment horizontal="center"/>
      <protection hidden="1"/>
    </xf>
    <xf numFmtId="0" fontId="96" fillId="4" borderId="39" xfId="0" applyFont="1" applyFill="1" applyBorder="1" applyAlignment="1" applyProtection="1">
      <alignment horizontal="center"/>
      <protection hidden="1"/>
    </xf>
    <xf numFmtId="10" fontId="49" fillId="0" borderId="1" xfId="3" applyNumberFormat="1" applyFont="1" applyBorder="1" applyAlignment="1" applyProtection="1">
      <alignment horizontal="center" vertical="center"/>
      <protection locked="0"/>
    </xf>
    <xf numFmtId="10" fontId="49" fillId="0" borderId="9" xfId="3" applyNumberFormat="1" applyFont="1" applyBorder="1" applyAlignment="1" applyProtection="1">
      <alignment horizontal="center" vertical="center"/>
      <protection locked="0"/>
    </xf>
    <xf numFmtId="10" fontId="49" fillId="0" borderId="10" xfId="3" applyNumberFormat="1" applyFont="1" applyBorder="1" applyAlignment="1" applyProtection="1">
      <alignment horizontal="center" vertical="center"/>
      <protection locked="0"/>
    </xf>
    <xf numFmtId="0" fontId="52" fillId="4" borderId="0" xfId="0" applyFont="1" applyFill="1" applyAlignment="1">
      <alignment horizontal="center"/>
    </xf>
    <xf numFmtId="0" fontId="52" fillId="4" borderId="43" xfId="0"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4" borderId="19" xfId="0" applyFont="1" applyFill="1" applyBorder="1" applyAlignment="1" applyProtection="1">
      <alignment horizontal="center" vertical="center" wrapText="1"/>
      <protection hidden="1"/>
    </xf>
    <xf numFmtId="0" fontId="52" fillId="4" borderId="0" xfId="0" applyFont="1" applyFill="1" applyAlignment="1" applyProtection="1">
      <alignment horizontal="center" vertical="center" wrapText="1"/>
      <protection hidden="1"/>
    </xf>
    <xf numFmtId="0" fontId="52" fillId="4" borderId="16" xfId="0" applyFont="1" applyFill="1" applyBorder="1" applyAlignment="1" applyProtection="1">
      <alignment horizontal="center" vertical="center" wrapText="1"/>
      <protection hidden="1"/>
    </xf>
    <xf numFmtId="0" fontId="52" fillId="4" borderId="18" xfId="0" applyFont="1" applyFill="1" applyBorder="1" applyAlignment="1" applyProtection="1">
      <alignment horizontal="center" vertical="center" wrapText="1"/>
      <protection hidden="1"/>
    </xf>
    <xf numFmtId="0" fontId="88" fillId="4" borderId="69" xfId="0" applyFont="1" applyFill="1" applyBorder="1" applyAlignment="1" applyProtection="1">
      <alignment horizontal="center" vertical="center"/>
      <protection hidden="1"/>
    </xf>
    <xf numFmtId="0" fontId="88" fillId="4" borderId="71" xfId="0" applyFont="1" applyFill="1" applyBorder="1" applyAlignment="1" applyProtection="1">
      <alignment horizontal="center" vertical="center"/>
      <protection hidden="1"/>
    </xf>
    <xf numFmtId="0" fontId="88" fillId="4" borderId="70" xfId="0" applyFont="1" applyFill="1" applyBorder="1" applyAlignment="1" applyProtection="1">
      <alignment horizontal="center" vertical="center"/>
      <protection hidden="1"/>
    </xf>
    <xf numFmtId="0" fontId="88" fillId="4" borderId="19" xfId="0" applyFont="1" applyFill="1" applyBorder="1" applyAlignment="1" applyProtection="1">
      <alignment horizontal="center" vertical="center"/>
      <protection hidden="1"/>
    </xf>
    <xf numFmtId="0" fontId="88" fillId="4" borderId="0" xfId="0" applyFont="1" applyFill="1" applyAlignment="1" applyProtection="1">
      <alignment horizontal="center" vertical="center"/>
      <protection hidden="1"/>
    </xf>
    <xf numFmtId="0" fontId="88" fillId="4" borderId="15" xfId="0" applyFont="1" applyFill="1" applyBorder="1" applyAlignment="1" applyProtection="1">
      <alignment horizontal="center" vertical="center"/>
      <protection hidden="1"/>
    </xf>
    <xf numFmtId="0" fontId="88" fillId="4" borderId="16" xfId="0" applyFont="1" applyFill="1" applyBorder="1" applyAlignment="1" applyProtection="1">
      <alignment horizontal="center" vertical="center"/>
      <protection hidden="1"/>
    </xf>
    <xf numFmtId="0" fontId="88" fillId="4" borderId="18" xfId="0" applyFont="1" applyFill="1" applyBorder="1" applyAlignment="1" applyProtection="1">
      <alignment horizontal="center" vertical="center"/>
      <protection hidden="1"/>
    </xf>
    <xf numFmtId="0" fontId="88" fillId="4" borderId="39" xfId="0" applyFont="1" applyFill="1" applyBorder="1" applyAlignment="1" applyProtection="1">
      <alignment horizontal="center" vertical="center"/>
      <protection hidden="1"/>
    </xf>
    <xf numFmtId="0" fontId="49" fillId="4" borderId="5" xfId="0" applyFont="1" applyFill="1" applyBorder="1" applyAlignment="1" applyProtection="1">
      <alignment horizontal="left" vertical="center"/>
      <protection hidden="1"/>
    </xf>
    <xf numFmtId="0" fontId="49" fillId="4" borderId="6" xfId="0" applyFont="1" applyFill="1" applyBorder="1" applyAlignment="1" applyProtection="1">
      <alignment horizontal="left" vertical="center"/>
      <protection hidden="1"/>
    </xf>
    <xf numFmtId="0" fontId="93" fillId="4" borderId="4" xfId="0" applyFont="1" applyFill="1" applyBorder="1" applyAlignment="1">
      <alignment horizontal="left" vertical="center"/>
    </xf>
    <xf numFmtId="0" fontId="93" fillId="4" borderId="2" xfId="0" applyFont="1" applyFill="1" applyBorder="1" applyAlignment="1">
      <alignment horizontal="left" vertical="center"/>
    </xf>
    <xf numFmtId="178" fontId="81" fillId="4" borderId="38" xfId="0" applyNumberFormat="1" applyFont="1" applyFill="1" applyBorder="1" applyAlignment="1" applyProtection="1">
      <alignment horizontal="center" vertical="center"/>
      <protection hidden="1"/>
    </xf>
    <xf numFmtId="178" fontId="81" fillId="4" borderId="66" xfId="0" applyNumberFormat="1" applyFont="1" applyFill="1" applyBorder="1" applyAlignment="1" applyProtection="1">
      <alignment horizontal="center" vertical="center"/>
      <protection hidden="1"/>
    </xf>
    <xf numFmtId="178" fontId="81" fillId="4" borderId="40" xfId="0" applyNumberFormat="1" applyFont="1" applyFill="1" applyBorder="1" applyAlignment="1" applyProtection="1">
      <alignment horizontal="center" vertical="center"/>
      <protection hidden="1"/>
    </xf>
    <xf numFmtId="3" fontId="81" fillId="4" borderId="38" xfId="0" applyNumberFormat="1" applyFont="1" applyFill="1" applyBorder="1" applyAlignment="1" applyProtection="1">
      <alignment horizontal="center" vertical="center"/>
      <protection hidden="1"/>
    </xf>
    <xf numFmtId="3" fontId="81" fillId="4" borderId="66" xfId="0" applyNumberFormat="1" applyFont="1" applyFill="1" applyBorder="1" applyAlignment="1" applyProtection="1">
      <alignment horizontal="center" vertical="center"/>
      <protection hidden="1"/>
    </xf>
    <xf numFmtId="3" fontId="81" fillId="4" borderId="40" xfId="0" applyNumberFormat="1" applyFont="1" applyFill="1" applyBorder="1" applyAlignment="1" applyProtection="1">
      <alignment horizontal="center" vertical="center"/>
      <protection hidden="1"/>
    </xf>
    <xf numFmtId="0" fontId="88" fillId="4" borderId="69" xfId="0" applyFont="1" applyFill="1" applyBorder="1" applyAlignment="1">
      <alignment horizontal="center" vertical="center"/>
    </xf>
    <xf numFmtId="0" fontId="88" fillId="4" borderId="70" xfId="0" applyFont="1" applyFill="1" applyBorder="1" applyAlignment="1">
      <alignment horizontal="center" vertical="center"/>
    </xf>
    <xf numFmtId="3" fontId="49" fillId="4" borderId="119" xfId="0" applyNumberFormat="1" applyFont="1" applyFill="1" applyBorder="1" applyAlignment="1" applyProtection="1">
      <alignment horizontal="center" vertical="center"/>
      <protection hidden="1"/>
    </xf>
    <xf numFmtId="3" fontId="49" fillId="4" borderId="125" xfId="0" applyNumberFormat="1" applyFont="1" applyFill="1" applyBorder="1" applyAlignment="1" applyProtection="1">
      <alignment horizontal="center" vertical="center"/>
      <protection hidden="1"/>
    </xf>
    <xf numFmtId="3" fontId="49" fillId="4" borderId="126" xfId="0" applyNumberFormat="1" applyFont="1" applyFill="1" applyBorder="1" applyAlignment="1" applyProtection="1">
      <alignment horizontal="center" vertical="center"/>
      <protection hidden="1"/>
    </xf>
    <xf numFmtId="8" fontId="93" fillId="4" borderId="80" xfId="8" applyNumberFormat="1" applyFont="1" applyFill="1" applyBorder="1" applyAlignment="1" applyProtection="1">
      <alignment horizontal="center" vertical="center"/>
      <protection hidden="1"/>
    </xf>
    <xf numFmtId="8" fontId="93" fillId="4" borderId="81" xfId="8" applyNumberFormat="1" applyFont="1" applyFill="1" applyBorder="1" applyAlignment="1" applyProtection="1">
      <alignment horizontal="center" vertical="center"/>
      <protection hidden="1"/>
    </xf>
    <xf numFmtId="8" fontId="93" fillId="4" borderId="82" xfId="8" applyNumberFormat="1" applyFont="1" applyFill="1" applyBorder="1" applyAlignment="1" applyProtection="1">
      <alignment horizontal="center" vertical="center"/>
      <protection hidden="1"/>
    </xf>
    <xf numFmtId="0" fontId="49" fillId="4" borderId="63" xfId="0" applyFont="1" applyFill="1" applyBorder="1" applyAlignment="1" applyProtection="1">
      <alignment horizontal="left" vertical="center"/>
      <protection hidden="1"/>
    </xf>
    <xf numFmtId="0" fontId="49" fillId="4" borderId="78" xfId="0" applyFont="1" applyFill="1" applyBorder="1" applyAlignment="1" applyProtection="1">
      <alignment horizontal="left" vertical="center"/>
      <protection hidden="1"/>
    </xf>
    <xf numFmtId="0" fontId="49" fillId="4" borderId="67" xfId="0" applyFont="1" applyFill="1" applyBorder="1" applyAlignment="1" applyProtection="1">
      <alignment horizontal="left" vertical="center"/>
      <protection hidden="1"/>
    </xf>
    <xf numFmtId="8" fontId="93" fillId="0" borderId="1" xfId="3" applyNumberFormat="1" applyFont="1" applyBorder="1" applyAlignment="1" applyProtection="1">
      <alignment horizontal="center" vertical="center"/>
      <protection locked="0"/>
    </xf>
    <xf numFmtId="8" fontId="93" fillId="0" borderId="9" xfId="3" applyNumberFormat="1" applyFont="1" applyBorder="1" applyAlignment="1" applyProtection="1">
      <alignment horizontal="center" vertical="center"/>
      <protection locked="0"/>
    </xf>
    <xf numFmtId="8" fontId="93" fillId="0" borderId="10" xfId="3" applyNumberFormat="1" applyFont="1" applyBorder="1" applyAlignment="1" applyProtection="1">
      <alignment horizontal="center" vertical="center"/>
      <protection locked="0"/>
    </xf>
    <xf numFmtId="8" fontId="93" fillId="4" borderId="1" xfId="0" applyNumberFormat="1" applyFont="1" applyFill="1" applyBorder="1" applyAlignment="1" applyProtection="1">
      <alignment horizontal="center" vertical="center"/>
      <protection hidden="1"/>
    </xf>
    <xf numFmtId="8" fontId="93" fillId="4" borderId="9" xfId="0" applyNumberFormat="1" applyFont="1" applyFill="1" applyBorder="1" applyAlignment="1" applyProtection="1">
      <alignment horizontal="center" vertical="center"/>
      <protection hidden="1"/>
    </xf>
    <xf numFmtId="8" fontId="93" fillId="4" borderId="10" xfId="0" applyNumberFormat="1" applyFont="1" applyFill="1" applyBorder="1" applyAlignment="1" applyProtection="1">
      <alignment horizontal="center" vertical="center"/>
      <protection hidden="1"/>
    </xf>
    <xf numFmtId="0" fontId="96" fillId="4" borderId="4" xfId="0" applyFont="1" applyFill="1" applyBorder="1" applyAlignment="1">
      <alignment horizontal="center" vertical="center" wrapText="1"/>
    </xf>
    <xf numFmtId="0" fontId="96" fillId="4" borderId="2" xfId="0" applyFont="1" applyFill="1" applyBorder="1" applyAlignment="1">
      <alignment horizontal="center" vertical="center" wrapText="1"/>
    </xf>
    <xf numFmtId="0" fontId="96" fillId="4" borderId="3" xfId="0" applyFont="1" applyFill="1" applyBorder="1" applyAlignment="1">
      <alignment horizontal="center" vertical="center" wrapText="1"/>
    </xf>
    <xf numFmtId="14" fontId="91" fillId="0" borderId="2" xfId="0" applyNumberFormat="1" applyFont="1" applyBorder="1" applyAlignment="1">
      <alignment horizontal="center"/>
    </xf>
    <xf numFmtId="0" fontId="91" fillId="4" borderId="43"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91" fillId="4" borderId="44" xfId="0" applyFont="1" applyFill="1" applyBorder="1" applyAlignment="1">
      <alignment horizontal="center" vertical="center" wrapText="1"/>
    </xf>
    <xf numFmtId="0" fontId="91" fillId="4" borderId="19" xfId="0" applyFont="1" applyFill="1" applyBorder="1" applyAlignment="1">
      <alignment horizontal="center" vertical="center" wrapText="1"/>
    </xf>
    <xf numFmtId="0" fontId="91" fillId="4" borderId="0" xfId="0" applyFont="1" applyFill="1" applyAlignment="1">
      <alignment horizontal="center" vertical="center" wrapText="1"/>
    </xf>
    <xf numFmtId="0" fontId="91" fillId="4" borderId="15" xfId="0" applyFont="1" applyFill="1" applyBorder="1" applyAlignment="1">
      <alignment horizontal="center" vertical="center" wrapText="1"/>
    </xf>
    <xf numFmtId="0" fontId="91" fillId="4" borderId="30" xfId="0" applyFont="1" applyFill="1" applyBorder="1" applyAlignment="1">
      <alignment horizontal="center" vertical="center" wrapText="1"/>
    </xf>
    <xf numFmtId="0" fontId="91" fillId="4" borderId="28" xfId="0" applyFont="1" applyFill="1" applyBorder="1" applyAlignment="1">
      <alignment horizontal="center" vertical="center" wrapText="1"/>
    </xf>
    <xf numFmtId="0" fontId="91" fillId="4" borderId="57" xfId="0" applyFont="1" applyFill="1" applyBorder="1" applyAlignment="1">
      <alignment horizontal="center" vertical="center" wrapText="1"/>
    </xf>
    <xf numFmtId="0" fontId="0" fillId="0" borderId="15" xfId="0" applyBorder="1" applyAlignment="1">
      <alignment horizontal="center"/>
    </xf>
    <xf numFmtId="169" fontId="124" fillId="0" borderId="21" xfId="0" applyNumberFormat="1" applyFont="1" applyBorder="1" applyAlignment="1">
      <alignment horizontal="center" vertical="center" wrapText="1"/>
    </xf>
    <xf numFmtId="169" fontId="124" fillId="0" borderId="2" xfId="0" applyNumberFormat="1" applyFont="1" applyBorder="1" applyAlignment="1">
      <alignment horizontal="center" vertical="center" wrapText="1"/>
    </xf>
    <xf numFmtId="169" fontId="124" fillId="0" borderId="22" xfId="0" applyNumberFormat="1" applyFont="1" applyBorder="1" applyAlignment="1">
      <alignment horizontal="center" vertical="center" wrapText="1"/>
    </xf>
    <xf numFmtId="169" fontId="124" fillId="0" borderId="3" xfId="0" applyNumberFormat="1" applyFont="1" applyBorder="1" applyAlignment="1">
      <alignment horizontal="center" vertical="center" wrapText="1"/>
    </xf>
    <xf numFmtId="0" fontId="115" fillId="0" borderId="88" xfId="0" applyFont="1" applyBorder="1" applyAlignment="1">
      <alignment horizontal="center" vertical="center"/>
    </xf>
    <xf numFmtId="0" fontId="115" fillId="0" borderId="89" xfId="0" applyFont="1" applyBorder="1" applyAlignment="1">
      <alignment horizontal="center" vertical="center"/>
    </xf>
    <xf numFmtId="0" fontId="115" fillId="0" borderId="90" xfId="0" applyFont="1" applyBorder="1" applyAlignment="1">
      <alignment horizontal="center" vertical="center"/>
    </xf>
    <xf numFmtId="0" fontId="115" fillId="0" borderId="91" xfId="0" applyFont="1" applyBorder="1" applyAlignment="1">
      <alignment horizontal="center" vertical="center"/>
    </xf>
    <xf numFmtId="0" fontId="115" fillId="0" borderId="92" xfId="0" applyFont="1" applyBorder="1" applyAlignment="1">
      <alignment horizontal="center" vertical="center"/>
    </xf>
    <xf numFmtId="0" fontId="115" fillId="0" borderId="93" xfId="0" applyFont="1" applyBorder="1" applyAlignment="1">
      <alignment horizontal="center" vertical="center"/>
    </xf>
    <xf numFmtId="0" fontId="96" fillId="4" borderId="43" xfId="0" applyFont="1" applyFill="1" applyBorder="1" applyAlignment="1">
      <alignment horizontal="center" vertical="center" wrapText="1"/>
    </xf>
    <xf numFmtId="0" fontId="96" fillId="4" borderId="23" xfId="0" applyFont="1" applyFill="1" applyBorder="1" applyAlignment="1">
      <alignment horizontal="center" vertical="center" wrapText="1"/>
    </xf>
    <xf numFmtId="0" fontId="96" fillId="4" borderId="44" xfId="0" applyFont="1" applyFill="1" applyBorder="1" applyAlignment="1">
      <alignment horizontal="center" vertical="center" wrapText="1"/>
    </xf>
    <xf numFmtId="0" fontId="96" fillId="4" borderId="16" xfId="0" applyFont="1" applyFill="1" applyBorder="1" applyAlignment="1">
      <alignment horizontal="center" vertical="center" wrapText="1"/>
    </xf>
    <xf numFmtId="0" fontId="96" fillId="4" borderId="18" xfId="0" applyFont="1" applyFill="1" applyBorder="1" applyAlignment="1">
      <alignment horizontal="center" vertical="center" wrapText="1"/>
    </xf>
    <xf numFmtId="0" fontId="96"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91" fillId="4" borderId="2" xfId="0" applyFont="1" applyFill="1" applyBorder="1" applyAlignment="1">
      <alignment horizontal="right" vertical="center"/>
    </xf>
    <xf numFmtId="0" fontId="91" fillId="4" borderId="4" xfId="0" applyFont="1" applyFill="1" applyBorder="1" applyAlignment="1">
      <alignment horizontal="right"/>
    </xf>
    <xf numFmtId="0" fontId="91" fillId="4" borderId="2" xfId="0" applyFont="1" applyFill="1" applyBorder="1" applyAlignment="1">
      <alignment horizontal="right"/>
    </xf>
    <xf numFmtId="169" fontId="124" fillId="0" borderId="24" xfId="0" applyNumberFormat="1" applyFont="1" applyBorder="1" applyAlignment="1">
      <alignment horizontal="center" vertical="center" textRotation="90" wrapText="1"/>
    </xf>
    <xf numFmtId="169" fontId="124" fillId="0" borderId="4" xfId="0" applyNumberFormat="1" applyFont="1" applyBorder="1" applyAlignment="1">
      <alignment horizontal="center" vertical="center" textRotation="90" wrapText="1"/>
    </xf>
    <xf numFmtId="0" fontId="102" fillId="9" borderId="43" xfId="0" applyFont="1" applyFill="1" applyBorder="1" applyAlignment="1">
      <alignment horizontal="center" vertical="center"/>
    </xf>
    <xf numFmtId="0" fontId="102" fillId="9" borderId="23" xfId="0" applyFont="1" applyFill="1" applyBorder="1" applyAlignment="1">
      <alignment horizontal="center" vertical="center"/>
    </xf>
    <xf numFmtId="0" fontId="102" fillId="9" borderId="44" xfId="0" applyFont="1" applyFill="1" applyBorder="1" applyAlignment="1">
      <alignment horizontal="center" vertical="center"/>
    </xf>
    <xf numFmtId="0" fontId="102" fillId="9" borderId="19" xfId="0" applyFont="1" applyFill="1" applyBorder="1" applyAlignment="1">
      <alignment horizontal="center" vertical="center"/>
    </xf>
    <xf numFmtId="0" fontId="102" fillId="9" borderId="0" xfId="0" applyFont="1" applyFill="1" applyAlignment="1">
      <alignment horizontal="center" vertical="center"/>
    </xf>
    <xf numFmtId="0" fontId="102" fillId="9" borderId="15" xfId="0" applyFont="1" applyFill="1" applyBorder="1" applyAlignment="1">
      <alignment horizontal="center" vertical="center"/>
    </xf>
    <xf numFmtId="0" fontId="102" fillId="9" borderId="30" xfId="0" applyFont="1" applyFill="1" applyBorder="1" applyAlignment="1">
      <alignment horizontal="center" vertical="center"/>
    </xf>
    <xf numFmtId="0" fontId="102" fillId="9" borderId="28" xfId="0" applyFont="1" applyFill="1" applyBorder="1" applyAlignment="1">
      <alignment horizontal="center" vertical="center"/>
    </xf>
    <xf numFmtId="0" fontId="102" fillId="9" borderId="57" xfId="0" applyFont="1" applyFill="1" applyBorder="1" applyAlignment="1">
      <alignment horizontal="center" vertical="center"/>
    </xf>
    <xf numFmtId="169" fontId="123" fillId="0" borderId="5" xfId="0" applyNumberFormat="1" applyFont="1" applyBorder="1" applyAlignment="1">
      <alignment horizontal="center"/>
    </xf>
    <xf numFmtId="169" fontId="123" fillId="0" borderId="6" xfId="0" applyNumberFormat="1" applyFont="1" applyBorder="1" applyAlignment="1">
      <alignment horizontal="center"/>
    </xf>
    <xf numFmtId="169" fontId="123" fillId="0" borderId="7" xfId="0" applyNumberFormat="1" applyFont="1" applyBorder="1" applyAlignment="1">
      <alignment horizontal="center"/>
    </xf>
    <xf numFmtId="0" fontId="91" fillId="6" borderId="88" xfId="0" applyFont="1" applyFill="1" applyBorder="1" applyAlignment="1">
      <alignment horizontal="center" vertical="center"/>
    </xf>
    <xf numFmtId="0" fontId="91" fillId="6" borderId="89" xfId="0" applyFont="1" applyFill="1" applyBorder="1" applyAlignment="1">
      <alignment horizontal="center" vertical="center"/>
    </xf>
    <xf numFmtId="0" fontId="91" fillId="6" borderId="90" xfId="0" applyFont="1" applyFill="1" applyBorder="1" applyAlignment="1">
      <alignment horizontal="center" vertical="center"/>
    </xf>
    <xf numFmtId="0" fontId="91" fillId="6" borderId="94" xfId="0" applyFont="1" applyFill="1" applyBorder="1" applyAlignment="1">
      <alignment horizontal="center" vertical="center"/>
    </xf>
    <xf numFmtId="0" fontId="91" fillId="6" borderId="0" xfId="0" applyFont="1" applyFill="1" applyAlignment="1">
      <alignment horizontal="center" vertical="center"/>
    </xf>
    <xf numFmtId="0" fontId="91" fillId="6" borderId="95" xfId="0" applyFont="1" applyFill="1" applyBorder="1" applyAlignment="1">
      <alignment horizontal="center" vertical="center"/>
    </xf>
    <xf numFmtId="0" fontId="91" fillId="6" borderId="94" xfId="0" applyFont="1" applyFill="1" applyBorder="1" applyAlignment="1">
      <alignment horizontal="center" vertical="center" textRotation="90"/>
    </xf>
    <xf numFmtId="0" fontId="91" fillId="6" borderId="91" xfId="0" applyFont="1" applyFill="1" applyBorder="1" applyAlignment="1">
      <alignment horizontal="center" vertical="center" textRotation="90"/>
    </xf>
    <xf numFmtId="10" fontId="91" fillId="9" borderId="2" xfId="3" applyNumberFormat="1" applyFont="1" applyFill="1" applyBorder="1" applyAlignment="1">
      <alignment horizontal="center"/>
    </xf>
    <xf numFmtId="10" fontId="91"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91" fillId="9" borderId="6" xfId="0" applyNumberFormat="1" applyFont="1" applyFill="1" applyBorder="1" applyAlignment="1">
      <alignment horizontal="center"/>
    </xf>
    <xf numFmtId="2" fontId="91" fillId="9" borderId="7" xfId="0" applyNumberFormat="1" applyFont="1" applyFill="1" applyBorder="1" applyAlignment="1">
      <alignment horizontal="center"/>
    </xf>
    <xf numFmtId="0" fontId="91" fillId="9" borderId="24" xfId="0" applyFont="1" applyFill="1" applyBorder="1" applyAlignment="1">
      <alignment horizontal="center" vertical="center"/>
    </xf>
    <xf numFmtId="0" fontId="91" fillId="9" borderId="21" xfId="0" applyFont="1" applyFill="1" applyBorder="1" applyAlignment="1">
      <alignment horizontal="center" vertical="center"/>
    </xf>
    <xf numFmtId="0" fontId="91" fillId="9" borderId="22" xfId="0" applyFont="1" applyFill="1" applyBorder="1" applyAlignment="1">
      <alignment horizontal="center" vertical="center"/>
    </xf>
    <xf numFmtId="0" fontId="91" fillId="9" borderId="4" xfId="0" applyFont="1" applyFill="1" applyBorder="1" applyAlignment="1">
      <alignment horizontal="center" vertical="center"/>
    </xf>
    <xf numFmtId="0" fontId="91" fillId="9" borderId="2" xfId="0" applyFont="1" applyFill="1" applyBorder="1" applyAlignment="1">
      <alignment horizontal="center" vertical="center"/>
    </xf>
    <xf numFmtId="0" fontId="91"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91" fillId="9" borderId="42" xfId="0" applyNumberFormat="1" applyFont="1" applyFill="1" applyBorder="1" applyAlignment="1">
      <alignment horizontal="center" vertical="center"/>
    </xf>
    <xf numFmtId="8" fontId="91" fillId="9" borderId="58" xfId="0" applyNumberFormat="1" applyFont="1" applyFill="1" applyBorder="1" applyAlignment="1">
      <alignment horizontal="center" vertical="center"/>
    </xf>
    <xf numFmtId="8" fontId="91" fillId="9" borderId="31" xfId="0" applyNumberFormat="1" applyFont="1" applyFill="1" applyBorder="1" applyAlignment="1">
      <alignment horizontal="center" vertical="center"/>
    </xf>
    <xf numFmtId="8" fontId="91" fillId="9" borderId="57" xfId="0" applyNumberFormat="1" applyFont="1" applyFill="1" applyBorder="1" applyAlignment="1">
      <alignment horizontal="center" vertical="center"/>
    </xf>
    <xf numFmtId="0" fontId="91" fillId="9" borderId="13" xfId="0" applyFont="1" applyFill="1" applyBorder="1" applyAlignment="1">
      <alignment horizontal="center" wrapText="1"/>
    </xf>
    <xf numFmtId="0" fontId="91" fillId="9" borderId="26" xfId="0" applyFont="1" applyFill="1" applyBorder="1" applyAlignment="1">
      <alignment horizontal="center" wrapText="1"/>
    </xf>
    <xf numFmtId="0" fontId="124" fillId="0" borderId="24" xfId="0" applyFont="1" applyBorder="1" applyAlignment="1">
      <alignment horizontal="center" vertical="center" textRotation="90" wrapText="1"/>
    </xf>
    <xf numFmtId="0" fontId="124" fillId="0" borderId="4" xfId="0" applyFont="1" applyBorder="1" applyAlignment="1">
      <alignment horizontal="center" vertical="center" textRotation="90" wrapText="1"/>
    </xf>
    <xf numFmtId="169" fontId="182" fillId="0" borderId="43" xfId="2" applyNumberFormat="1" applyFont="1" applyBorder="1" applyAlignment="1" applyProtection="1">
      <alignment horizontal="center" vertical="center"/>
    </xf>
    <xf numFmtId="169" fontId="182" fillId="0" borderId="23" xfId="2" applyNumberFormat="1" applyFont="1" applyBorder="1" applyAlignment="1" applyProtection="1">
      <alignment horizontal="center" vertical="center"/>
    </xf>
    <xf numFmtId="169" fontId="182" fillId="0" borderId="19" xfId="2" applyNumberFormat="1" applyFont="1" applyBorder="1" applyAlignment="1" applyProtection="1">
      <alignment horizontal="center" vertical="center"/>
    </xf>
    <xf numFmtId="169" fontId="182" fillId="0" borderId="0" xfId="2" applyNumberFormat="1" applyFont="1" applyBorder="1" applyAlignment="1" applyProtection="1">
      <alignment horizontal="center" vertical="center"/>
    </xf>
    <xf numFmtId="169" fontId="53" fillId="0" borderId="4" xfId="0" applyNumberFormat="1" applyFont="1" applyBorder="1" applyAlignment="1">
      <alignment horizontal="center"/>
    </xf>
    <xf numFmtId="169" fontId="53" fillId="0" borderId="2" xfId="0" applyNumberFormat="1" applyFont="1" applyBorder="1" applyAlignment="1">
      <alignment horizontal="center"/>
    </xf>
    <xf numFmtId="169" fontId="53" fillId="0" borderId="3" xfId="0" applyNumberFormat="1" applyFont="1" applyBorder="1" applyAlignment="1">
      <alignment horizontal="center"/>
    </xf>
    <xf numFmtId="169" fontId="122" fillId="0" borderId="4" xfId="0" applyNumberFormat="1" applyFont="1" applyBorder="1" applyAlignment="1">
      <alignment horizontal="center"/>
    </xf>
    <xf numFmtId="169" fontId="122" fillId="0" borderId="2" xfId="0" applyNumberFormat="1" applyFont="1" applyBorder="1" applyAlignment="1">
      <alignment horizontal="center"/>
    </xf>
    <xf numFmtId="169" fontId="122" fillId="0" borderId="3" xfId="0" applyNumberFormat="1" applyFont="1" applyBorder="1" applyAlignment="1">
      <alignment horizontal="center"/>
    </xf>
    <xf numFmtId="0" fontId="0" fillId="0" borderId="0" xfId="0" applyAlignment="1" applyProtection="1">
      <alignment horizontal="center" wrapText="1"/>
      <protection hidden="1"/>
    </xf>
    <xf numFmtId="0" fontId="91" fillId="4" borderId="19" xfId="0" applyFont="1" applyFill="1" applyBorder="1" applyAlignment="1" applyProtection="1">
      <alignment horizontal="center" vertical="center" wrapText="1"/>
      <protection hidden="1"/>
    </xf>
    <xf numFmtId="0" fontId="91" fillId="4" borderId="15" xfId="0" applyFont="1" applyFill="1" applyBorder="1" applyAlignment="1" applyProtection="1">
      <alignment horizontal="center" vertical="center" wrapText="1"/>
      <protection hidden="1"/>
    </xf>
    <xf numFmtId="0" fontId="91" fillId="4" borderId="30" xfId="0" applyFont="1" applyFill="1" applyBorder="1" applyAlignment="1" applyProtection="1">
      <alignment horizontal="center" vertical="center" wrapText="1"/>
      <protection hidden="1"/>
    </xf>
    <xf numFmtId="0" fontId="91" fillId="4" borderId="57" xfId="0" applyFont="1" applyFill="1" applyBorder="1" applyAlignment="1" applyProtection="1">
      <alignment horizontal="center" vertical="center" wrapText="1"/>
      <protection hidden="1"/>
    </xf>
    <xf numFmtId="0" fontId="113" fillId="4" borderId="24" xfId="0" applyFont="1" applyFill="1" applyBorder="1" applyAlignment="1" applyProtection="1">
      <alignment horizontal="center" vertical="center"/>
      <protection hidden="1"/>
    </xf>
    <xf numFmtId="0" fontId="113" fillId="4" borderId="21" xfId="0" applyFont="1" applyFill="1" applyBorder="1" applyAlignment="1" applyProtection="1">
      <alignment horizontal="center" vertical="center"/>
      <protection hidden="1"/>
    </xf>
    <xf numFmtId="0" fontId="113" fillId="4" borderId="22" xfId="0" applyFont="1" applyFill="1" applyBorder="1" applyAlignment="1" applyProtection="1">
      <alignment horizontal="center" vertical="center"/>
      <protection hidden="1"/>
    </xf>
    <xf numFmtId="0" fontId="113" fillId="4" borderId="78" xfId="0" applyFont="1" applyFill="1" applyBorder="1" applyAlignment="1" applyProtection="1">
      <alignment horizontal="center" vertical="center"/>
      <protection hidden="1"/>
    </xf>
    <xf numFmtId="0" fontId="113"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03" fillId="4" borderId="19" xfId="0" quotePrefix="1" applyFont="1" applyFill="1" applyBorder="1" applyAlignment="1" applyProtection="1">
      <alignment horizontal="center" vertical="center" wrapText="1"/>
      <protection hidden="1"/>
    </xf>
    <xf numFmtId="0" fontId="103" fillId="4" borderId="0" xfId="0" applyFont="1" applyFill="1" applyAlignment="1" applyProtection="1">
      <alignment horizontal="center" vertical="center" wrapText="1"/>
      <protection hidden="1"/>
    </xf>
    <xf numFmtId="0" fontId="103"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07" fillId="4" borderId="43" xfId="0" applyFont="1" applyFill="1" applyBorder="1" applyAlignment="1" applyProtection="1">
      <alignment horizontal="center" vertical="center" textRotation="90" wrapText="1"/>
      <protection hidden="1"/>
    </xf>
    <xf numFmtId="0" fontId="107" fillId="4" borderId="19" xfId="0" applyFont="1" applyFill="1" applyBorder="1" applyAlignment="1" applyProtection="1">
      <alignment horizontal="center" vertical="center" textRotation="90" wrapText="1"/>
      <protection hidden="1"/>
    </xf>
    <xf numFmtId="0" fontId="102" fillId="9" borderId="106" xfId="0" applyFont="1" applyFill="1" applyBorder="1" applyAlignment="1" applyProtection="1">
      <alignment horizontal="center" vertical="center" wrapText="1"/>
      <protection hidden="1"/>
    </xf>
    <xf numFmtId="0" fontId="94" fillId="4" borderId="78" xfId="0" applyFont="1" applyFill="1" applyBorder="1" applyAlignment="1" applyProtection="1">
      <alignment horizontal="center" vertical="center"/>
      <protection hidden="1"/>
    </xf>
    <xf numFmtId="0" fontId="94"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96" fillId="4" borderId="23" xfId="0" applyFont="1" applyFill="1" applyBorder="1" applyAlignment="1">
      <alignment horizontal="center" vertical="center"/>
    </xf>
    <xf numFmtId="0" fontId="145" fillId="4" borderId="79" xfId="0" applyFont="1" applyFill="1" applyBorder="1" applyAlignment="1">
      <alignment horizontal="center" vertical="center"/>
    </xf>
    <xf numFmtId="0" fontId="145" fillId="4" borderId="163" xfId="0" applyFont="1" applyFill="1" applyBorder="1" applyAlignment="1">
      <alignment horizontal="center" vertical="center"/>
    </xf>
    <xf numFmtId="14" fontId="96" fillId="4" borderId="138" xfId="0" applyNumberFormat="1" applyFont="1" applyFill="1" applyBorder="1" applyAlignment="1" applyProtection="1">
      <alignment horizontal="center" vertical="center" wrapText="1"/>
      <protection hidden="1"/>
    </xf>
    <xf numFmtId="14" fontId="96" fillId="4" borderId="139" xfId="0" applyNumberFormat="1" applyFont="1" applyFill="1" applyBorder="1" applyAlignment="1" applyProtection="1">
      <alignment horizontal="center" vertical="center" wrapText="1"/>
      <protection hidden="1"/>
    </xf>
    <xf numFmtId="14" fontId="96" fillId="4" borderId="140" xfId="0" applyNumberFormat="1" applyFont="1" applyFill="1" applyBorder="1" applyAlignment="1" applyProtection="1">
      <alignment horizontal="center" vertical="center" wrapText="1"/>
      <protection hidden="1"/>
    </xf>
    <xf numFmtId="0" fontId="91" fillId="4" borderId="119" xfId="0" applyFont="1" applyFill="1" applyBorder="1" applyAlignment="1" applyProtection="1">
      <alignment horizontal="right" vertical="center" wrapText="1"/>
      <protection hidden="1"/>
    </xf>
    <xf numFmtId="0" fontId="91" fillId="4" borderId="125" xfId="0" applyFont="1" applyFill="1" applyBorder="1" applyAlignment="1" applyProtection="1">
      <alignment horizontal="right" vertical="center" wrapText="1"/>
      <protection hidden="1"/>
    </xf>
    <xf numFmtId="0" fontId="91" fillId="4" borderId="126" xfId="0" applyFont="1" applyFill="1" applyBorder="1" applyAlignment="1" applyProtection="1">
      <alignment horizontal="right" vertical="center" wrapText="1"/>
      <protection hidden="1"/>
    </xf>
    <xf numFmtId="0" fontId="96" fillId="4" borderId="29" xfId="0" applyFont="1" applyFill="1" applyBorder="1" applyAlignment="1" applyProtection="1">
      <alignment horizontal="center" vertical="center" wrapText="1"/>
      <protection hidden="1"/>
    </xf>
    <xf numFmtId="0" fontId="96" fillId="4" borderId="100" xfId="0" applyFont="1" applyFill="1" applyBorder="1" applyAlignment="1" applyProtection="1">
      <alignment horizontal="center" vertical="center" wrapText="1"/>
      <protection hidden="1"/>
    </xf>
    <xf numFmtId="0" fontId="91" fillId="4" borderId="118" xfId="0" quotePrefix="1" applyFont="1" applyFill="1" applyBorder="1" applyAlignment="1" applyProtection="1">
      <alignment horizontal="right" vertical="center"/>
      <protection hidden="1"/>
    </xf>
    <xf numFmtId="0" fontId="91"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49" fillId="4" borderId="65" xfId="0" applyFont="1" applyFill="1" applyBorder="1" applyAlignment="1" applyProtection="1">
      <alignment horizontal="center" vertical="center" wrapText="1"/>
      <protection hidden="1"/>
    </xf>
    <xf numFmtId="0" fontId="49" fillId="4" borderId="79" xfId="0" applyFont="1" applyFill="1" applyBorder="1" applyAlignment="1" applyProtection="1">
      <alignment horizontal="center" vertical="center" wrapText="1"/>
      <protection hidden="1"/>
    </xf>
    <xf numFmtId="8" fontId="0" fillId="0" borderId="0" xfId="3" applyNumberFormat="1" applyFont="1" applyAlignment="1">
      <alignment horizontal="center"/>
    </xf>
    <xf numFmtId="0" fontId="91" fillId="4" borderId="68" xfId="0" applyFont="1" applyFill="1" applyBorder="1" applyAlignment="1" applyProtection="1">
      <alignment horizontal="right" vertical="center" wrapText="1"/>
      <protection hidden="1"/>
    </xf>
    <xf numFmtId="0" fontId="91"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96" fillId="4" borderId="101" xfId="0" applyFont="1" applyFill="1" applyBorder="1" applyAlignment="1" applyProtection="1">
      <alignment horizontal="center" vertical="center" wrapText="1"/>
      <protection hidden="1"/>
    </xf>
    <xf numFmtId="0" fontId="96" fillId="4" borderId="66"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91" fillId="4" borderId="65" xfId="0" applyFont="1" applyFill="1" applyBorder="1" applyAlignment="1">
      <alignment horizontal="right" vertical="center" wrapText="1"/>
    </xf>
    <xf numFmtId="0" fontId="91" fillId="4" borderId="79" xfId="0" applyFont="1" applyFill="1" applyBorder="1" applyAlignment="1">
      <alignment horizontal="right" vertical="center" wrapText="1"/>
    </xf>
    <xf numFmtId="0" fontId="91"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91" fillId="4" borderId="4" xfId="0" applyFont="1" applyFill="1" applyBorder="1" applyAlignment="1">
      <alignment horizontal="right" vertical="center" wrapText="1"/>
    </xf>
    <xf numFmtId="0" fontId="91" fillId="4" borderId="2" xfId="0" applyFont="1" applyFill="1" applyBorder="1" applyAlignment="1">
      <alignment horizontal="right" vertical="center" wrapText="1"/>
    </xf>
    <xf numFmtId="0" fontId="91" fillId="4" borderId="68" xfId="0" applyFont="1" applyFill="1" applyBorder="1" applyAlignment="1">
      <alignment horizontal="right" vertical="center" wrapText="1"/>
    </xf>
    <xf numFmtId="0" fontId="91" fillId="4" borderId="9" xfId="0" applyFont="1" applyFill="1" applyBorder="1" applyAlignment="1">
      <alignment horizontal="right" vertical="center" wrapText="1"/>
    </xf>
    <xf numFmtId="0" fontId="91" fillId="4" borderId="10" xfId="0" applyFont="1"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32" fillId="4" borderId="136" xfId="0" applyFont="1" applyFill="1" applyBorder="1" applyAlignment="1" applyProtection="1">
      <alignment horizontal="center" vertical="center" wrapText="1"/>
      <protection hidden="1"/>
    </xf>
    <xf numFmtId="0" fontId="132" fillId="4" borderId="133" xfId="0" applyFont="1" applyFill="1" applyBorder="1" applyAlignment="1" applyProtection="1">
      <alignment horizontal="center" vertical="center" wrapText="1"/>
      <protection hidden="1"/>
    </xf>
    <xf numFmtId="0" fontId="132"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91" fillId="0" borderId="1" xfId="0" applyFont="1" applyBorder="1" applyAlignment="1">
      <alignment horizontal="right" vertical="center" wrapText="1"/>
    </xf>
    <xf numFmtId="0" fontId="91" fillId="0" borderId="10" xfId="0" applyFont="1" applyBorder="1" applyAlignment="1">
      <alignment horizontal="right" vertical="center" wrapText="1"/>
    </xf>
    <xf numFmtId="0" fontId="98" fillId="4" borderId="30" xfId="0" applyFont="1" applyFill="1" applyBorder="1" applyAlignment="1">
      <alignment horizontal="center" vertical="center" wrapText="1"/>
    </xf>
    <xf numFmtId="0" fontId="98" fillId="4" borderId="28" xfId="0" applyFont="1" applyFill="1" applyBorder="1" applyAlignment="1">
      <alignment horizontal="center" vertical="center" wrapText="1"/>
    </xf>
    <xf numFmtId="0" fontId="96" fillId="0" borderId="2" xfId="0" applyFont="1" applyBorder="1" applyAlignment="1">
      <alignment horizontal="right" vertical="center" wrapText="1"/>
    </xf>
    <xf numFmtId="0" fontId="0" fillId="0" borderId="0" xfId="0" applyAlignment="1">
      <alignment horizontal="left" vertical="center" wrapText="1"/>
    </xf>
    <xf numFmtId="0" fontId="119" fillId="4" borderId="19" xfId="0" applyFont="1" applyFill="1" applyBorder="1" applyAlignment="1" applyProtection="1">
      <alignment horizontal="left" vertical="center"/>
      <protection hidden="1"/>
    </xf>
    <xf numFmtId="0" fontId="119" fillId="4" borderId="0" xfId="0" applyFont="1" applyFill="1" applyAlignment="1" applyProtection="1">
      <alignment horizontal="left" vertical="center"/>
      <protection hidden="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96" fillId="4" borderId="1" xfId="0" applyNumberFormat="1" applyFont="1" applyFill="1" applyBorder="1" applyAlignment="1" applyProtection="1">
      <alignment horizontal="center" vertical="center" wrapText="1"/>
      <protection hidden="1"/>
    </xf>
    <xf numFmtId="8" fontId="96" fillId="4" borderId="77" xfId="0" applyNumberFormat="1" applyFont="1" applyFill="1" applyBorder="1" applyAlignment="1" applyProtection="1">
      <alignment horizontal="center" vertical="center" wrapText="1"/>
      <protection hidden="1"/>
    </xf>
    <xf numFmtId="0" fontId="80" fillId="4" borderId="19" xfId="0" applyFont="1" applyFill="1" applyBorder="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113" fillId="4" borderId="43" xfId="0" applyFont="1" applyFill="1" applyBorder="1" applyAlignment="1" applyProtection="1">
      <alignment horizontal="center" vertical="center" wrapText="1"/>
      <protection hidden="1"/>
    </xf>
    <xf numFmtId="0" fontId="113" fillId="4" borderId="44" xfId="0" applyFont="1" applyFill="1" applyBorder="1" applyAlignment="1" applyProtection="1">
      <alignment horizontal="center" vertical="center" wrapText="1"/>
      <protection hidden="1"/>
    </xf>
    <xf numFmtId="0" fontId="113" fillId="4" borderId="19" xfId="0" applyFont="1" applyFill="1" applyBorder="1" applyAlignment="1" applyProtection="1">
      <alignment horizontal="center" vertical="center" wrapText="1"/>
      <protection hidden="1"/>
    </xf>
    <xf numFmtId="0" fontId="113"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80" fillId="4" borderId="19"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15" xfId="0" applyFont="1" applyFill="1" applyBorder="1" applyAlignment="1">
      <alignment horizontal="center" vertical="center" wrapText="1"/>
    </xf>
    <xf numFmtId="9" fontId="148" fillId="4" borderId="0" xfId="3" applyFont="1" applyFill="1" applyBorder="1" applyAlignment="1" applyProtection="1">
      <alignment horizontal="center" vertical="center" wrapText="1"/>
      <protection hidden="1"/>
    </xf>
    <xf numFmtId="9" fontId="148" fillId="4" borderId="15" xfId="3" applyFont="1" applyFill="1" applyBorder="1" applyAlignment="1" applyProtection="1">
      <alignment horizontal="center" vertical="center" wrapText="1"/>
      <protection hidden="1"/>
    </xf>
    <xf numFmtId="0" fontId="148" fillId="4" borderId="0" xfId="0" applyFont="1" applyFill="1" applyAlignment="1" applyProtection="1">
      <alignment horizontal="center" vertical="center" wrapText="1"/>
      <protection hidden="1"/>
    </xf>
    <xf numFmtId="0" fontId="148" fillId="4" borderId="15" xfId="0" applyFont="1" applyFill="1" applyBorder="1" applyAlignment="1" applyProtection="1">
      <alignment horizontal="center" vertical="center" wrapText="1"/>
      <protection hidden="1"/>
    </xf>
    <xf numFmtId="0" fontId="148" fillId="4" borderId="18" xfId="0" applyFont="1" applyFill="1" applyBorder="1" applyAlignment="1" applyProtection="1">
      <alignment horizontal="center" vertical="center" wrapText="1"/>
      <protection hidden="1"/>
    </xf>
    <xf numFmtId="0" fontId="148" fillId="4" borderId="39" xfId="0" applyFont="1" applyFill="1" applyBorder="1" applyAlignment="1" applyProtection="1">
      <alignment horizontal="center" vertical="center" wrapText="1"/>
      <protection hidden="1"/>
    </xf>
    <xf numFmtId="0" fontId="91" fillId="4" borderId="102" xfId="0" applyFont="1" applyFill="1" applyBorder="1" applyAlignment="1" applyProtection="1">
      <alignment horizontal="right" vertical="center" wrapText="1"/>
      <protection hidden="1"/>
    </xf>
    <xf numFmtId="0" fontId="119" fillId="4" borderId="19" xfId="0" applyFont="1" applyFill="1" applyBorder="1" applyAlignment="1" applyProtection="1">
      <alignment horizontal="left" vertical="center" wrapText="1"/>
      <protection hidden="1"/>
    </xf>
    <xf numFmtId="0" fontId="119" fillId="4" borderId="0" xfId="0" applyFont="1" applyFill="1" applyAlignment="1" applyProtection="1">
      <alignment horizontal="left" vertical="center" wrapText="1"/>
      <protection hidden="1"/>
    </xf>
    <xf numFmtId="0" fontId="181" fillId="4" borderId="65" xfId="2" applyNumberFormat="1" applyFont="1" applyFill="1" applyBorder="1" applyAlignment="1" applyProtection="1">
      <alignment horizontal="center" vertical="center" wrapText="1"/>
      <protection hidden="1"/>
    </xf>
    <xf numFmtId="0" fontId="181" fillId="4" borderId="79" xfId="2" applyNumberFormat="1" applyFont="1" applyFill="1" applyBorder="1" applyAlignment="1" applyProtection="1">
      <alignment horizontal="center" vertical="center" wrapText="1"/>
      <protection hidden="1"/>
    </xf>
    <xf numFmtId="0" fontId="181" fillId="4" borderId="20" xfId="2" applyNumberFormat="1" applyFont="1" applyFill="1" applyBorder="1" applyAlignment="1" applyProtection="1">
      <alignment horizontal="center" vertical="center" wrapText="1"/>
      <protection hidden="1"/>
    </xf>
    <xf numFmtId="0" fontId="146" fillId="4" borderId="16" xfId="0" applyFont="1" applyFill="1" applyBorder="1" applyAlignment="1" applyProtection="1">
      <alignment horizontal="left" vertical="center"/>
      <protection hidden="1"/>
    </xf>
    <xf numFmtId="0" fontId="146" fillId="4" borderId="18" xfId="0" applyFont="1" applyFill="1" applyBorder="1" applyAlignment="1" applyProtection="1">
      <alignment horizontal="left" vertical="center"/>
      <protection hidden="1"/>
    </xf>
    <xf numFmtId="0" fontId="0" fillId="0" borderId="0" xfId="0" applyAlignment="1">
      <alignment horizontal="center" wrapText="1"/>
    </xf>
    <xf numFmtId="0" fontId="161" fillId="4" borderId="23" xfId="2" applyNumberFormat="1" applyFont="1" applyFill="1" applyBorder="1" applyAlignment="1" applyProtection="1">
      <alignment horizontal="center" vertical="center" wrapText="1"/>
      <protection locked="0" hidden="1"/>
    </xf>
    <xf numFmtId="0" fontId="161"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01" fillId="4" borderId="43" xfId="0" applyFont="1" applyFill="1" applyBorder="1" applyAlignment="1" applyProtection="1">
      <alignment horizontal="center" vertical="center"/>
      <protection hidden="1"/>
    </xf>
    <xf numFmtId="0" fontId="101" fillId="4" borderId="23" xfId="0" applyFont="1" applyFill="1" applyBorder="1" applyAlignment="1" applyProtection="1">
      <alignment horizontal="center" vertical="center"/>
      <protection hidden="1"/>
    </xf>
    <xf numFmtId="0" fontId="101"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96" fillId="4" borderId="11" xfId="0" applyFont="1" applyFill="1" applyBorder="1" applyAlignment="1" applyProtection="1">
      <alignment horizontal="center" vertical="center" wrapText="1"/>
      <protection hidden="1"/>
    </xf>
    <xf numFmtId="0" fontId="96" fillId="4" borderId="27" xfId="0" applyFont="1" applyFill="1" applyBorder="1" applyAlignment="1" applyProtection="1">
      <alignment horizontal="center" vertical="center" wrapText="1"/>
      <protection hidden="1"/>
    </xf>
    <xf numFmtId="0" fontId="113" fillId="9" borderId="4" xfId="0" applyFont="1" applyFill="1" applyBorder="1" applyAlignment="1" applyProtection="1">
      <alignment horizontal="center" vertical="center" wrapText="1"/>
      <protection hidden="1"/>
    </xf>
    <xf numFmtId="0" fontId="113" fillId="9" borderId="2" xfId="0" applyFont="1" applyFill="1" applyBorder="1" applyAlignment="1" applyProtection="1">
      <alignment horizontal="center" vertical="center" wrapText="1"/>
      <protection hidden="1"/>
    </xf>
    <xf numFmtId="0" fontId="102" fillId="9" borderId="24" xfId="0" applyFont="1" applyFill="1" applyBorder="1" applyAlignment="1" applyProtection="1">
      <alignment horizontal="center" vertical="center"/>
      <protection hidden="1"/>
    </xf>
    <xf numFmtId="0" fontId="102" fillId="9" borderId="21" xfId="0" applyFont="1" applyFill="1" applyBorder="1" applyAlignment="1" applyProtection="1">
      <alignment horizontal="center" vertical="center"/>
      <protection hidden="1"/>
    </xf>
    <xf numFmtId="0" fontId="102"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93" fillId="9" borderId="1" xfId="0" applyFont="1" applyFill="1" applyBorder="1" applyAlignment="1" applyProtection="1">
      <alignment horizontal="center" vertical="center" wrapText="1"/>
      <protection hidden="1"/>
    </xf>
    <xf numFmtId="0" fontId="93" fillId="9" borderId="9" xfId="0" applyFont="1" applyFill="1" applyBorder="1" applyAlignment="1" applyProtection="1">
      <alignment horizontal="center" vertical="center" wrapText="1"/>
      <protection hidden="1"/>
    </xf>
    <xf numFmtId="0" fontId="93" fillId="9" borderId="77" xfId="0" applyFont="1" applyFill="1" applyBorder="1" applyAlignment="1" applyProtection="1">
      <alignment horizontal="center" vertical="center" wrapText="1"/>
      <protection hidden="1"/>
    </xf>
    <xf numFmtId="0" fontId="113" fillId="9" borderId="1" xfId="0" applyFont="1" applyFill="1" applyBorder="1" applyAlignment="1">
      <alignment horizontal="center"/>
    </xf>
    <xf numFmtId="0" fontId="113" fillId="9" borderId="9" xfId="0" applyFont="1" applyFill="1" applyBorder="1" applyAlignment="1">
      <alignment horizontal="center"/>
    </xf>
    <xf numFmtId="0" fontId="113"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95" fillId="9" borderId="79" xfId="0" applyFont="1" applyFill="1" applyBorder="1" applyAlignment="1" applyProtection="1">
      <alignment horizontal="center" vertical="center" wrapText="1"/>
      <protection hidden="1"/>
    </xf>
    <xf numFmtId="0" fontId="95"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195" fillId="27" borderId="11" xfId="2" applyNumberFormat="1" applyFont="1" applyFill="1" applyBorder="1" applyAlignment="1" applyProtection="1">
      <alignment horizontal="center" vertical="center" wrapText="1"/>
      <protection hidden="1"/>
    </xf>
    <xf numFmtId="0" fontId="195" fillId="27" borderId="27" xfId="2" applyNumberFormat="1" applyFont="1" applyFill="1" applyBorder="1" applyAlignment="1" applyProtection="1">
      <alignment horizontal="center" vertical="center" wrapText="1"/>
      <protection hidden="1"/>
    </xf>
    <xf numFmtId="0" fontId="0" fillId="0" borderId="0" xfId="0" applyAlignment="1">
      <alignment horizontal="right" vertical="top" wrapText="1"/>
    </xf>
    <xf numFmtId="0" fontId="197" fillId="9" borderId="79" xfId="0" applyFont="1" applyFill="1" applyBorder="1" applyAlignment="1" applyProtection="1">
      <alignment horizontal="center" vertical="center" wrapText="1"/>
      <protection hidden="1"/>
    </xf>
    <xf numFmtId="0" fontId="197" fillId="9" borderId="20" xfId="0" applyFont="1" applyFill="1" applyBorder="1" applyAlignment="1" applyProtection="1">
      <alignment horizontal="center" vertical="center" wrapText="1"/>
      <protection hidden="1"/>
    </xf>
    <xf numFmtId="0" fontId="91" fillId="9" borderId="65" xfId="0" applyFont="1" applyFill="1" applyBorder="1" applyAlignment="1" applyProtection="1">
      <alignment horizontal="center" vertical="center" wrapText="1"/>
      <protection hidden="1"/>
    </xf>
    <xf numFmtId="0" fontId="91" fillId="9" borderId="79" xfId="0" applyFont="1" applyFill="1" applyBorder="1" applyAlignment="1" applyProtection="1">
      <alignment horizontal="center" vertical="center" wrapText="1"/>
      <protection hidden="1"/>
    </xf>
    <xf numFmtId="0" fontId="96" fillId="9" borderId="0" xfId="0" applyFont="1" applyFill="1" applyAlignment="1">
      <alignment horizontal="center" vertical="center" wrapText="1"/>
    </xf>
    <xf numFmtId="0" fontId="164" fillId="9" borderId="171" xfId="0" applyFont="1" applyFill="1" applyBorder="1" applyAlignment="1">
      <alignment horizontal="center" vertical="center"/>
    </xf>
    <xf numFmtId="0" fontId="164" fillId="9" borderId="172" xfId="0" applyFont="1" applyFill="1" applyBorder="1" applyAlignment="1">
      <alignment horizontal="center" vertical="center"/>
    </xf>
    <xf numFmtId="0" fontId="106" fillId="9" borderId="223" xfId="0" applyFont="1" applyFill="1" applyBorder="1" applyAlignment="1">
      <alignment horizontal="left" vertical="center"/>
    </xf>
    <xf numFmtId="0" fontId="106" fillId="9" borderId="171" xfId="0" applyFont="1" applyFill="1" applyBorder="1" applyAlignment="1">
      <alignment horizontal="left" vertical="center"/>
    </xf>
    <xf numFmtId="0" fontId="14" fillId="9" borderId="80" xfId="0" applyFont="1" applyFill="1" applyBorder="1" applyAlignment="1">
      <alignment horizontal="right" vertical="center"/>
    </xf>
    <xf numFmtId="0" fontId="14" fillId="9" borderId="82" xfId="0" applyFont="1" applyFill="1" applyBorder="1" applyAlignment="1">
      <alignment horizontal="right" vertical="center"/>
    </xf>
    <xf numFmtId="8" fontId="4" fillId="6" borderId="164" xfId="0" applyNumberFormat="1" applyFont="1" applyFill="1" applyBorder="1" applyAlignment="1" applyProtection="1">
      <alignment horizontal="center" vertical="center"/>
      <protection locked="0"/>
    </xf>
    <xf numFmtId="8" fontId="13" fillId="6" borderId="10" xfId="0" applyNumberFormat="1" applyFont="1" applyFill="1" applyBorder="1" applyAlignment="1" applyProtection="1">
      <alignment horizontal="center" vertical="center"/>
      <protection locked="0"/>
    </xf>
    <xf numFmtId="8" fontId="5" fillId="6" borderId="164" xfId="0" applyNumberFormat="1" applyFont="1" applyFill="1" applyBorder="1" applyAlignment="1" applyProtection="1">
      <alignment horizontal="center" vertical="center"/>
      <protection locked="0"/>
    </xf>
    <xf numFmtId="8" fontId="14" fillId="6" borderId="10" xfId="0" applyNumberFormat="1" applyFont="1" applyFill="1" applyBorder="1" applyAlignment="1" applyProtection="1">
      <alignment horizontal="center" vertical="center"/>
      <protection locked="0"/>
    </xf>
    <xf numFmtId="14" fontId="202" fillId="9" borderId="187" xfId="0" applyNumberFormat="1" applyFont="1" applyFill="1" applyBorder="1" applyAlignment="1" applyProtection="1">
      <alignment horizontal="center" vertical="center" wrapText="1"/>
      <protection hidden="1"/>
    </xf>
    <xf numFmtId="14" fontId="202" fillId="9" borderId="55" xfId="0" applyNumberFormat="1" applyFont="1" applyFill="1" applyBorder="1" applyAlignment="1" applyProtection="1">
      <alignment horizontal="center" vertical="center" wrapText="1"/>
      <protection hidden="1"/>
    </xf>
    <xf numFmtId="14" fontId="202" fillId="9" borderId="182" xfId="0" applyNumberFormat="1" applyFont="1" applyFill="1" applyBorder="1" applyAlignment="1" applyProtection="1">
      <alignment horizontal="center" vertical="center" wrapText="1"/>
      <protection hidden="1"/>
    </xf>
    <xf numFmtId="14" fontId="202" fillId="9" borderId="56" xfId="0" applyNumberFormat="1" applyFont="1" applyFill="1" applyBorder="1" applyAlignment="1" applyProtection="1">
      <alignment horizontal="center" vertical="center" wrapText="1"/>
      <protection hidden="1"/>
    </xf>
    <xf numFmtId="14" fontId="54" fillId="9" borderId="164" xfId="2" applyNumberFormat="1" applyFill="1" applyBorder="1" applyAlignment="1" applyProtection="1">
      <alignment horizontal="right" vertical="center"/>
      <protection hidden="1"/>
    </xf>
    <xf numFmtId="14" fontId="54" fillId="9" borderId="9" xfId="2" applyNumberFormat="1" applyFill="1" applyBorder="1" applyAlignment="1" applyProtection="1">
      <alignment horizontal="right" vertical="center"/>
      <protection hidden="1"/>
    </xf>
    <xf numFmtId="14" fontId="54" fillId="9" borderId="10" xfId="2" applyNumberFormat="1" applyFill="1" applyBorder="1" applyAlignment="1" applyProtection="1">
      <alignment horizontal="right" vertical="center"/>
      <protection hidden="1"/>
    </xf>
    <xf numFmtId="14" fontId="54" fillId="9" borderId="295" xfId="2" applyNumberFormat="1" applyFill="1" applyBorder="1" applyAlignment="1" applyProtection="1">
      <alignment horizontal="right" vertical="center"/>
      <protection hidden="1"/>
    </xf>
    <xf numFmtId="14" fontId="54" fillId="9" borderId="81" xfId="2" applyNumberFormat="1" applyFill="1" applyBorder="1" applyAlignment="1" applyProtection="1">
      <alignment horizontal="right" vertical="center"/>
      <protection hidden="1"/>
    </xf>
    <xf numFmtId="14" fontId="54" fillId="9" borderId="82" xfId="2" applyNumberFormat="1" applyFill="1" applyBorder="1" applyAlignment="1" applyProtection="1">
      <alignment horizontal="right" vertical="center"/>
      <protection hidden="1"/>
    </xf>
    <xf numFmtId="0" fontId="11" fillId="9" borderId="187" xfId="0" applyFont="1" applyFill="1" applyBorder="1" applyAlignment="1" applyProtection="1">
      <alignment horizontal="right" vertical="center" wrapText="1"/>
      <protection hidden="1"/>
    </xf>
    <xf numFmtId="0" fontId="11" fillId="9" borderId="113" xfId="0" applyFont="1" applyFill="1" applyBorder="1" applyAlignment="1" applyProtection="1">
      <alignment horizontal="right" vertical="center" wrapText="1"/>
      <protection hidden="1"/>
    </xf>
    <xf numFmtId="0" fontId="11" fillId="9" borderId="55" xfId="0" applyFont="1" applyFill="1" applyBorder="1" applyAlignment="1" applyProtection="1">
      <alignment horizontal="right" vertical="center" wrapText="1"/>
      <protection hidden="1"/>
    </xf>
    <xf numFmtId="0" fontId="11" fillId="9" borderId="182" xfId="0" applyFont="1" applyFill="1" applyBorder="1" applyAlignment="1" applyProtection="1">
      <alignment horizontal="right" vertical="center" wrapText="1"/>
      <protection hidden="1"/>
    </xf>
    <xf numFmtId="0" fontId="11" fillId="9" borderId="28" xfId="0" applyFont="1" applyFill="1" applyBorder="1" applyAlignment="1" applyProtection="1">
      <alignment horizontal="right" vertical="center" wrapText="1"/>
      <protection hidden="1"/>
    </xf>
    <xf numFmtId="0" fontId="11" fillId="9" borderId="56" xfId="0" applyFont="1" applyFill="1" applyBorder="1" applyAlignment="1" applyProtection="1">
      <alignment horizontal="right" vertical="center" wrapText="1"/>
      <protection hidden="1"/>
    </xf>
    <xf numFmtId="0" fontId="133" fillId="9" borderId="164" xfId="0" applyFont="1" applyFill="1" applyBorder="1" applyAlignment="1" applyProtection="1">
      <alignment horizontal="left" vertical="center"/>
      <protection hidden="1"/>
    </xf>
    <xf numFmtId="0" fontId="133" fillId="9" borderId="9" xfId="0" applyFont="1" applyFill="1" applyBorder="1" applyAlignment="1" applyProtection="1">
      <alignment horizontal="left" vertical="center"/>
      <protection hidden="1"/>
    </xf>
    <xf numFmtId="0" fontId="133" fillId="9" borderId="10" xfId="0" applyFont="1" applyFill="1" applyBorder="1" applyAlignment="1" applyProtection="1">
      <alignment horizontal="left" vertical="center"/>
      <protection hidden="1"/>
    </xf>
    <xf numFmtId="0" fontId="164" fillId="0" borderId="1" xfId="0" applyFont="1" applyBorder="1" applyAlignment="1" applyProtection="1">
      <alignment horizontal="center" vertical="center"/>
      <protection locked="0"/>
    </xf>
    <xf numFmtId="0" fontId="164" fillId="0" borderId="9" xfId="0" applyFont="1" applyBorder="1" applyAlignment="1" applyProtection="1">
      <alignment horizontal="center" vertical="center"/>
      <protection locked="0"/>
    </xf>
    <xf numFmtId="0" fontId="164" fillId="0" borderId="146" xfId="0" applyFont="1" applyBorder="1" applyAlignment="1" applyProtection="1">
      <alignment horizontal="center" vertical="center"/>
      <protection locked="0"/>
    </xf>
    <xf numFmtId="0" fontId="164" fillId="9" borderId="224" xfId="0" applyFont="1" applyFill="1" applyBorder="1" applyAlignment="1" applyProtection="1">
      <alignment horizontal="center" vertical="center"/>
      <protection hidden="1"/>
    </xf>
    <xf numFmtId="0" fontId="164" fillId="9" borderId="23" xfId="0" applyFont="1" applyFill="1" applyBorder="1" applyAlignment="1" applyProtection="1">
      <alignment horizontal="center" vertical="center"/>
      <protection hidden="1"/>
    </xf>
    <xf numFmtId="0" fontId="164" fillId="9" borderId="225" xfId="0" applyFont="1" applyFill="1" applyBorder="1" applyAlignment="1" applyProtection="1">
      <alignment horizontal="center" vertical="center"/>
      <protection hidden="1"/>
    </xf>
    <xf numFmtId="0" fontId="231" fillId="9" borderId="185" xfId="0" applyFont="1" applyFill="1" applyBorder="1" applyAlignment="1" applyProtection="1">
      <alignment horizontal="center" vertical="center" wrapText="1"/>
      <protection hidden="1"/>
    </xf>
    <xf numFmtId="0" fontId="231" fillId="9" borderId="0" xfId="0" applyFont="1" applyFill="1" applyAlignment="1" applyProtection="1">
      <alignment horizontal="center" vertical="center" wrapText="1"/>
      <protection hidden="1"/>
    </xf>
    <xf numFmtId="0" fontId="231" fillId="9" borderId="153" xfId="0" applyFont="1" applyFill="1" applyBorder="1" applyAlignment="1" applyProtection="1">
      <alignment horizontal="center" vertical="center" wrapText="1"/>
      <protection hidden="1"/>
    </xf>
    <xf numFmtId="0" fontId="231" fillId="9" borderId="205" xfId="0" applyFont="1" applyFill="1" applyBorder="1" applyAlignment="1" applyProtection="1">
      <alignment horizontal="center" vertical="center" wrapText="1"/>
      <protection hidden="1"/>
    </xf>
    <xf numFmtId="0" fontId="231" fillId="9" borderId="18" xfId="0" applyFont="1" applyFill="1" applyBorder="1" applyAlignment="1" applyProtection="1">
      <alignment horizontal="center" vertical="center" wrapText="1"/>
      <protection hidden="1"/>
    </xf>
    <xf numFmtId="0" fontId="231" fillId="9" borderId="296" xfId="0" applyFont="1" applyFill="1" applyBorder="1" applyAlignment="1" applyProtection="1">
      <alignment horizontal="center" vertical="center" wrapText="1"/>
      <protection hidden="1"/>
    </xf>
    <xf numFmtId="0" fontId="104" fillId="9" borderId="115" xfId="0" quotePrefix="1" applyFont="1" applyFill="1" applyBorder="1" applyAlignment="1" applyProtection="1">
      <alignment horizontal="center" vertical="center" wrapText="1"/>
      <protection hidden="1"/>
    </xf>
    <xf numFmtId="0" fontId="104" fillId="9" borderId="23" xfId="0" quotePrefix="1" applyFont="1" applyFill="1" applyBorder="1" applyAlignment="1" applyProtection="1">
      <alignment horizontal="center" vertical="center" wrapText="1"/>
      <protection hidden="1"/>
    </xf>
    <xf numFmtId="14" fontId="202" fillId="9" borderId="12" xfId="0" applyNumberFormat="1" applyFont="1" applyFill="1" applyBorder="1" applyAlignment="1" applyProtection="1">
      <alignment horizontal="center" vertical="center" wrapText="1"/>
      <protection hidden="1"/>
    </xf>
    <xf numFmtId="14" fontId="202" fillId="9" borderId="41" xfId="0" applyNumberFormat="1" applyFont="1" applyFill="1" applyBorder="1" applyAlignment="1" applyProtection="1">
      <alignment horizontal="center" vertical="center" wrapText="1"/>
      <protection hidden="1"/>
    </xf>
    <xf numFmtId="8" fontId="202" fillId="9" borderId="12" xfId="3" applyNumberFormat="1" applyFont="1" applyFill="1" applyBorder="1" applyAlignment="1" applyProtection="1">
      <alignment horizontal="center" vertical="center" wrapText="1"/>
      <protection hidden="1"/>
    </xf>
    <xf numFmtId="8" fontId="202" fillId="9" borderId="41" xfId="3" applyNumberFormat="1" applyFont="1" applyFill="1" applyBorder="1" applyAlignment="1" applyProtection="1">
      <alignment horizontal="center" vertical="center" wrapText="1"/>
      <protection hidden="1"/>
    </xf>
    <xf numFmtId="0" fontId="14" fillId="9" borderId="164" xfId="0" applyFont="1" applyFill="1" applyBorder="1" applyAlignment="1">
      <alignment horizontal="left" vertical="center"/>
    </xf>
    <xf numFmtId="0" fontId="14" fillId="9" borderId="9" xfId="0" applyFont="1" applyFill="1" applyBorder="1" applyAlignment="1">
      <alignment horizontal="left" vertical="center"/>
    </xf>
    <xf numFmtId="0" fontId="14" fillId="9" borderId="10" xfId="0" applyFont="1" applyFill="1" applyBorder="1" applyAlignment="1">
      <alignment horizontal="left" vertical="center"/>
    </xf>
    <xf numFmtId="0" fontId="14" fillId="9" borderId="81" xfId="0" applyFont="1" applyFill="1" applyBorder="1" applyAlignment="1">
      <alignment horizontal="center" vertical="center"/>
    </xf>
    <xf numFmtId="0" fontId="14" fillId="9" borderId="252" xfId="0" applyFont="1" applyFill="1" applyBorder="1" applyAlignment="1">
      <alignment horizontal="center" vertical="center"/>
    </xf>
    <xf numFmtId="10" fontId="211" fillId="9" borderId="225" xfId="3" applyNumberFormat="1" applyFont="1" applyFill="1" applyBorder="1" applyAlignment="1" applyProtection="1">
      <alignment horizontal="center" vertical="center" wrapText="1"/>
      <protection hidden="1"/>
    </xf>
    <xf numFmtId="10" fontId="211" fillId="9" borderId="153" xfId="3" applyNumberFormat="1" applyFont="1" applyFill="1" applyBorder="1" applyAlignment="1" applyProtection="1">
      <alignment horizontal="center" vertical="center" wrapText="1"/>
      <protection hidden="1"/>
    </xf>
    <xf numFmtId="10" fontId="211" fillId="9" borderId="174" xfId="3" applyNumberFormat="1" applyFont="1" applyFill="1" applyBorder="1" applyAlignment="1" applyProtection="1">
      <alignment horizontal="center" vertical="center" wrapText="1"/>
      <protection hidden="1"/>
    </xf>
    <xf numFmtId="0" fontId="14" fillId="9" borderId="224" xfId="0" applyFont="1" applyFill="1" applyBorder="1" applyAlignment="1" applyProtection="1">
      <alignment horizontal="right" vertical="center" wrapText="1"/>
      <protection hidden="1"/>
    </xf>
    <xf numFmtId="0" fontId="14" fillId="9" borderId="23" xfId="0" applyFont="1" applyFill="1" applyBorder="1" applyAlignment="1" applyProtection="1">
      <alignment horizontal="right" vertical="center" wrapText="1"/>
      <protection hidden="1"/>
    </xf>
    <xf numFmtId="0" fontId="14" fillId="9" borderId="84" xfId="0" applyFont="1" applyFill="1" applyBorder="1" applyAlignment="1" applyProtection="1">
      <alignment horizontal="right" vertical="center" wrapText="1"/>
      <protection hidden="1"/>
    </xf>
    <xf numFmtId="0" fontId="11" fillId="9" borderId="295" xfId="0" applyFont="1" applyFill="1" applyBorder="1" applyAlignment="1">
      <alignment horizontal="center" vertical="center"/>
    </xf>
    <xf numFmtId="0" fontId="11" fillId="9" borderId="81" xfId="0" applyFont="1" applyFill="1" applyBorder="1" applyAlignment="1">
      <alignment horizontal="center" vertical="center"/>
    </xf>
    <xf numFmtId="0" fontId="54" fillId="9" borderId="164" xfId="2" applyNumberFormat="1" applyFill="1" applyBorder="1" applyAlignment="1" applyProtection="1">
      <alignment horizontal="left" vertical="center"/>
      <protection hidden="1"/>
    </xf>
    <xf numFmtId="0" fontId="54" fillId="9" borderId="9" xfId="2" applyNumberFormat="1" applyFill="1" applyBorder="1" applyAlignment="1" applyProtection="1">
      <alignment horizontal="left" vertical="center"/>
      <protection hidden="1"/>
    </xf>
    <xf numFmtId="8" fontId="116" fillId="6" borderId="164" xfId="0" applyNumberFormat="1" applyFont="1" applyFill="1" applyBorder="1" applyAlignment="1" applyProtection="1">
      <alignment horizontal="center" vertical="center"/>
      <protection locked="0"/>
    </xf>
    <xf numFmtId="8" fontId="14" fillId="6" borderId="164" xfId="0" applyNumberFormat="1" applyFont="1" applyFill="1" applyBorder="1" applyAlignment="1" applyProtection="1">
      <alignment horizontal="center" vertical="center"/>
      <protection locked="0"/>
    </xf>
    <xf numFmtId="14" fontId="106" fillId="9" borderId="214" xfId="0" applyNumberFormat="1" applyFont="1" applyFill="1" applyBorder="1" applyAlignment="1" applyProtection="1">
      <alignment horizontal="right" vertical="center"/>
      <protection hidden="1"/>
    </xf>
    <xf numFmtId="14" fontId="106" fillId="9" borderId="210" xfId="0" applyNumberFormat="1" applyFont="1" applyFill="1" applyBorder="1" applyAlignment="1" applyProtection="1">
      <alignment horizontal="right" vertical="center"/>
      <protection hidden="1"/>
    </xf>
    <xf numFmtId="0" fontId="8" fillId="9" borderId="171" xfId="0" applyFont="1" applyFill="1" applyBorder="1" applyAlignment="1" applyProtection="1">
      <alignment horizontal="right" vertical="center"/>
      <protection hidden="1"/>
    </xf>
    <xf numFmtId="0" fontId="10" fillId="9" borderId="171" xfId="0" applyFont="1" applyFill="1" applyBorder="1" applyAlignment="1" applyProtection="1">
      <alignment horizontal="right" vertical="center"/>
      <protection hidden="1"/>
    </xf>
    <xf numFmtId="0" fontId="54" fillId="9" borderId="164" xfId="2" quotePrefix="1" applyNumberFormat="1" applyFill="1" applyBorder="1" applyAlignment="1" applyProtection="1">
      <alignment horizontal="left" vertical="center"/>
      <protection hidden="1"/>
    </xf>
    <xf numFmtId="0" fontId="54" fillId="9" borderId="9" xfId="2" quotePrefix="1" applyNumberFormat="1" applyFill="1" applyBorder="1" applyAlignment="1" applyProtection="1">
      <alignment horizontal="left" vertical="center"/>
      <protection hidden="1"/>
    </xf>
    <xf numFmtId="0" fontId="14" fillId="9" borderId="206" xfId="0" applyFont="1" applyFill="1" applyBorder="1" applyAlignment="1" applyProtection="1">
      <alignment horizontal="left" vertical="center"/>
      <protection hidden="1"/>
    </xf>
    <xf numFmtId="0" fontId="14" fillId="9" borderId="78" xfId="0" applyFont="1" applyFill="1" applyBorder="1" applyAlignment="1" applyProtection="1">
      <alignment horizontal="left" vertical="center"/>
      <protection hidden="1"/>
    </xf>
    <xf numFmtId="0" fontId="91" fillId="0" borderId="0" xfId="0" applyFont="1" applyAlignment="1">
      <alignment horizontal="center" vertical="center"/>
    </xf>
    <xf numFmtId="10" fontId="0" fillId="0" borderId="0" xfId="0" applyNumberFormat="1" applyAlignment="1">
      <alignment horizontal="center" vertical="center"/>
    </xf>
    <xf numFmtId="0" fontId="106" fillId="9" borderId="164" xfId="0" applyFont="1" applyFill="1" applyBorder="1" applyAlignment="1" applyProtection="1">
      <alignment horizontal="left" vertical="center"/>
      <protection hidden="1"/>
    </xf>
    <xf numFmtId="0" fontId="106" fillId="9" borderId="9" xfId="0" applyFont="1" applyFill="1" applyBorder="1" applyAlignment="1" applyProtection="1">
      <alignment horizontal="left" vertical="center"/>
      <protection hidden="1"/>
    </xf>
    <xf numFmtId="0" fontId="106" fillId="9" borderId="10" xfId="0" applyFont="1" applyFill="1" applyBorder="1" applyAlignment="1" applyProtection="1">
      <alignment horizontal="left" vertical="center"/>
      <protection hidden="1"/>
    </xf>
    <xf numFmtId="0" fontId="14" fillId="9" borderId="164" xfId="0" applyFont="1" applyFill="1" applyBorder="1" applyAlignment="1" applyProtection="1">
      <alignment horizontal="left" vertical="center"/>
      <protection hidden="1"/>
    </xf>
    <xf numFmtId="0" fontId="14" fillId="9" borderId="9" xfId="0" applyFont="1" applyFill="1" applyBorder="1" applyAlignment="1" applyProtection="1">
      <alignment horizontal="left" vertical="center"/>
      <protection hidden="1"/>
    </xf>
    <xf numFmtId="0" fontId="14"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194" fillId="9" borderId="164" xfId="0" applyFont="1" applyFill="1" applyBorder="1" applyAlignment="1" applyProtection="1">
      <alignment horizontal="left" vertical="center"/>
      <protection hidden="1"/>
    </xf>
    <xf numFmtId="0" fontId="194" fillId="9" borderId="9" xfId="0" applyFont="1" applyFill="1" applyBorder="1" applyAlignment="1" applyProtection="1">
      <alignment horizontal="left" vertical="center"/>
      <protection hidden="1"/>
    </xf>
    <xf numFmtId="0" fontId="194" fillId="9" borderId="10" xfId="0" applyFont="1" applyFill="1" applyBorder="1" applyAlignment="1" applyProtection="1">
      <alignment horizontal="left" vertical="center"/>
      <protection hidden="1"/>
    </xf>
    <xf numFmtId="0" fontId="164" fillId="9" borderId="164" xfId="0" applyFont="1" applyFill="1" applyBorder="1" applyAlignment="1" applyProtection="1">
      <alignment horizontal="left" vertical="center"/>
      <protection hidden="1"/>
    </xf>
    <xf numFmtId="0" fontId="164" fillId="9" borderId="9" xfId="0" applyFont="1" applyFill="1" applyBorder="1" applyAlignment="1" applyProtection="1">
      <alignment horizontal="left" vertical="center"/>
      <protection hidden="1"/>
    </xf>
    <xf numFmtId="0" fontId="164" fillId="9" borderId="10" xfId="0" applyFont="1" applyFill="1" applyBorder="1" applyAlignment="1" applyProtection="1">
      <alignment horizontal="left" vertical="center"/>
      <protection hidden="1"/>
    </xf>
    <xf numFmtId="0" fontId="106" fillId="9" borderId="214" xfId="0" applyFont="1" applyFill="1" applyBorder="1" applyAlignment="1">
      <alignment horizontal="center" vertical="center"/>
    </xf>
    <xf numFmtId="0" fontId="106" fillId="9" borderId="176" xfId="0" applyFont="1" applyFill="1" applyBorder="1" applyAlignment="1">
      <alignment horizontal="center" vertical="center"/>
    </xf>
    <xf numFmtId="0" fontId="106" fillId="9" borderId="231" xfId="0" applyFont="1" applyFill="1" applyBorder="1" applyAlignment="1">
      <alignment horizontal="center" vertical="center"/>
    </xf>
    <xf numFmtId="8" fontId="97" fillId="4" borderId="189" xfId="0" applyNumberFormat="1" applyFont="1" applyFill="1" applyBorder="1" applyAlignment="1" applyProtection="1">
      <alignment horizontal="center" vertical="center" wrapText="1"/>
      <protection hidden="1"/>
    </xf>
    <xf numFmtId="8" fontId="97" fillId="4" borderId="180" xfId="0" applyNumberFormat="1" applyFont="1" applyFill="1" applyBorder="1" applyAlignment="1" applyProtection="1">
      <alignment horizontal="center" vertical="center" wrapText="1"/>
      <protection hidden="1"/>
    </xf>
    <xf numFmtId="8" fontId="97" fillId="4" borderId="181" xfId="0" applyNumberFormat="1" applyFont="1" applyFill="1" applyBorder="1" applyAlignment="1" applyProtection="1">
      <alignment horizontal="center" vertical="center" wrapText="1"/>
      <protection hidden="1"/>
    </xf>
    <xf numFmtId="8" fontId="97" fillId="4" borderId="31" xfId="0" applyNumberFormat="1" applyFont="1" applyFill="1" applyBorder="1" applyAlignment="1" applyProtection="1">
      <alignment horizontal="center" vertical="center" wrapText="1"/>
      <protection hidden="1"/>
    </xf>
    <xf numFmtId="8" fontId="97" fillId="4" borderId="28" xfId="0" applyNumberFormat="1" applyFont="1" applyFill="1" applyBorder="1" applyAlignment="1" applyProtection="1">
      <alignment horizontal="center" vertical="center" wrapText="1"/>
      <protection hidden="1"/>
    </xf>
    <xf numFmtId="8" fontId="97" fillId="4" borderId="174" xfId="0" applyNumberFormat="1" applyFont="1" applyFill="1" applyBorder="1" applyAlignment="1" applyProtection="1">
      <alignment horizontal="center" vertical="center" wrapText="1"/>
      <protection hidden="1"/>
    </xf>
    <xf numFmtId="0" fontId="54" fillId="9" borderId="185" xfId="2" applyNumberFormat="1" applyFill="1" applyBorder="1" applyAlignment="1" applyProtection="1">
      <alignment horizontal="center" vertical="top" wrapText="1"/>
    </xf>
    <xf numFmtId="0" fontId="54" fillId="9" borderId="0" xfId="2" applyNumberFormat="1" applyFill="1" applyBorder="1" applyAlignment="1" applyProtection="1">
      <alignment horizontal="center" vertical="top" wrapText="1"/>
    </xf>
    <xf numFmtId="0" fontId="54" fillId="9" borderId="153" xfId="2" applyNumberFormat="1" applyFill="1" applyBorder="1" applyAlignment="1" applyProtection="1">
      <alignment horizontal="center" vertical="top" wrapText="1"/>
    </xf>
    <xf numFmtId="0" fontId="54" fillId="9" borderId="212" xfId="2" applyNumberFormat="1" applyFill="1" applyBorder="1" applyAlignment="1" applyProtection="1">
      <alignment horizontal="center" vertical="top" wrapText="1"/>
    </xf>
    <xf numFmtId="0" fontId="54" fillId="9" borderId="184" xfId="2" applyNumberFormat="1" applyFill="1" applyBorder="1" applyAlignment="1" applyProtection="1">
      <alignment horizontal="center" vertical="top" wrapText="1"/>
    </xf>
    <xf numFmtId="0" fontId="54" fillId="9" borderId="221" xfId="2" applyNumberFormat="1" applyFill="1" applyBorder="1" applyAlignment="1" applyProtection="1">
      <alignment horizontal="center" vertical="top" wrapText="1"/>
    </xf>
    <xf numFmtId="0" fontId="101" fillId="9" borderId="295" xfId="0" applyFont="1" applyFill="1" applyBorder="1" applyAlignment="1" applyProtection="1">
      <alignment horizontal="left" vertical="center"/>
      <protection hidden="1"/>
    </xf>
    <xf numFmtId="0" fontId="101" fillId="9" borderId="81" xfId="0" applyFont="1" applyFill="1" applyBorder="1" applyAlignment="1" applyProtection="1">
      <alignment horizontal="left" vertical="center"/>
      <protection hidden="1"/>
    </xf>
    <xf numFmtId="0" fontId="101" fillId="9" borderId="82" xfId="0" applyFont="1" applyFill="1" applyBorder="1" applyAlignment="1" applyProtection="1">
      <alignment horizontal="left" vertical="center"/>
      <protection hidden="1"/>
    </xf>
    <xf numFmtId="197" fontId="80" fillId="9" borderId="2" xfId="0" applyNumberFormat="1" applyFont="1" applyFill="1" applyBorder="1" applyAlignment="1" applyProtection="1">
      <alignment horizontal="center" vertical="center"/>
      <protection hidden="1"/>
    </xf>
    <xf numFmtId="197" fontId="80"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49" fillId="9" borderId="289" xfId="0" applyFont="1" applyFill="1" applyBorder="1" applyAlignment="1">
      <alignment horizontal="center" vertical="center" wrapText="1"/>
    </xf>
    <xf numFmtId="0" fontId="49" fillId="9" borderId="290" xfId="0" applyFont="1" applyFill="1" applyBorder="1" applyAlignment="1">
      <alignment horizontal="center" vertical="center" wrapText="1"/>
    </xf>
    <xf numFmtId="0" fontId="49" fillId="9" borderId="291" xfId="0" applyFont="1" applyFill="1" applyBorder="1" applyAlignment="1">
      <alignment horizontal="center" vertical="center" wrapText="1"/>
    </xf>
    <xf numFmtId="0" fontId="12" fillId="9" borderId="164" xfId="0" applyFont="1" applyFill="1" applyBorder="1" applyAlignment="1" applyProtection="1">
      <alignment horizontal="right" vertical="center" wrapText="1"/>
      <protection hidden="1"/>
    </xf>
    <xf numFmtId="0" fontId="12" fillId="9" borderId="10" xfId="0" applyFont="1" applyFill="1" applyBorder="1" applyAlignment="1" applyProtection="1">
      <alignment horizontal="right" vertical="center" wrapText="1"/>
      <protection hidden="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13"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43"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01" fillId="9" borderId="255" xfId="0" applyFont="1" applyFill="1" applyBorder="1" applyAlignment="1" applyProtection="1">
      <alignment horizontal="right" vertical="center" wrapText="1"/>
      <protection hidden="1"/>
    </xf>
    <xf numFmtId="0" fontId="101" fillId="9" borderId="235" xfId="0" applyFont="1" applyFill="1" applyBorder="1" applyAlignment="1" applyProtection="1">
      <alignment horizontal="right" vertical="center" wrapText="1"/>
      <protection hidden="1"/>
    </xf>
    <xf numFmtId="10" fontId="242" fillId="6" borderId="236" xfId="3" applyNumberFormat="1" applyFont="1" applyFill="1" applyBorder="1" applyAlignment="1" applyProtection="1">
      <alignment horizontal="center" vertical="center" wrapText="1"/>
      <protection locked="0"/>
    </xf>
    <xf numFmtId="10" fontId="242" fillId="6" borderId="237" xfId="3" applyNumberFormat="1" applyFont="1" applyFill="1" applyBorder="1" applyAlignment="1" applyProtection="1">
      <alignment horizontal="center" vertical="center" wrapText="1"/>
      <protection locked="0"/>
    </xf>
    <xf numFmtId="10" fontId="242" fillId="6" borderId="256" xfId="3" applyNumberFormat="1" applyFont="1" applyFill="1" applyBorder="1" applyAlignment="1" applyProtection="1">
      <alignment horizontal="center" vertical="center" wrapText="1"/>
      <protection locked="0"/>
    </xf>
    <xf numFmtId="0" fontId="91" fillId="9" borderId="164" xfId="0" applyFont="1"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0" fillId="9" borderId="10" xfId="0"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2"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01" fillId="9" borderId="170" xfId="0" applyFont="1" applyFill="1" applyBorder="1" applyAlignment="1">
      <alignment horizontal="right" vertical="center"/>
    </xf>
    <xf numFmtId="0" fontId="101" fillId="9" borderId="2" xfId="0" applyFont="1" applyFill="1" applyBorder="1" applyAlignment="1">
      <alignment horizontal="right" vertical="center"/>
    </xf>
    <xf numFmtId="0" fontId="0" fillId="9" borderId="164"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18" fillId="9" borderId="0" xfId="0" applyFont="1" applyFill="1" applyAlignment="1" applyProtection="1">
      <alignment horizontal="center" vertical="center"/>
      <protection hidden="1"/>
    </xf>
    <xf numFmtId="178" fontId="244" fillId="9" borderId="249" xfId="0" applyNumberFormat="1" applyFont="1" applyFill="1" applyBorder="1" applyAlignment="1" applyProtection="1">
      <alignment horizontal="center" vertical="center"/>
      <protection hidden="1"/>
    </xf>
    <xf numFmtId="178" fontId="244" fillId="9" borderId="11" xfId="0" applyNumberFormat="1" applyFont="1" applyFill="1" applyBorder="1" applyAlignment="1" applyProtection="1">
      <alignment horizontal="center" vertical="center"/>
      <protection hidden="1"/>
    </xf>
    <xf numFmtId="0" fontId="153" fillId="9" borderId="234" xfId="0" applyFont="1" applyFill="1" applyBorder="1" applyAlignment="1" applyProtection="1">
      <alignment horizontal="right" vertical="center" wrapText="1"/>
      <protection hidden="1"/>
    </xf>
    <xf numFmtId="0" fontId="153" fillId="9" borderId="235" xfId="0" applyFont="1" applyFill="1" applyBorder="1" applyAlignment="1" applyProtection="1">
      <alignment horizontal="right" vertical="center" wrapText="1"/>
      <protection hidden="1"/>
    </xf>
    <xf numFmtId="6" fontId="113" fillId="9" borderId="235" xfId="0" applyNumberFormat="1" applyFont="1" applyFill="1" applyBorder="1" applyAlignment="1" applyProtection="1">
      <alignment horizontal="center" vertical="center"/>
      <protection hidden="1"/>
    </xf>
    <xf numFmtId="6" fontId="113" fillId="9" borderId="251" xfId="0" applyNumberFormat="1" applyFont="1" applyFill="1" applyBorder="1" applyAlignment="1" applyProtection="1">
      <alignment horizontal="center" vertical="center"/>
      <protection hidden="1"/>
    </xf>
    <xf numFmtId="6" fontId="113" fillId="9" borderId="237" xfId="3" applyNumberFormat="1" applyFont="1" applyFill="1" applyBorder="1" applyAlignment="1" applyProtection="1">
      <alignment horizontal="center" vertical="center"/>
      <protection hidden="1"/>
    </xf>
    <xf numFmtId="6" fontId="113" fillId="9" borderId="238" xfId="3" applyNumberFormat="1" applyFont="1" applyFill="1" applyBorder="1" applyAlignment="1" applyProtection="1">
      <alignment horizontal="center" vertical="center"/>
      <protection hidden="1"/>
    </xf>
    <xf numFmtId="178" fontId="80" fillId="0" borderId="2" xfId="0" applyNumberFormat="1" applyFont="1" applyBorder="1" applyAlignment="1" applyProtection="1">
      <alignment horizontal="center" vertical="center"/>
      <protection locked="0"/>
    </xf>
    <xf numFmtId="0" fontId="80" fillId="0" borderId="232" xfId="0" applyFont="1" applyBorder="1" applyAlignment="1" applyProtection="1">
      <alignment horizontal="center" vertical="center"/>
      <protection locked="0"/>
    </xf>
    <xf numFmtId="0" fontId="0" fillId="9" borderId="4" xfId="0" applyFill="1" applyBorder="1" applyAlignment="1" applyProtection="1">
      <alignment horizontal="right" vertical="center"/>
      <protection hidden="1"/>
    </xf>
    <xf numFmtId="0" fontId="91" fillId="9" borderId="13" xfId="0" applyFont="1" applyFill="1" applyBorder="1" applyAlignment="1" applyProtection="1">
      <alignment horizontal="right" vertical="center"/>
      <protection hidden="1"/>
    </xf>
    <xf numFmtId="0" fontId="91" fillId="9" borderId="12" xfId="0" applyFont="1" applyFill="1" applyBorder="1" applyAlignment="1" applyProtection="1">
      <alignment horizontal="right" vertical="center"/>
      <protection hidden="1"/>
    </xf>
    <xf numFmtId="178" fontId="91" fillId="9" borderId="12" xfId="0" applyNumberFormat="1" applyFont="1" applyFill="1" applyBorder="1" applyAlignment="1" applyProtection="1">
      <alignment horizontal="center" vertical="center"/>
      <protection hidden="1"/>
    </xf>
    <xf numFmtId="178" fontId="91" fillId="9" borderId="233" xfId="0" applyNumberFormat="1" applyFont="1" applyFill="1" applyBorder="1" applyAlignment="1" applyProtection="1">
      <alignment horizontal="center" vertical="center"/>
      <protection hidden="1"/>
    </xf>
    <xf numFmtId="6" fontId="93" fillId="9" borderId="263" xfId="0" applyNumberFormat="1" applyFont="1" applyFill="1" applyBorder="1" applyAlignment="1" applyProtection="1">
      <alignment horizontal="center" vertical="center"/>
      <protection hidden="1"/>
    </xf>
    <xf numFmtId="6" fontId="93" fillId="9" borderId="279" xfId="0" applyNumberFormat="1" applyFont="1" applyFill="1" applyBorder="1" applyAlignment="1" applyProtection="1">
      <alignment horizontal="center" vertical="center"/>
      <protection hidden="1"/>
    </xf>
    <xf numFmtId="6" fontId="93" fillId="9" borderId="280" xfId="0" applyNumberFormat="1" applyFont="1" applyFill="1" applyBorder="1" applyAlignment="1" applyProtection="1">
      <alignment horizontal="center" vertical="center"/>
      <protection hidden="1"/>
    </xf>
    <xf numFmtId="0" fontId="93" fillId="9" borderId="262" xfId="0" applyFont="1" applyFill="1" applyBorder="1" applyAlignment="1" applyProtection="1">
      <alignment horizontal="right" vertical="center" wrapText="1"/>
      <protection hidden="1"/>
    </xf>
    <xf numFmtId="0" fontId="93" fillId="9" borderId="263" xfId="0" applyFont="1" applyFill="1" applyBorder="1" applyAlignment="1" applyProtection="1">
      <alignment horizontal="right" vertical="center" wrapText="1"/>
      <protection hidden="1"/>
    </xf>
    <xf numFmtId="0" fontId="80" fillId="9" borderId="259" xfId="0" applyFont="1" applyFill="1" applyBorder="1" applyAlignment="1">
      <alignment horizontal="right" vertical="center"/>
    </xf>
    <xf numFmtId="0" fontId="80" fillId="9" borderId="260" xfId="0" applyFont="1" applyFill="1" applyBorder="1" applyAlignment="1">
      <alignment horizontal="right" vertical="center"/>
    </xf>
    <xf numFmtId="6" fontId="80" fillId="9" borderId="260" xfId="0" applyNumberFormat="1" applyFont="1" applyFill="1" applyBorder="1" applyAlignment="1">
      <alignment horizontal="center" vertical="center"/>
    </xf>
    <xf numFmtId="6" fontId="80" fillId="9" borderId="261" xfId="0" applyNumberFormat="1" applyFont="1" applyFill="1" applyBorder="1" applyAlignment="1">
      <alignment horizontal="center" vertical="center"/>
    </xf>
    <xf numFmtId="0" fontId="80" fillId="9" borderId="260" xfId="0" applyFont="1" applyFill="1" applyBorder="1" applyAlignment="1">
      <alignment horizontal="center" vertical="center"/>
    </xf>
    <xf numFmtId="0" fontId="49" fillId="9" borderId="264" xfId="0" applyFont="1" applyFill="1" applyBorder="1" applyAlignment="1" applyProtection="1">
      <alignment horizontal="right" vertical="center" wrapText="1"/>
      <protection hidden="1"/>
    </xf>
    <xf numFmtId="0" fontId="49" fillId="9" borderId="265" xfId="0" applyFont="1" applyFill="1" applyBorder="1" applyAlignment="1" applyProtection="1">
      <alignment horizontal="right" vertical="center" wrapText="1"/>
      <protection hidden="1"/>
    </xf>
    <xf numFmtId="6" fontId="49" fillId="9" borderId="265" xfId="0" applyNumberFormat="1" applyFont="1" applyFill="1" applyBorder="1" applyAlignment="1" applyProtection="1">
      <alignment horizontal="center" vertical="center"/>
      <protection hidden="1"/>
    </xf>
    <xf numFmtId="6" fontId="49" fillId="9" borderId="265" xfId="3" applyNumberFormat="1" applyFont="1" applyFill="1" applyBorder="1" applyAlignment="1" applyProtection="1">
      <alignment horizontal="center" vertical="center"/>
      <protection hidden="1"/>
    </xf>
    <xf numFmtId="6" fontId="49" fillId="9" borderId="266" xfId="3" applyNumberFormat="1" applyFont="1" applyFill="1" applyBorder="1" applyAlignment="1" applyProtection="1">
      <alignment horizontal="center" vertical="center"/>
      <protection hidden="1"/>
    </xf>
    <xf numFmtId="0" fontId="18" fillId="9" borderId="0" xfId="0" applyFont="1" applyFill="1" applyAlignment="1" applyProtection="1">
      <alignment horizontal="left" vertical="center"/>
      <protection hidden="1"/>
    </xf>
    <xf numFmtId="0" fontId="251" fillId="9" borderId="0" xfId="0" applyFont="1" applyFill="1" applyAlignment="1" applyProtection="1">
      <alignment horizontal="center" vertical="center" wrapText="1"/>
      <protection hidden="1"/>
    </xf>
    <xf numFmtId="0" fontId="194" fillId="9" borderId="214" xfId="0" applyFont="1" applyFill="1" applyBorder="1" applyAlignment="1" applyProtection="1">
      <alignment horizontal="right" vertical="center" wrapText="1"/>
      <protection hidden="1"/>
    </xf>
    <xf numFmtId="0" fontId="194" fillId="9" borderId="210" xfId="0" applyFont="1" applyFill="1" applyBorder="1" applyAlignment="1" applyProtection="1">
      <alignment horizontal="right" vertical="center" wrapText="1"/>
      <protection hidden="1"/>
    </xf>
    <xf numFmtId="0" fontId="113" fillId="4" borderId="179" xfId="0" applyFont="1" applyFill="1" applyBorder="1" applyAlignment="1" applyProtection="1">
      <alignment horizontal="center" vertical="center" wrapText="1"/>
      <protection hidden="1"/>
    </xf>
    <xf numFmtId="0" fontId="113" fillId="4" borderId="180" xfId="0" applyFont="1" applyFill="1" applyBorder="1" applyAlignment="1" applyProtection="1">
      <alignment horizontal="center" vertical="center" wrapText="1"/>
      <protection hidden="1"/>
    </xf>
    <xf numFmtId="0" fontId="113" fillId="4" borderId="181" xfId="0" applyFont="1" applyFill="1" applyBorder="1" applyAlignment="1" applyProtection="1">
      <alignment horizontal="center" vertical="center" wrapText="1"/>
      <protection hidden="1"/>
    </xf>
    <xf numFmtId="0" fontId="113" fillId="4" borderId="182" xfId="0" applyFont="1" applyFill="1" applyBorder="1" applyAlignment="1" applyProtection="1">
      <alignment horizontal="center" vertical="center" wrapText="1"/>
      <protection hidden="1"/>
    </xf>
    <xf numFmtId="0" fontId="113" fillId="4" borderId="28" xfId="0" applyFont="1" applyFill="1" applyBorder="1" applyAlignment="1" applyProtection="1">
      <alignment horizontal="center" vertical="center" wrapText="1"/>
      <protection hidden="1"/>
    </xf>
    <xf numFmtId="0" fontId="113" fillId="4" borderId="174" xfId="0" applyFont="1" applyFill="1" applyBorder="1" applyAlignment="1" applyProtection="1">
      <alignment horizontal="center" vertical="center" wrapText="1"/>
      <protection hidden="1"/>
    </xf>
    <xf numFmtId="0" fontId="93" fillId="9" borderId="164" xfId="0" applyFont="1" applyFill="1" applyBorder="1" applyAlignment="1">
      <alignment horizontal="right" vertical="center"/>
    </xf>
    <xf numFmtId="0" fontId="93" fillId="9" borderId="10" xfId="0" applyFont="1" applyFill="1" applyBorder="1" applyAlignment="1">
      <alignment horizontal="right" vertical="center"/>
    </xf>
    <xf numFmtId="14" fontId="87" fillId="0" borderId="236" xfId="0" applyNumberFormat="1" applyFont="1" applyBorder="1" applyAlignment="1" applyProtection="1">
      <alignment horizontal="center" vertical="center"/>
      <protection locked="0"/>
    </xf>
    <xf numFmtId="14" fontId="87" fillId="0" borderId="237" xfId="0" applyNumberFormat="1" applyFont="1" applyBorder="1" applyAlignment="1" applyProtection="1">
      <alignment horizontal="center" vertical="center"/>
      <protection locked="0"/>
    </xf>
    <xf numFmtId="14" fontId="87" fillId="0" borderId="238" xfId="0" applyNumberFormat="1" applyFont="1" applyBorder="1" applyAlignment="1" applyProtection="1">
      <alignment horizontal="center" vertical="center"/>
      <protection locked="0"/>
    </xf>
    <xf numFmtId="0" fontId="113" fillId="4" borderId="206" xfId="0" applyFont="1" applyFill="1" applyBorder="1" applyAlignment="1">
      <alignment horizontal="center" vertical="center" wrapText="1"/>
    </xf>
    <xf numFmtId="0" fontId="113" fillId="4" borderId="78" xfId="0" applyFont="1" applyFill="1" applyBorder="1" applyAlignment="1">
      <alignment horizontal="center" vertical="center" wrapText="1"/>
    </xf>
    <xf numFmtId="0" fontId="113" fillId="4" borderId="253" xfId="0" applyFont="1" applyFill="1" applyBorder="1" applyAlignment="1">
      <alignment horizontal="center" vertical="center" wrapText="1"/>
    </xf>
    <xf numFmtId="0" fontId="113" fillId="9" borderId="282" xfId="0" applyFont="1" applyFill="1" applyBorder="1" applyAlignment="1" applyProtection="1">
      <alignment horizontal="right" vertical="center"/>
      <protection hidden="1"/>
    </xf>
    <xf numFmtId="0" fontId="113" fillId="9" borderId="237" xfId="0" applyFont="1" applyFill="1" applyBorder="1" applyAlignment="1" applyProtection="1">
      <alignment horizontal="right" vertical="center"/>
      <protection hidden="1"/>
    </xf>
    <xf numFmtId="0" fontId="113"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01" fillId="0" borderId="80" xfId="0" applyNumberFormat="1" applyFont="1" applyBorder="1" applyAlignment="1" applyProtection="1">
      <alignment horizontal="center" vertical="center"/>
      <protection locked="0"/>
    </xf>
    <xf numFmtId="8" fontId="101" fillId="0" borderId="81" xfId="0" applyNumberFormat="1" applyFont="1" applyBorder="1" applyAlignment="1" applyProtection="1">
      <alignment horizontal="center" vertical="center"/>
      <protection locked="0"/>
    </xf>
    <xf numFmtId="8" fontId="101" fillId="0" borderId="252" xfId="0" applyNumberFormat="1" applyFont="1" applyBorder="1" applyAlignment="1" applyProtection="1">
      <alignment horizontal="center" vertical="center"/>
      <protection locked="0"/>
    </xf>
    <xf numFmtId="0" fontId="113" fillId="4" borderId="178" xfId="0" applyFont="1" applyFill="1" applyBorder="1" applyAlignment="1" applyProtection="1">
      <alignment horizontal="center" vertical="center" wrapText="1"/>
      <protection hidden="1"/>
    </xf>
    <xf numFmtId="0" fontId="113" fillId="4" borderId="171" xfId="0" applyFont="1" applyFill="1" applyBorder="1" applyAlignment="1" applyProtection="1">
      <alignment horizontal="center" vertical="center" wrapText="1"/>
      <protection hidden="1"/>
    </xf>
    <xf numFmtId="0" fontId="113" fillId="4" borderId="172" xfId="0" applyFont="1" applyFill="1" applyBorder="1" applyAlignment="1" applyProtection="1">
      <alignment horizontal="center" vertical="center" wrapText="1"/>
      <protection hidden="1"/>
    </xf>
    <xf numFmtId="0" fontId="0" fillId="9" borderId="170" xfId="0" applyFill="1" applyBorder="1" applyAlignment="1" applyProtection="1">
      <alignment horizontal="right" vertical="center"/>
      <protection hidden="1"/>
    </xf>
    <xf numFmtId="14" fontId="0" fillId="0" borderId="146" xfId="0" applyNumberFormat="1" applyBorder="1" applyAlignment="1" applyProtection="1">
      <alignment horizontal="center" vertical="center"/>
      <protection locked="0"/>
    </xf>
    <xf numFmtId="0" fontId="91" fillId="9" borderId="170" xfId="0" applyFont="1" applyFill="1" applyBorder="1" applyAlignment="1" applyProtection="1">
      <alignment horizontal="right" vertical="center" wrapText="1"/>
      <protection hidden="1"/>
    </xf>
    <xf numFmtId="0" fontId="91" fillId="9" borderId="2" xfId="0" applyFont="1" applyFill="1" applyBorder="1" applyAlignment="1" applyProtection="1">
      <alignment horizontal="right" vertical="center" wrapText="1"/>
      <protection hidden="1"/>
    </xf>
    <xf numFmtId="0" fontId="91" fillId="6" borderId="1" xfId="0" applyFont="1" applyFill="1" applyBorder="1" applyAlignment="1" applyProtection="1">
      <alignment horizontal="center" vertical="center"/>
      <protection locked="0"/>
    </xf>
    <xf numFmtId="0" fontId="91" fillId="6" borderId="9" xfId="0" applyFont="1" applyFill="1" applyBorder="1" applyAlignment="1" applyProtection="1">
      <alignment horizontal="center" vertical="center"/>
      <protection locked="0"/>
    </xf>
    <xf numFmtId="0" fontId="91" fillId="6" borderId="146" xfId="0" applyFont="1" applyFill="1" applyBorder="1" applyAlignment="1" applyProtection="1">
      <alignment horizontal="center" vertical="center"/>
      <protection locked="0"/>
    </xf>
    <xf numFmtId="0" fontId="98" fillId="4" borderId="179" xfId="0" applyFont="1" applyFill="1" applyBorder="1" applyAlignment="1" applyProtection="1">
      <alignment horizontal="center" vertical="center" wrapText="1"/>
      <protection hidden="1"/>
    </xf>
    <xf numFmtId="0" fontId="98" fillId="4" borderId="180" xfId="0" applyFont="1" applyFill="1" applyBorder="1" applyAlignment="1" applyProtection="1">
      <alignment horizontal="center" vertical="center" wrapText="1"/>
      <protection hidden="1"/>
    </xf>
    <xf numFmtId="0" fontId="98" fillId="4" borderId="211" xfId="0" applyFont="1" applyFill="1" applyBorder="1" applyAlignment="1" applyProtection="1">
      <alignment horizontal="center" vertical="center" wrapText="1"/>
      <protection hidden="1"/>
    </xf>
    <xf numFmtId="0" fontId="98" fillId="4" borderId="182" xfId="0" applyFont="1" applyFill="1" applyBorder="1" applyAlignment="1" applyProtection="1">
      <alignment horizontal="center" vertical="center" wrapText="1"/>
      <protection hidden="1"/>
    </xf>
    <xf numFmtId="0" fontId="98" fillId="4" borderId="28" xfId="0" applyFont="1" applyFill="1" applyBorder="1" applyAlignment="1" applyProtection="1">
      <alignment horizontal="center" vertical="center" wrapText="1"/>
      <protection hidden="1"/>
    </xf>
    <xf numFmtId="0" fontId="98"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271" fillId="4" borderId="179" xfId="0" applyFont="1" applyFill="1" applyBorder="1" applyAlignment="1" applyProtection="1">
      <alignment horizontal="center" vertical="center" wrapText="1"/>
      <protection hidden="1"/>
    </xf>
    <xf numFmtId="0" fontId="271" fillId="4" borderId="180" xfId="0" applyFont="1" applyFill="1" applyBorder="1" applyAlignment="1" applyProtection="1">
      <alignment horizontal="center" vertical="center" wrapText="1"/>
      <protection hidden="1"/>
    </xf>
    <xf numFmtId="0" fontId="271" fillId="4" borderId="181" xfId="0" applyFont="1" applyFill="1" applyBorder="1" applyAlignment="1" applyProtection="1">
      <alignment horizontal="center" vertical="center" wrapText="1"/>
      <protection hidden="1"/>
    </xf>
    <xf numFmtId="0" fontId="271" fillId="4" borderId="182" xfId="0" applyFont="1" applyFill="1" applyBorder="1" applyAlignment="1" applyProtection="1">
      <alignment horizontal="center" vertical="center" wrapText="1"/>
      <protection hidden="1"/>
    </xf>
    <xf numFmtId="0" fontId="271" fillId="4" borderId="28" xfId="0" applyFont="1" applyFill="1" applyBorder="1" applyAlignment="1" applyProtection="1">
      <alignment horizontal="center" vertical="center" wrapText="1"/>
      <protection hidden="1"/>
    </xf>
    <xf numFmtId="0" fontId="271" fillId="4" borderId="174" xfId="0" applyFont="1" applyFill="1" applyBorder="1" applyAlignment="1" applyProtection="1">
      <alignment horizontal="center" vertical="center" wrapText="1"/>
      <protection hidden="1"/>
    </xf>
    <xf numFmtId="8" fontId="91" fillId="9" borderId="10" xfId="0" applyNumberFormat="1" applyFont="1" applyFill="1" applyBorder="1" applyAlignment="1" applyProtection="1">
      <alignment horizontal="center" vertical="center"/>
      <protection hidden="1"/>
    </xf>
    <xf numFmtId="8" fontId="91" fillId="9" borderId="3" xfId="0" applyNumberFormat="1" applyFont="1" applyFill="1" applyBorder="1" applyAlignment="1" applyProtection="1">
      <alignment horizontal="center" vertical="center"/>
      <protection hidden="1"/>
    </xf>
    <xf numFmtId="0" fontId="96" fillId="9" borderId="113" xfId="0" applyFont="1" applyFill="1" applyBorder="1" applyAlignment="1" applyProtection="1">
      <alignment horizontal="center" vertical="center" wrapText="1"/>
      <protection hidden="1"/>
    </xf>
    <xf numFmtId="0" fontId="96" fillId="9" borderId="58" xfId="0" applyFont="1" applyFill="1" applyBorder="1" applyAlignment="1" applyProtection="1">
      <alignment horizontal="center" vertical="center" wrapText="1"/>
      <protection hidden="1"/>
    </xf>
    <xf numFmtId="0" fontId="96" fillId="9" borderId="0" xfId="0" applyFont="1" applyFill="1" applyAlignment="1" applyProtection="1">
      <alignment horizontal="center" vertical="center" wrapText="1"/>
      <protection hidden="1"/>
    </xf>
    <xf numFmtId="0" fontId="96" fillId="9" borderId="15" xfId="0" applyFont="1" applyFill="1" applyBorder="1" applyAlignment="1" applyProtection="1">
      <alignment horizontal="center" vertical="center" wrapText="1"/>
      <protection hidden="1"/>
    </xf>
    <xf numFmtId="0" fontId="96" fillId="9" borderId="28" xfId="0" applyFont="1" applyFill="1" applyBorder="1" applyAlignment="1" applyProtection="1">
      <alignment horizontal="center" vertical="center" wrapText="1"/>
      <protection hidden="1"/>
    </xf>
    <xf numFmtId="0" fontId="96"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8" fontId="145" fillId="9" borderId="2" xfId="0" applyNumberFormat="1" applyFont="1" applyFill="1" applyBorder="1" applyAlignment="1" applyProtection="1">
      <alignment horizontal="center" vertical="center"/>
      <protection hidden="1"/>
    </xf>
    <xf numFmtId="8" fontId="145" fillId="9" borderId="232" xfId="0" applyNumberFormat="1" applyFont="1" applyFill="1" applyBorder="1" applyAlignment="1" applyProtection="1">
      <alignment horizontal="center" vertical="center"/>
      <protection hidden="1"/>
    </xf>
    <xf numFmtId="0" fontId="91" fillId="9" borderId="68" xfId="0" applyFont="1" applyFill="1" applyBorder="1" applyAlignment="1" applyProtection="1">
      <alignment horizontal="right" vertical="center"/>
      <protection hidden="1"/>
    </xf>
    <xf numFmtId="0" fontId="91" fillId="9" borderId="9" xfId="0" applyFont="1" applyFill="1" applyBorder="1" applyAlignment="1" applyProtection="1">
      <alignment horizontal="right" vertical="center"/>
      <protection hidden="1"/>
    </xf>
    <xf numFmtId="0" fontId="91" fillId="9" borderId="10" xfId="0" applyFont="1" applyFill="1" applyBorder="1" applyAlignment="1" applyProtection="1">
      <alignment horizontal="right" vertical="center"/>
      <protection hidden="1"/>
    </xf>
    <xf numFmtId="0" fontId="106" fillId="9" borderId="164" xfId="0" applyFont="1" applyFill="1" applyBorder="1" applyAlignment="1" applyProtection="1">
      <alignment horizontal="right" vertical="center" wrapText="1"/>
      <protection hidden="1"/>
    </xf>
    <xf numFmtId="0" fontId="106" fillId="9" borderId="10" xfId="0" applyFont="1" applyFill="1" applyBorder="1" applyAlignment="1" applyProtection="1">
      <alignment horizontal="right" vertical="center" wrapText="1"/>
      <protection hidden="1"/>
    </xf>
    <xf numFmtId="0" fontId="202" fillId="9" borderId="292" xfId="0" applyFont="1" applyFill="1" applyBorder="1" applyAlignment="1" applyProtection="1">
      <alignment horizontal="right" vertical="center" wrapText="1"/>
      <protection hidden="1"/>
    </xf>
    <xf numFmtId="0" fontId="202" fillId="9" borderId="129" xfId="0" applyFont="1" applyFill="1" applyBorder="1" applyAlignment="1" applyProtection="1">
      <alignment horizontal="right" vertical="center" wrapText="1"/>
      <protection hidden="1"/>
    </xf>
    <xf numFmtId="2" fontId="80" fillId="9" borderId="2" xfId="0" applyNumberFormat="1" applyFont="1" applyFill="1" applyBorder="1" applyAlignment="1" applyProtection="1">
      <alignment horizontal="center" vertical="center"/>
      <protection hidden="1"/>
    </xf>
    <xf numFmtId="2" fontId="80" fillId="9" borderId="232" xfId="0" applyNumberFormat="1" applyFont="1" applyFill="1" applyBorder="1" applyAlignment="1" applyProtection="1">
      <alignment horizontal="center" vertical="center"/>
      <protection hidden="1"/>
    </xf>
    <xf numFmtId="0" fontId="194" fillId="9" borderId="293" xfId="0" applyFont="1" applyFill="1" applyBorder="1" applyAlignment="1" applyProtection="1">
      <alignment horizontal="right" vertical="center" wrapText="1"/>
      <protection hidden="1"/>
    </xf>
    <xf numFmtId="0" fontId="194" fillId="9" borderId="294" xfId="0" applyFont="1" applyFill="1" applyBorder="1" applyAlignment="1" applyProtection="1">
      <alignment horizontal="right" vertical="center" wrapText="1"/>
      <protection hidden="1"/>
    </xf>
    <xf numFmtId="178" fontId="145" fillId="0" borderId="12" xfId="0" applyNumberFormat="1" applyFont="1" applyBorder="1" applyAlignment="1" applyProtection="1">
      <alignment horizontal="center" vertical="center"/>
      <protection locked="0"/>
    </xf>
    <xf numFmtId="178" fontId="145" fillId="0" borderId="233" xfId="0" applyNumberFormat="1" applyFont="1" applyBorder="1" applyAlignment="1" applyProtection="1">
      <alignment horizontal="center" vertical="center"/>
      <protection locked="0"/>
    </xf>
    <xf numFmtId="0" fontId="113" fillId="4" borderId="16" xfId="0" applyFont="1" applyFill="1" applyBorder="1" applyAlignment="1">
      <alignment horizontal="left" vertical="center"/>
    </xf>
    <xf numFmtId="0" fontId="113"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50" fillId="9" borderId="0" xfId="0" applyFont="1" applyFill="1" applyAlignment="1">
      <alignment horizontal="left" vertical="top" wrapText="1"/>
    </xf>
    <xf numFmtId="0" fontId="250" fillId="9" borderId="0" xfId="0" applyFont="1" applyFill="1" applyAlignment="1" applyProtection="1">
      <alignment horizontal="left" vertical="center" wrapText="1"/>
      <protection hidden="1"/>
    </xf>
    <xf numFmtId="0" fontId="12" fillId="9" borderId="154" xfId="0" applyFont="1" applyFill="1" applyBorder="1" applyAlignment="1" applyProtection="1">
      <alignment horizontal="right" vertical="center" wrapText="1"/>
      <protection hidden="1"/>
    </xf>
    <xf numFmtId="0" fontId="12" fillId="9" borderId="155" xfId="0" applyFont="1" applyFill="1" applyBorder="1" applyAlignment="1" applyProtection="1">
      <alignment horizontal="right" vertical="center" wrapText="1"/>
      <protection hidden="1"/>
    </xf>
    <xf numFmtId="8" fontId="91" fillId="9" borderId="175" xfId="0" applyNumberFormat="1" applyFont="1" applyFill="1" applyBorder="1" applyAlignment="1" applyProtection="1">
      <alignment horizontal="center" vertical="center"/>
      <protection hidden="1"/>
    </xf>
    <xf numFmtId="8" fontId="91" fillId="9" borderId="176" xfId="0" applyNumberFormat="1" applyFont="1" applyFill="1" applyBorder="1" applyAlignment="1" applyProtection="1">
      <alignment horizontal="center" vertical="center"/>
      <protection hidden="1"/>
    </xf>
    <xf numFmtId="8" fontId="91"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87" fillId="9" borderId="235" xfId="0" applyNumberFormat="1" applyFont="1" applyFill="1" applyBorder="1" applyAlignment="1" applyProtection="1">
      <alignment horizontal="center" vertical="center"/>
      <protection hidden="1"/>
    </xf>
    <xf numFmtId="6" fontId="87"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13" fillId="9" borderId="283" xfId="0" applyNumberFormat="1" applyFont="1" applyFill="1" applyBorder="1" applyAlignment="1" applyProtection="1">
      <alignment horizontal="center" vertical="center"/>
      <protection hidden="1"/>
    </xf>
    <xf numFmtId="6" fontId="113" fillId="9" borderId="284" xfId="0" applyNumberFormat="1" applyFont="1" applyFill="1" applyBorder="1" applyAlignment="1" applyProtection="1">
      <alignment horizontal="center" vertical="center"/>
      <protection hidden="1"/>
    </xf>
    <xf numFmtId="6" fontId="255" fillId="9" borderId="281" xfId="0" applyNumberFormat="1" applyFont="1" applyFill="1" applyBorder="1" applyAlignment="1" applyProtection="1">
      <alignment horizontal="center" vertical="center"/>
      <protection hidden="1"/>
    </xf>
    <xf numFmtId="6" fontId="255" fillId="9" borderId="184" xfId="0" applyNumberFormat="1" applyFont="1" applyFill="1" applyBorder="1" applyAlignment="1" applyProtection="1">
      <alignment horizontal="center" vertical="center"/>
      <protection hidden="1"/>
    </xf>
    <xf numFmtId="6" fontId="113" fillId="0" borderId="250" xfId="0" applyNumberFormat="1" applyFont="1" applyBorder="1" applyAlignment="1" applyProtection="1">
      <alignment horizontal="center" vertical="center" wrapText="1"/>
      <protection locked="0" hidden="1"/>
    </xf>
    <xf numFmtId="6" fontId="113" fillId="0" borderId="257" xfId="0" applyNumberFormat="1" applyFont="1" applyBorder="1" applyAlignment="1" applyProtection="1">
      <alignment horizontal="center" vertical="center" wrapText="1"/>
      <protection locked="0" hidden="1"/>
    </xf>
    <xf numFmtId="6" fontId="113" fillId="0" borderId="258" xfId="0" applyNumberFormat="1" applyFont="1" applyBorder="1" applyAlignment="1" applyProtection="1">
      <alignment horizontal="center" vertical="center" wrapText="1"/>
      <protection locked="0" hidden="1"/>
    </xf>
    <xf numFmtId="0" fontId="101" fillId="9" borderId="164" xfId="0" applyFont="1" applyFill="1" applyBorder="1" applyAlignment="1" applyProtection="1">
      <alignment horizontal="right" vertical="center" wrapText="1"/>
      <protection hidden="1"/>
    </xf>
    <xf numFmtId="0" fontId="101" fillId="9" borderId="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8" fontId="113" fillId="9" borderId="1" xfId="0" quotePrefix="1" applyNumberFormat="1" applyFont="1" applyFill="1" applyBorder="1" applyAlignment="1" applyProtection="1">
      <alignment horizontal="center" vertical="center"/>
      <protection hidden="1"/>
    </xf>
    <xf numFmtId="8" fontId="113" fillId="9" borderId="9" xfId="0" quotePrefix="1" applyNumberFormat="1" applyFont="1" applyFill="1" applyBorder="1" applyAlignment="1" applyProtection="1">
      <alignment horizontal="center" vertical="center"/>
      <protection hidden="1"/>
    </xf>
    <xf numFmtId="8" fontId="113"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91" fillId="9" borderId="4" xfId="0" applyFont="1"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0" fontId="91" fillId="9" borderId="21" xfId="0" applyFont="1" applyFill="1" applyBorder="1" applyAlignment="1">
      <alignment horizontal="right" vertical="center"/>
    </xf>
    <xf numFmtId="0" fontId="113" fillId="9" borderId="282" xfId="0" applyFont="1" applyFill="1" applyBorder="1" applyAlignment="1">
      <alignment horizontal="right" vertical="center" wrapText="1"/>
    </xf>
    <xf numFmtId="0" fontId="113" fillId="9" borderId="237" xfId="0" applyFont="1" applyFill="1" applyBorder="1" applyAlignment="1">
      <alignment horizontal="right" vertical="center" wrapText="1"/>
    </xf>
    <xf numFmtId="0" fontId="113" fillId="9" borderId="283" xfId="0" applyFont="1" applyFill="1" applyBorder="1" applyAlignment="1">
      <alignment horizontal="right" vertical="center" wrapText="1"/>
    </xf>
    <xf numFmtId="0" fontId="113" fillId="4" borderId="179" xfId="0" applyFont="1" applyFill="1" applyBorder="1" applyAlignment="1">
      <alignment horizontal="left" vertical="center"/>
    </xf>
    <xf numFmtId="0" fontId="113" fillId="4" borderId="180" xfId="0" applyFont="1" applyFill="1" applyBorder="1" applyAlignment="1">
      <alignment horizontal="left" vertical="center"/>
    </xf>
    <xf numFmtId="0" fontId="113" fillId="4" borderId="211" xfId="0" applyFont="1" applyFill="1" applyBorder="1" applyAlignment="1">
      <alignment horizontal="left" vertical="center"/>
    </xf>
    <xf numFmtId="0" fontId="113" fillId="4" borderId="182" xfId="0" applyFont="1" applyFill="1" applyBorder="1" applyAlignment="1">
      <alignment horizontal="left" vertical="center"/>
    </xf>
    <xf numFmtId="0" fontId="113" fillId="4" borderId="28" xfId="0" applyFont="1" applyFill="1" applyBorder="1" applyAlignment="1">
      <alignment horizontal="left" vertical="center"/>
    </xf>
    <xf numFmtId="0" fontId="113" fillId="4" borderId="56" xfId="0" applyFont="1" applyFill="1" applyBorder="1" applyAlignment="1">
      <alignment horizontal="left" vertical="center"/>
    </xf>
    <xf numFmtId="0" fontId="91" fillId="9" borderId="214" xfId="0" applyFont="1" applyFill="1" applyBorder="1" applyAlignment="1" applyProtection="1">
      <alignment horizontal="right" vertical="center"/>
      <protection hidden="1"/>
    </xf>
    <xf numFmtId="0" fontId="91" fillId="9" borderId="176" xfId="0" applyFont="1" applyFill="1" applyBorder="1" applyAlignment="1" applyProtection="1">
      <alignment horizontal="right" vertical="center"/>
      <protection hidden="1"/>
    </xf>
    <xf numFmtId="0" fontId="91" fillId="9" borderId="210" xfId="0" applyFont="1" applyFill="1" applyBorder="1" applyAlignment="1" applyProtection="1">
      <alignment horizontal="right" vertical="center"/>
      <protection hidden="1"/>
    </xf>
    <xf numFmtId="0" fontId="91" fillId="9" borderId="2" xfId="0" applyFont="1" applyFill="1" applyBorder="1" applyAlignment="1">
      <alignment horizontal="right" vertical="center"/>
    </xf>
    <xf numFmtId="188" fontId="80" fillId="9" borderId="2" xfId="0" applyNumberFormat="1" applyFont="1" applyFill="1" applyBorder="1" applyAlignment="1" applyProtection="1">
      <alignment horizontal="center" vertical="center"/>
      <protection hidden="1"/>
    </xf>
    <xf numFmtId="0" fontId="250" fillId="9" borderId="185" xfId="0" applyFont="1" applyFill="1" applyBorder="1" applyAlignment="1" applyProtection="1">
      <alignment horizontal="left" vertical="center" wrapText="1"/>
      <protection hidden="1"/>
    </xf>
    <xf numFmtId="0" fontId="250" fillId="9" borderId="153" xfId="0" applyFont="1" applyFill="1" applyBorder="1" applyAlignment="1" applyProtection="1">
      <alignment horizontal="left" vertical="center" wrapText="1"/>
      <protection hidden="1"/>
    </xf>
    <xf numFmtId="0" fontId="91" fillId="9" borderId="154" xfId="0" applyFont="1" applyFill="1" applyBorder="1" applyAlignment="1">
      <alignment horizontal="right" vertical="center"/>
    </xf>
    <xf numFmtId="0" fontId="91" fillId="9" borderId="12" xfId="0" applyFont="1" applyFill="1" applyBorder="1" applyAlignment="1">
      <alignment horizontal="right" vertical="center"/>
    </xf>
    <xf numFmtId="0" fontId="54" fillId="9" borderId="0" xfId="2" applyNumberFormat="1" applyFill="1" applyBorder="1" applyAlignment="1" applyProtection="1">
      <alignment horizontal="center" vertical="center"/>
    </xf>
    <xf numFmtId="0" fontId="100" fillId="9" borderId="68" xfId="0" applyFont="1" applyFill="1" applyBorder="1" applyAlignment="1" applyProtection="1">
      <alignment horizontal="right" vertical="center" wrapText="1"/>
      <protection hidden="1"/>
    </xf>
    <xf numFmtId="0" fontId="100" fillId="9" borderId="9" xfId="0" applyFont="1" applyFill="1" applyBorder="1" applyAlignment="1" applyProtection="1">
      <alignment horizontal="right" vertical="center" wrapText="1"/>
      <protection hidden="1"/>
    </xf>
    <xf numFmtId="0" fontId="100" fillId="9" borderId="10" xfId="0" applyFont="1" applyFill="1" applyBorder="1" applyAlignment="1" applyProtection="1">
      <alignment horizontal="right" vertical="center" wrapText="1"/>
      <protection hidden="1"/>
    </xf>
    <xf numFmtId="0" fontId="100" fillId="9" borderId="68" xfId="0" applyFont="1" applyFill="1" applyBorder="1" applyAlignment="1" applyProtection="1">
      <alignment horizontal="right" vertical="center"/>
      <protection hidden="1"/>
    </xf>
    <xf numFmtId="0" fontId="100" fillId="9" borderId="9" xfId="0" applyFont="1" applyFill="1" applyBorder="1" applyAlignment="1" applyProtection="1">
      <alignment horizontal="right" vertical="center"/>
      <protection hidden="1"/>
    </xf>
    <xf numFmtId="0" fontId="100" fillId="9" borderId="10"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113" fillId="9" borderId="85" xfId="0" applyFont="1" applyFill="1" applyBorder="1" applyAlignment="1" applyProtection="1">
      <alignment horizontal="right" vertical="center"/>
      <protection hidden="1"/>
    </xf>
    <xf numFmtId="0" fontId="113" fillId="9" borderId="81" xfId="0" applyFont="1" applyFill="1" applyBorder="1" applyAlignment="1" applyProtection="1">
      <alignment horizontal="right" vertical="center"/>
      <protection hidden="1"/>
    </xf>
    <xf numFmtId="0" fontId="113" fillId="9" borderId="82" xfId="0" applyFont="1" applyFill="1" applyBorder="1" applyAlignment="1" applyProtection="1">
      <alignment horizontal="right" vertical="center"/>
      <protection hidden="1"/>
    </xf>
    <xf numFmtId="0" fontId="113" fillId="9" borderId="43" xfId="0" applyFont="1" applyFill="1" applyBorder="1" applyAlignment="1">
      <alignment horizontal="center" vertical="center" wrapText="1"/>
    </xf>
    <xf numFmtId="0" fontId="113" fillId="9" borderId="23" xfId="0" applyFont="1" applyFill="1" applyBorder="1" applyAlignment="1">
      <alignment horizontal="center" vertical="center" wrapText="1"/>
    </xf>
    <xf numFmtId="0" fontId="113" fillId="9" borderId="44" xfId="0" applyFont="1" applyFill="1" applyBorder="1" applyAlignment="1">
      <alignment horizontal="center" vertical="center" wrapText="1"/>
    </xf>
    <xf numFmtId="0" fontId="113" fillId="9" borderId="16" xfId="0" applyFont="1" applyFill="1" applyBorder="1" applyAlignment="1">
      <alignment horizontal="center" vertical="center"/>
    </xf>
    <xf numFmtId="0" fontId="113" fillId="9" borderId="18" xfId="0" applyFont="1" applyFill="1" applyBorder="1" applyAlignment="1">
      <alignment horizontal="center" vertical="center"/>
    </xf>
    <xf numFmtId="0" fontId="113" fillId="9" borderId="39" xfId="0" applyFont="1" applyFill="1" applyBorder="1" applyAlignment="1">
      <alignment horizontal="center" vertical="center"/>
    </xf>
    <xf numFmtId="0" fontId="103" fillId="9" borderId="26" xfId="0" applyFont="1" applyFill="1" applyBorder="1" applyAlignment="1" applyProtection="1">
      <alignment horizontal="right" vertical="center" wrapText="1"/>
      <protection hidden="1"/>
    </xf>
    <xf numFmtId="0" fontId="103"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91" fillId="9" borderId="26" xfId="0" applyFont="1" applyFill="1" applyBorder="1" applyAlignment="1" applyProtection="1">
      <alignment horizontal="right" vertical="center"/>
      <protection hidden="1"/>
    </xf>
    <xf numFmtId="0" fontId="91" fillId="9" borderId="41" xfId="0" applyFont="1" applyFill="1" applyBorder="1" applyAlignment="1" applyProtection="1">
      <alignment horizontal="right" vertical="center"/>
      <protection hidden="1"/>
    </xf>
    <xf numFmtId="0" fontId="97" fillId="9" borderId="66" xfId="0" applyFont="1" applyFill="1" applyBorder="1" applyAlignment="1" applyProtection="1">
      <alignment horizontal="center" vertical="center" wrapText="1"/>
      <protection hidden="1"/>
    </xf>
    <xf numFmtId="0" fontId="97" fillId="9" borderId="29" xfId="0" applyFont="1" applyFill="1" applyBorder="1" applyAlignment="1" applyProtection="1">
      <alignment horizontal="center" vertical="center" wrapText="1"/>
      <protection hidden="1"/>
    </xf>
    <xf numFmtId="0" fontId="96" fillId="4" borderId="42" xfId="0" applyFont="1" applyFill="1" applyBorder="1" applyAlignment="1" applyProtection="1">
      <alignment horizontal="center" vertical="center" wrapText="1"/>
      <protection hidden="1"/>
    </xf>
    <xf numFmtId="0" fontId="96" fillId="4" borderId="58" xfId="0" applyFont="1" applyFill="1" applyBorder="1" applyAlignment="1" applyProtection="1">
      <alignment horizontal="center" vertical="center" wrapText="1"/>
      <protection hidden="1"/>
    </xf>
    <xf numFmtId="0" fontId="96" fillId="4" borderId="8" xfId="0" applyFont="1" applyFill="1" applyBorder="1" applyAlignment="1" applyProtection="1">
      <alignment horizontal="center" vertical="center" wrapText="1"/>
      <protection hidden="1"/>
    </xf>
    <xf numFmtId="0" fontId="96" fillId="4" borderId="15" xfId="0" applyFont="1" applyFill="1" applyBorder="1" applyAlignment="1" applyProtection="1">
      <alignment horizontal="center" vertical="center" wrapText="1"/>
      <protection hidden="1"/>
    </xf>
    <xf numFmtId="0" fontId="96" fillId="4" borderId="31" xfId="0" applyFont="1" applyFill="1" applyBorder="1" applyAlignment="1" applyProtection="1">
      <alignment horizontal="center" vertical="center" wrapText="1"/>
      <protection hidden="1"/>
    </xf>
    <xf numFmtId="0" fontId="96" fillId="4" borderId="57" xfId="0" applyFont="1" applyFill="1" applyBorder="1" applyAlignment="1" applyProtection="1">
      <alignment horizontal="center" vertical="center" wrapText="1"/>
      <protection hidden="1"/>
    </xf>
    <xf numFmtId="0" fontId="96" fillId="4" borderId="19" xfId="0" applyFont="1" applyFill="1" applyBorder="1" applyAlignment="1" applyProtection="1">
      <alignment horizontal="center" vertical="center" wrapText="1"/>
      <protection hidden="1"/>
    </xf>
    <xf numFmtId="0" fontId="96" fillId="4" borderId="0" xfId="0" applyFont="1" applyFill="1" applyAlignment="1" applyProtection="1">
      <alignment horizontal="center" vertical="center" wrapText="1"/>
      <protection hidden="1"/>
    </xf>
    <xf numFmtId="0" fontId="96" fillId="4" borderId="16" xfId="0" applyFont="1" applyFill="1" applyBorder="1" applyAlignment="1" applyProtection="1">
      <alignment horizontal="center" vertical="center" wrapText="1"/>
      <protection hidden="1"/>
    </xf>
    <xf numFmtId="0" fontId="96" fillId="4" borderId="18" xfId="0" applyFont="1" applyFill="1" applyBorder="1" applyAlignment="1" applyProtection="1">
      <alignment horizontal="center" vertical="center" wrapText="1"/>
      <protection hidden="1"/>
    </xf>
    <xf numFmtId="0" fontId="96" fillId="4" borderId="39" xfId="0" applyFont="1" applyFill="1" applyBorder="1" applyAlignment="1" applyProtection="1">
      <alignment horizontal="center" vertical="center" wrapText="1"/>
      <protection hidden="1"/>
    </xf>
    <xf numFmtId="0" fontId="160"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93" fillId="4" borderId="1" xfId="0" applyFont="1" applyFill="1" applyBorder="1" applyAlignment="1" applyProtection="1">
      <alignment horizontal="center" vertical="center"/>
      <protection hidden="1"/>
    </xf>
    <xf numFmtId="0" fontId="93" fillId="4" borderId="9" xfId="0" applyFont="1" applyFill="1" applyBorder="1" applyAlignment="1" applyProtection="1">
      <alignment horizontal="center" vertical="center"/>
      <protection hidden="1"/>
    </xf>
    <xf numFmtId="0" fontId="93" fillId="4" borderId="77" xfId="0" applyFont="1" applyFill="1" applyBorder="1" applyAlignment="1" applyProtection="1">
      <alignment horizontal="center" vertical="center"/>
      <protection hidden="1"/>
    </xf>
    <xf numFmtId="9" fontId="0" fillId="0" borderId="0" xfId="3" applyFont="1" applyAlignment="1" applyProtection="1">
      <alignment horizontal="center" vertical="center"/>
      <protection locked="0"/>
    </xf>
    <xf numFmtId="0" fontId="96" fillId="4" borderId="68" xfId="0" applyFont="1" applyFill="1" applyBorder="1" applyAlignment="1" applyProtection="1">
      <alignment horizontal="left" vertical="center"/>
      <protection hidden="1"/>
    </xf>
    <xf numFmtId="0" fontId="96" fillId="4" borderId="10"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xf>
    <xf numFmtId="0" fontId="54" fillId="4" borderId="39" xfId="2" applyNumberFormat="1" applyFill="1" applyBorder="1" applyAlignment="1" applyProtection="1">
      <alignment horizontal="center"/>
    </xf>
    <xf numFmtId="0" fontId="91" fillId="4" borderId="43" xfId="0" applyFont="1" applyFill="1" applyBorder="1" applyAlignment="1" applyProtection="1">
      <alignment horizontal="center" vertical="center" wrapText="1"/>
      <protection hidden="1"/>
    </xf>
    <xf numFmtId="0" fontId="91" fillId="4" borderId="23" xfId="0" applyFont="1" applyFill="1" applyBorder="1" applyAlignment="1" applyProtection="1">
      <alignment horizontal="center" vertical="center" wrapText="1"/>
      <protection hidden="1"/>
    </xf>
    <xf numFmtId="0" fontId="91" fillId="4" borderId="0" xfId="0" applyFont="1" applyFill="1" applyAlignment="1" applyProtection="1">
      <alignment horizontal="center" vertical="center" wrapText="1"/>
      <protection hidden="1"/>
    </xf>
    <xf numFmtId="0" fontId="91" fillId="4" borderId="16" xfId="0" applyFont="1" applyFill="1" applyBorder="1" applyAlignment="1" applyProtection="1">
      <alignment horizontal="center" vertical="center" wrapText="1"/>
      <protection hidden="1"/>
    </xf>
    <xf numFmtId="0" fontId="91" fillId="4" borderId="18" xfId="0" applyFont="1" applyFill="1" applyBorder="1" applyAlignment="1" applyProtection="1">
      <alignment horizontal="center" vertical="center" wrapText="1"/>
      <protection hidden="1"/>
    </xf>
    <xf numFmtId="0" fontId="54" fillId="3" borderId="0" xfId="2" applyNumberFormat="1" applyFill="1" applyBorder="1" applyAlignment="1" applyProtection="1">
      <alignment horizontal="center"/>
    </xf>
    <xf numFmtId="0" fontId="54"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182" fillId="4" borderId="83" xfId="2" applyNumberFormat="1" applyFont="1" applyFill="1" applyBorder="1" applyAlignment="1" applyProtection="1">
      <alignment horizontal="center" vertical="center"/>
      <protection hidden="1"/>
    </xf>
    <xf numFmtId="0" fontId="182" fillId="4" borderId="78" xfId="2" applyNumberFormat="1" applyFont="1" applyFill="1" applyBorder="1" applyAlignment="1" applyProtection="1">
      <alignment horizontal="center" vertical="center"/>
      <protection hidden="1"/>
    </xf>
    <xf numFmtId="0" fontId="182" fillId="4" borderId="64" xfId="2" applyNumberFormat="1" applyFont="1" applyFill="1" applyBorder="1" applyAlignment="1" applyProtection="1">
      <alignment horizontal="center" vertical="center"/>
      <protection hidden="1"/>
    </xf>
    <xf numFmtId="0" fontId="95" fillId="4" borderId="4" xfId="0" applyFont="1" applyFill="1" applyBorder="1" applyAlignment="1" applyProtection="1">
      <alignment horizontal="right" vertical="center"/>
      <protection hidden="1"/>
    </xf>
    <xf numFmtId="0" fontId="95" fillId="4" borderId="2" xfId="0" applyFont="1" applyFill="1" applyBorder="1" applyAlignment="1" applyProtection="1">
      <alignment horizontal="right" vertical="center"/>
      <protection hidden="1"/>
    </xf>
    <xf numFmtId="0" fontId="95" fillId="4" borderId="5" xfId="0" applyFont="1" applyFill="1" applyBorder="1" applyAlignment="1" applyProtection="1">
      <alignment horizontal="right" vertical="center"/>
      <protection hidden="1"/>
    </xf>
    <xf numFmtId="0" fontId="95" fillId="4" borderId="6" xfId="0" applyFont="1" applyFill="1" applyBorder="1" applyAlignment="1" applyProtection="1">
      <alignment horizontal="right" vertical="center"/>
      <protection hidden="1"/>
    </xf>
    <xf numFmtId="0" fontId="54" fillId="4" borderId="0" xfId="2" applyNumberFormat="1" applyFill="1" applyAlignment="1" applyProtection="1">
      <alignment horizontal="center"/>
    </xf>
    <xf numFmtId="0" fontId="93" fillId="4" borderId="54" xfId="0" applyFont="1" applyFill="1" applyBorder="1" applyAlignment="1" applyProtection="1">
      <alignment horizontal="right" vertical="center" wrapText="1"/>
      <protection hidden="1"/>
    </xf>
    <xf numFmtId="0" fontId="97" fillId="4" borderId="55" xfId="0" applyFont="1" applyFill="1" applyBorder="1" applyAlignment="1" applyProtection="1">
      <alignment horizontal="right" vertical="center"/>
      <protection hidden="1"/>
    </xf>
    <xf numFmtId="0" fontId="97" fillId="4" borderId="19" xfId="0" applyFont="1" applyFill="1" applyBorder="1" applyAlignment="1" applyProtection="1">
      <alignment horizontal="right" vertical="center"/>
      <protection hidden="1"/>
    </xf>
    <xf numFmtId="0" fontId="97" fillId="4" borderId="99" xfId="0" applyFont="1" applyFill="1" applyBorder="1" applyAlignment="1" applyProtection="1">
      <alignment horizontal="right" vertical="center"/>
      <protection hidden="1"/>
    </xf>
    <xf numFmtId="0" fontId="97" fillId="4" borderId="30" xfId="0" applyFont="1" applyFill="1" applyBorder="1" applyAlignment="1" applyProtection="1">
      <alignment horizontal="right" vertical="center"/>
      <protection hidden="1"/>
    </xf>
    <xf numFmtId="0" fontId="97"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95" fillId="4" borderId="68" xfId="0" applyFont="1" applyFill="1" applyBorder="1" applyAlignment="1" applyProtection="1">
      <alignment horizontal="right" vertical="center"/>
      <protection hidden="1"/>
    </xf>
    <xf numFmtId="0" fontId="95" fillId="4" borderId="9" xfId="0" applyFont="1" applyFill="1" applyBorder="1" applyAlignment="1" applyProtection="1">
      <alignment horizontal="right" vertical="center"/>
      <protection hidden="1"/>
    </xf>
    <xf numFmtId="0" fontId="95" fillId="4" borderId="10" xfId="0" applyFont="1" applyFill="1" applyBorder="1" applyAlignment="1" applyProtection="1">
      <alignment horizontal="right" vertical="center"/>
      <protection hidden="1"/>
    </xf>
    <xf numFmtId="0" fontId="95" fillId="4" borderId="85" xfId="0" applyFont="1" applyFill="1" applyBorder="1" applyAlignment="1" applyProtection="1">
      <alignment horizontal="right" vertical="center"/>
      <protection hidden="1"/>
    </xf>
    <xf numFmtId="0" fontId="95" fillId="4" borderId="81" xfId="0" applyFont="1" applyFill="1" applyBorder="1" applyAlignment="1" applyProtection="1">
      <alignment horizontal="right" vertical="center"/>
      <protection hidden="1"/>
    </xf>
    <xf numFmtId="0" fontId="95" fillId="4" borderId="82" xfId="0" applyFont="1" applyFill="1" applyBorder="1" applyAlignment="1" applyProtection="1">
      <alignment horizontal="right" vertical="center"/>
      <protection hidden="1"/>
    </xf>
    <xf numFmtId="0" fontId="91" fillId="4" borderId="63" xfId="0" applyFont="1" applyFill="1" applyBorder="1" applyAlignment="1" applyProtection="1">
      <alignment horizontal="center" vertical="center" wrapText="1"/>
      <protection hidden="1"/>
    </xf>
    <xf numFmtId="0" fontId="91" fillId="4" borderId="78" xfId="0" applyFont="1" applyFill="1" applyBorder="1" applyAlignment="1" applyProtection="1">
      <alignment horizontal="center" vertical="center" wrapText="1"/>
      <protection hidden="1"/>
    </xf>
    <xf numFmtId="0" fontId="91" fillId="4" borderId="64" xfId="0" applyFont="1" applyFill="1" applyBorder="1" applyAlignment="1" applyProtection="1">
      <alignment horizontal="center" vertical="center" wrapText="1"/>
      <protection hidden="1"/>
    </xf>
    <xf numFmtId="0" fontId="101" fillId="4" borderId="43" xfId="0" applyFont="1" applyFill="1" applyBorder="1" applyAlignment="1" applyProtection="1">
      <alignment horizontal="center"/>
      <protection hidden="1"/>
    </xf>
    <xf numFmtId="0" fontId="101" fillId="4" borderId="23" xfId="0" applyFont="1" applyFill="1" applyBorder="1" applyAlignment="1" applyProtection="1">
      <alignment horizontal="center"/>
      <protection hidden="1"/>
    </xf>
    <xf numFmtId="0" fontId="101" fillId="4" borderId="44" xfId="0" applyFont="1" applyFill="1" applyBorder="1" applyAlignment="1" applyProtection="1">
      <alignment horizontal="center"/>
      <protection hidden="1"/>
    </xf>
    <xf numFmtId="0" fontId="101" fillId="4" borderId="30" xfId="0" applyFont="1" applyFill="1" applyBorder="1" applyAlignment="1" applyProtection="1">
      <alignment horizontal="center"/>
      <protection hidden="1"/>
    </xf>
    <xf numFmtId="0" fontId="101" fillId="4" borderId="28" xfId="0" applyFont="1" applyFill="1" applyBorder="1" applyAlignment="1" applyProtection="1">
      <alignment horizontal="center"/>
      <protection hidden="1"/>
    </xf>
    <xf numFmtId="0" fontId="101" fillId="4" borderId="57" xfId="0" applyFont="1" applyFill="1" applyBorder="1" applyAlignment="1" applyProtection="1">
      <alignment horizont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113" fillId="6" borderId="2" xfId="0" applyFont="1" applyFill="1" applyBorder="1" applyAlignment="1" applyProtection="1">
      <alignment horizontal="center" vertical="center"/>
      <protection locked="0"/>
    </xf>
    <xf numFmtId="0" fontId="113"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91" fillId="4" borderId="4" xfId="0" applyFont="1" applyFill="1" applyBorder="1" applyAlignment="1" applyProtection="1">
      <alignment horizontal="right" vertical="center"/>
      <protection hidden="1"/>
    </xf>
    <xf numFmtId="0" fontId="91" fillId="4" borderId="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91" fillId="4" borderId="4"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protection hidden="1"/>
    </xf>
    <xf numFmtId="0" fontId="91" fillId="4" borderId="3" xfId="0" applyFont="1" applyFill="1" applyBorder="1" applyAlignment="1" applyProtection="1">
      <alignment horizontal="center" vertical="center"/>
      <protection hidden="1"/>
    </xf>
    <xf numFmtId="169" fontId="49" fillId="0" borderId="1" xfId="0" applyNumberFormat="1" applyFont="1" applyBorder="1"/>
    <xf numFmtId="169" fontId="49" fillId="0" borderId="77" xfId="0" applyNumberFormat="1" applyFont="1" applyBorder="1"/>
    <xf numFmtId="169" fontId="63" fillId="0" borderId="24" xfId="0" applyNumberFormat="1" applyFont="1" applyBorder="1" applyAlignment="1">
      <alignment horizontal="center"/>
    </xf>
    <xf numFmtId="169" fontId="63" fillId="0" borderId="21" xfId="0" applyNumberFormat="1" applyFont="1" applyBorder="1" applyAlignment="1">
      <alignment horizontal="center"/>
    </xf>
    <xf numFmtId="169" fontId="63" fillId="0" borderId="22" xfId="0" applyNumberFormat="1" applyFont="1" applyBorder="1" applyAlignment="1">
      <alignment horizontal="center"/>
    </xf>
    <xf numFmtId="169" fontId="52" fillId="0" borderId="1" xfId="0" applyNumberFormat="1" applyFont="1" applyBorder="1" applyAlignment="1">
      <alignment vertical="center"/>
    </xf>
    <xf numFmtId="169" fontId="52" fillId="0" borderId="77" xfId="0" applyNumberFormat="1" applyFont="1" applyBorder="1" applyAlignment="1">
      <alignment vertical="center"/>
    </xf>
    <xf numFmtId="169" fontId="49" fillId="0" borderId="114" xfId="0" applyNumberFormat="1" applyFont="1" applyBorder="1"/>
    <xf numFmtId="169" fontId="49" fillId="0" borderId="39" xfId="0" applyNumberFormat="1" applyFont="1" applyBorder="1"/>
    <xf numFmtId="169" fontId="49" fillId="0" borderId="80" xfId="0" applyNumberFormat="1" applyFont="1" applyBorder="1"/>
    <xf numFmtId="169" fontId="49" fillId="0" borderId="86" xfId="0" applyNumberFormat="1" applyFont="1" applyBorder="1"/>
    <xf numFmtId="0" fontId="93" fillId="4" borderId="30" xfId="0" applyFont="1" applyFill="1" applyBorder="1" applyAlignment="1" applyProtection="1">
      <alignment horizontal="right" vertical="center" wrapText="1"/>
      <protection hidden="1"/>
    </xf>
    <xf numFmtId="0" fontId="93" fillId="4" borderId="57" xfId="0" applyFont="1" applyFill="1" applyBorder="1" applyAlignment="1" applyProtection="1">
      <alignment horizontal="right" vertical="center" wrapText="1"/>
      <protection hidden="1"/>
    </xf>
    <xf numFmtId="0" fontId="91" fillId="4" borderId="4" xfId="0" applyFont="1" applyFill="1" applyBorder="1" applyAlignment="1" applyProtection="1">
      <alignment horizontal="center" vertical="center" wrapText="1"/>
      <protection hidden="1"/>
    </xf>
    <xf numFmtId="0" fontId="91" fillId="4" borderId="3" xfId="0" applyFont="1" applyFill="1" applyBorder="1" applyAlignment="1" applyProtection="1">
      <alignment horizontal="center" vertical="center" wrapText="1"/>
      <protection hidden="1"/>
    </xf>
    <xf numFmtId="0" fontId="101" fillId="4" borderId="65" xfId="0" applyFont="1" applyFill="1" applyBorder="1" applyAlignment="1" applyProtection="1">
      <alignment horizontal="center" vertical="center" wrapText="1"/>
      <protection hidden="1"/>
    </xf>
    <xf numFmtId="0" fontId="101" fillId="4" borderId="20" xfId="0" applyFont="1" applyFill="1" applyBorder="1" applyAlignment="1" applyProtection="1">
      <alignment horizontal="center" vertical="center" wrapText="1"/>
      <protection hidden="1"/>
    </xf>
    <xf numFmtId="0" fontId="54"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98" fillId="4" borderId="79" xfId="0" applyFont="1" applyFill="1" applyBorder="1" applyAlignment="1" applyProtection="1">
      <alignment horizontal="center"/>
      <protection hidden="1"/>
    </xf>
    <xf numFmtId="0" fontId="96"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91" fillId="4" borderId="21" xfId="0" applyFont="1" applyFill="1" applyBorder="1" applyAlignment="1" applyProtection="1">
      <alignment horizontal="center"/>
      <protection hidden="1"/>
    </xf>
    <xf numFmtId="0" fontId="91" fillId="4" borderId="159" xfId="0" applyFont="1" applyFill="1" applyBorder="1" applyAlignment="1" applyProtection="1">
      <alignment horizontal="center"/>
      <protection hidden="1"/>
    </xf>
    <xf numFmtId="0" fontId="91" fillId="4" borderId="78" xfId="0" applyFont="1" applyFill="1" applyBorder="1" applyAlignment="1" applyProtection="1">
      <alignment horizontal="center"/>
      <protection hidden="1"/>
    </xf>
    <xf numFmtId="0" fontId="91" fillId="4" borderId="64" xfId="0" applyFont="1" applyFill="1" applyBorder="1" applyAlignment="1" applyProtection="1">
      <alignment horizontal="center"/>
      <protection hidden="1"/>
    </xf>
    <xf numFmtId="0" fontId="96" fillId="4" borderId="43" xfId="0" applyFont="1" applyFill="1" applyBorder="1" applyAlignment="1" applyProtection="1">
      <alignment horizontal="center" vertical="top" wrapText="1"/>
      <protection hidden="1"/>
    </xf>
    <xf numFmtId="0" fontId="96" fillId="4" borderId="23" xfId="0" applyFont="1" applyFill="1" applyBorder="1" applyAlignment="1" applyProtection="1">
      <alignment horizontal="center" vertical="top" wrapText="1"/>
      <protection hidden="1"/>
    </xf>
    <xf numFmtId="0" fontId="96" fillId="4" borderId="44" xfId="0" applyFont="1" applyFill="1" applyBorder="1" applyAlignment="1" applyProtection="1">
      <alignment horizontal="center" vertical="top" wrapText="1"/>
      <protection hidden="1"/>
    </xf>
    <xf numFmtId="0" fontId="96" fillId="4" borderId="19" xfId="0" applyFont="1" applyFill="1" applyBorder="1" applyAlignment="1" applyProtection="1">
      <alignment horizontal="center" vertical="top" wrapText="1"/>
      <protection hidden="1"/>
    </xf>
    <xf numFmtId="0" fontId="96" fillId="4" borderId="0" xfId="0" applyFont="1" applyFill="1" applyAlignment="1" applyProtection="1">
      <alignment horizontal="center" vertical="top" wrapText="1"/>
      <protection hidden="1"/>
    </xf>
    <xf numFmtId="0" fontId="96" fillId="4" borderId="15" xfId="0" applyFont="1" applyFill="1" applyBorder="1" applyAlignment="1" applyProtection="1">
      <alignment horizontal="center" vertical="top" wrapText="1"/>
      <protection hidden="1"/>
    </xf>
    <xf numFmtId="0" fontId="101" fillId="4" borderId="0" xfId="0" applyFont="1" applyFill="1" applyAlignment="1">
      <alignment horizontal="center" vertical="center"/>
    </xf>
    <xf numFmtId="0" fontId="101" fillId="4" borderId="99" xfId="0" applyFont="1" applyFill="1" applyBorder="1" applyAlignment="1">
      <alignment horizontal="center" vertical="center"/>
    </xf>
    <xf numFmtId="0" fontId="95" fillId="4" borderId="19" xfId="0" applyFont="1" applyFill="1" applyBorder="1" applyAlignment="1" applyProtection="1">
      <alignment horizontal="center" wrapText="1"/>
      <protection hidden="1"/>
    </xf>
    <xf numFmtId="0" fontId="95"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61" fillId="4" borderId="43" xfId="2" applyNumberFormat="1" applyFont="1" applyFill="1" applyBorder="1" applyAlignment="1" applyProtection="1">
      <alignment horizontal="center" vertical="center" wrapText="1"/>
    </xf>
    <xf numFmtId="0" fontId="161" fillId="4" borderId="16" xfId="2" applyNumberFormat="1" applyFont="1" applyFill="1" applyBorder="1" applyAlignment="1" applyProtection="1">
      <alignment horizontal="center" vertical="center" wrapText="1"/>
    </xf>
    <xf numFmtId="0" fontId="277" fillId="4" borderId="44" xfId="2" applyNumberFormat="1" applyFont="1" applyFill="1" applyBorder="1" applyAlignment="1" applyProtection="1">
      <alignment horizontal="center" vertical="center" wrapText="1"/>
    </xf>
    <xf numFmtId="0" fontId="277" fillId="4" borderId="39" xfId="2" applyNumberFormat="1" applyFont="1" applyFill="1" applyBorder="1" applyAlignment="1" applyProtection="1">
      <alignment horizontal="center" vertical="center" wrapText="1"/>
    </xf>
    <xf numFmtId="0" fontId="0" fillId="4" borderId="164"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153" fillId="4" borderId="30" xfId="0" applyFont="1" applyFill="1" applyBorder="1" applyAlignment="1">
      <alignment horizontal="center" vertical="center"/>
    </xf>
    <xf numFmtId="0" fontId="153" fillId="4" borderId="56" xfId="0" applyFont="1" applyFill="1" applyBorder="1" applyAlignment="1">
      <alignment horizontal="center" vertical="center"/>
    </xf>
    <xf numFmtId="10" fontId="96" fillId="0" borderId="2" xfId="3" applyNumberFormat="1" applyFont="1" applyFill="1" applyBorder="1" applyAlignment="1" applyProtection="1">
      <alignment horizontal="center" vertical="center"/>
      <protection locked="0"/>
    </xf>
    <xf numFmtId="0" fontId="96" fillId="4" borderId="183" xfId="0" applyFont="1" applyFill="1" applyBorder="1" applyAlignment="1" applyProtection="1">
      <alignment horizontal="center" vertical="center" wrapText="1"/>
      <protection hidden="1"/>
    </xf>
    <xf numFmtId="0" fontId="96" fillId="4" borderId="226" xfId="0" applyFont="1" applyFill="1" applyBorder="1" applyAlignment="1" applyProtection="1">
      <alignment horizontal="center" vertical="center" wrapText="1"/>
      <protection hidden="1"/>
    </xf>
    <xf numFmtId="0" fontId="153" fillId="4" borderId="227" xfId="0" applyFont="1" applyFill="1" applyBorder="1" applyAlignment="1">
      <alignment horizontal="center" vertical="center"/>
    </xf>
    <xf numFmtId="0" fontId="153" fillId="4" borderId="21" xfId="0" applyFont="1" applyFill="1" applyBorder="1" applyAlignment="1">
      <alignment horizontal="center" vertical="center"/>
    </xf>
    <xf numFmtId="0" fontId="153"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91" fillId="4" borderId="170" xfId="0" applyFont="1" applyFill="1" applyBorder="1" applyAlignment="1" applyProtection="1">
      <alignment horizontal="left" vertical="center"/>
      <protection hidden="1"/>
    </xf>
    <xf numFmtId="0" fontId="91" fillId="4" borderId="2" xfId="0" applyFont="1" applyFill="1" applyBorder="1" applyAlignment="1" applyProtection="1">
      <alignment horizontal="left" vertical="center"/>
      <protection hidden="1"/>
    </xf>
    <xf numFmtId="0" fontId="54" fillId="4" borderId="31" xfId="2" applyNumberFormat="1" applyFill="1" applyBorder="1" applyAlignment="1" applyProtection="1">
      <alignment horizontal="center" vertical="center"/>
    </xf>
    <xf numFmtId="0" fontId="54"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0" fontId="0" fillId="4" borderId="10" xfId="0" applyFill="1" applyBorder="1" applyAlignment="1">
      <alignment horizontal="left" vertical="center"/>
    </xf>
    <xf numFmtId="0" fontId="91" fillId="4" borderId="63" xfId="0" applyFont="1" applyFill="1" applyBorder="1" applyAlignment="1">
      <alignment horizontal="center" vertical="center"/>
    </xf>
    <xf numFmtId="0" fontId="91" fillId="4" borderId="78" xfId="0" applyFont="1" applyFill="1" applyBorder="1" applyAlignment="1">
      <alignment horizontal="center" vertical="center"/>
    </xf>
    <xf numFmtId="0" fontId="91" fillId="4" borderId="67" xfId="0" applyFont="1" applyFill="1" applyBorder="1" applyAlignment="1">
      <alignment horizontal="center" vertical="center"/>
    </xf>
    <xf numFmtId="0" fontId="96" fillId="4" borderId="8" xfId="0" applyFont="1" applyFill="1" applyBorder="1" applyAlignment="1">
      <alignment horizontal="center" vertical="center"/>
    </xf>
    <xf numFmtId="0" fontId="96" fillId="4" borderId="99" xfId="0" applyFont="1" applyFill="1" applyBorder="1" applyAlignment="1">
      <alignment horizontal="center" vertical="center"/>
    </xf>
    <xf numFmtId="0" fontId="98" fillId="4" borderId="179" xfId="0" applyFont="1" applyFill="1" applyBorder="1" applyAlignment="1">
      <alignment horizontal="center" vertical="center" wrapText="1"/>
    </xf>
    <xf numFmtId="0" fontId="98" fillId="4" borderId="211" xfId="0" applyFont="1" applyFill="1" applyBorder="1" applyAlignment="1">
      <alignment horizontal="center" vertical="center" wrapText="1"/>
    </xf>
    <xf numFmtId="0" fontId="98" fillId="4" borderId="185" xfId="0" applyFont="1" applyFill="1" applyBorder="1" applyAlignment="1">
      <alignment horizontal="center" vertical="center" wrapText="1"/>
    </xf>
    <xf numFmtId="0" fontId="98" fillId="4" borderId="99" xfId="0" applyFont="1" applyFill="1" applyBorder="1" applyAlignment="1">
      <alignment horizontal="center" vertical="center" wrapText="1"/>
    </xf>
    <xf numFmtId="0" fontId="98" fillId="4" borderId="182" xfId="0" applyFont="1" applyFill="1" applyBorder="1" applyAlignment="1">
      <alignment horizontal="center" vertical="center" wrapText="1"/>
    </xf>
    <xf numFmtId="0" fontId="98" fillId="4" borderId="56" xfId="0" applyFont="1" applyFill="1" applyBorder="1" applyAlignment="1">
      <alignment horizontal="center" vertical="center" wrapText="1"/>
    </xf>
    <xf numFmtId="0" fontId="98" fillId="4" borderId="63" xfId="0" applyFont="1" applyFill="1" applyBorder="1" applyAlignment="1">
      <alignment horizontal="center" vertical="center" textRotation="90"/>
    </xf>
    <xf numFmtId="0" fontId="98" fillId="4" borderId="30" xfId="0" applyFont="1" applyFill="1" applyBorder="1" applyAlignment="1">
      <alignment horizontal="center" vertical="center" textRotation="90"/>
    </xf>
    <xf numFmtId="0" fontId="98" fillId="4" borderId="68" xfId="0" applyFont="1" applyFill="1" applyBorder="1" applyAlignment="1">
      <alignment horizontal="center" vertical="center" textRotation="90"/>
    </xf>
    <xf numFmtId="0" fontId="98" fillId="4" borderId="85" xfId="0" applyFont="1" applyFill="1" applyBorder="1" applyAlignment="1">
      <alignment horizontal="center" vertical="center" textRotation="90"/>
    </xf>
    <xf numFmtId="0" fontId="91" fillId="4" borderId="59" xfId="0" applyFont="1" applyFill="1" applyBorder="1" applyAlignment="1">
      <alignment horizontal="center" vertical="center" wrapText="1"/>
    </xf>
    <xf numFmtId="0" fontId="91" fillId="4" borderId="144" xfId="0" applyFont="1" applyFill="1" applyBorder="1" applyAlignment="1">
      <alignment horizontal="center" vertical="center" wrapText="1"/>
    </xf>
    <xf numFmtId="0" fontId="91" fillId="4" borderId="117" xfId="0" applyFont="1" applyFill="1" applyBorder="1" applyAlignment="1">
      <alignment horizontal="center" vertical="center" wrapText="1"/>
    </xf>
    <xf numFmtId="0" fontId="91" fillId="4" borderId="108" xfId="0" applyFont="1" applyFill="1" applyBorder="1" applyAlignment="1">
      <alignment horizontal="center" vertical="center" wrapText="1"/>
    </xf>
    <xf numFmtId="0" fontId="91" fillId="4" borderId="61" xfId="0" applyFont="1" applyFill="1" applyBorder="1" applyAlignment="1">
      <alignment horizontal="center" vertical="center" wrapText="1"/>
    </xf>
    <xf numFmtId="0" fontId="91" fillId="4" borderId="87" xfId="0" applyFont="1" applyFill="1" applyBorder="1" applyAlignment="1">
      <alignment horizontal="center" vertical="center" wrapText="1"/>
    </xf>
    <xf numFmtId="0" fontId="96" fillId="4" borderId="144" xfId="0" applyFont="1" applyFill="1" applyBorder="1" applyAlignment="1">
      <alignment horizontal="right" vertical="center"/>
    </xf>
    <xf numFmtId="0" fontId="192" fillId="4" borderId="19" xfId="0" applyFont="1" applyFill="1" applyBorder="1" applyAlignment="1">
      <alignment horizontal="right" vertical="center" textRotation="90"/>
    </xf>
    <xf numFmtId="0" fontId="91" fillId="4" borderId="19" xfId="0" applyFont="1" applyFill="1" applyBorder="1" applyAlignment="1">
      <alignment horizontal="right" vertical="center" textRotation="90"/>
    </xf>
    <xf numFmtId="0" fontId="103" fillId="0" borderId="1"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01" fillId="4" borderId="72" xfId="0" applyFont="1" applyFill="1" applyBorder="1" applyAlignment="1">
      <alignment horizontal="center" vertical="top" textRotation="90"/>
    </xf>
    <xf numFmtId="0" fontId="101" fillId="4" borderId="66" xfId="0" applyFont="1" applyFill="1" applyBorder="1" applyAlignment="1">
      <alignment horizontal="center" vertical="top" textRotation="90"/>
    </xf>
    <xf numFmtId="0" fontId="101" fillId="4" borderId="40" xfId="0" applyFont="1" applyFill="1" applyBorder="1" applyAlignment="1">
      <alignment horizontal="center" vertical="top" textRotation="90"/>
    </xf>
    <xf numFmtId="0" fontId="93" fillId="4" borderId="31" xfId="0" applyFont="1" applyFill="1" applyBorder="1" applyAlignment="1">
      <alignment horizontal="center" vertical="center"/>
    </xf>
    <xf numFmtId="0" fontId="93" fillId="4" borderId="28" xfId="0" applyFont="1" applyFill="1" applyBorder="1" applyAlignment="1">
      <alignment horizontal="center" vertical="center"/>
    </xf>
    <xf numFmtId="10" fontId="96" fillId="4" borderId="1" xfId="0" applyNumberFormat="1" applyFont="1" applyFill="1" applyBorder="1" applyAlignment="1">
      <alignment horizontal="center" vertical="center"/>
    </xf>
    <xf numFmtId="10" fontId="96" fillId="4" borderId="10" xfId="0" applyNumberFormat="1"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98" fillId="4" borderId="23" xfId="0" applyFont="1" applyFill="1" applyBorder="1" applyAlignment="1">
      <alignment horizontal="center" vertical="center" textRotation="90"/>
    </xf>
    <xf numFmtId="0" fontId="98" fillId="4" borderId="0" xfId="0" applyFont="1" applyFill="1" applyAlignment="1">
      <alignment horizontal="center" vertical="center" textRotation="90"/>
    </xf>
    <xf numFmtId="0" fontId="98" fillId="4" borderId="15" xfId="0" applyFont="1" applyFill="1" applyBorder="1" applyAlignment="1">
      <alignment horizontal="center" vertical="center" textRotation="90"/>
    </xf>
    <xf numFmtId="0" fontId="0" fillId="4" borderId="68" xfId="0" applyFill="1" applyBorder="1" applyAlignment="1" applyProtection="1">
      <alignment horizontal="left"/>
      <protection hidden="1"/>
    </xf>
    <xf numFmtId="8" fontId="0" fillId="0" borderId="2" xfId="0" applyNumberFormat="1" applyBorder="1" applyAlignment="1">
      <alignment horizontal="center"/>
    </xf>
    <xf numFmtId="0" fontId="80" fillId="4" borderId="2" xfId="0" applyFont="1" applyFill="1" applyBorder="1" applyAlignment="1">
      <alignment horizontal="right" vertical="center"/>
    </xf>
    <xf numFmtId="0" fontId="101" fillId="4" borderId="59" xfId="0" applyFont="1" applyFill="1" applyBorder="1" applyAlignment="1">
      <alignment horizontal="center" vertical="center" textRotation="90" wrapText="1"/>
    </xf>
    <xf numFmtId="0" fontId="101"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6" fontId="96" fillId="4" borderId="4" xfId="0" applyNumberFormat="1" applyFont="1" applyFill="1" applyBorder="1" applyAlignment="1" applyProtection="1">
      <alignment horizontal="center" vertical="center"/>
      <protection hidden="1"/>
    </xf>
    <xf numFmtId="6" fontId="96" fillId="4" borderId="3" xfId="0" applyNumberFormat="1" applyFont="1" applyFill="1" applyBorder="1" applyAlignment="1" applyProtection="1">
      <alignment horizontal="center" vertical="center"/>
      <protection hidden="1"/>
    </xf>
    <xf numFmtId="0" fontId="91" fillId="4" borderId="85" xfId="0" applyFont="1" applyFill="1" applyBorder="1" applyAlignment="1">
      <alignment horizontal="left" vertical="center"/>
    </xf>
    <xf numFmtId="0" fontId="91" fillId="4" borderId="81" xfId="0" applyFont="1" applyFill="1" applyBorder="1" applyAlignment="1">
      <alignment horizontal="left" vertical="center"/>
    </xf>
    <xf numFmtId="0" fontId="91"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80" fillId="4" borderId="2" xfId="3" applyNumberFormat="1" applyFont="1" applyFill="1" applyBorder="1" applyAlignment="1">
      <alignment horizontal="center" vertical="center"/>
    </xf>
    <xf numFmtId="10" fontId="80" fillId="4" borderId="3" xfId="3" applyNumberFormat="1" applyFont="1" applyFill="1" applyBorder="1" applyAlignment="1">
      <alignment horizontal="center" vertical="center"/>
    </xf>
    <xf numFmtId="0" fontId="0" fillId="0" borderId="113" xfId="0" applyBorder="1" applyAlignment="1">
      <alignment horizontal="center"/>
    </xf>
    <xf numFmtId="0" fontId="153" fillId="4" borderId="24" xfId="0" applyFont="1" applyFill="1" applyBorder="1" applyAlignment="1">
      <alignment horizontal="center" vertical="center"/>
    </xf>
    <xf numFmtId="0" fontId="153" fillId="4" borderId="67" xfId="0" applyFont="1" applyFill="1" applyBorder="1" applyAlignment="1">
      <alignment horizontal="center" vertical="center"/>
    </xf>
    <xf numFmtId="0" fontId="153" fillId="4" borderId="22" xfId="0" applyFont="1" applyFill="1" applyBorder="1" applyAlignment="1">
      <alignment horizontal="center" vertical="center"/>
    </xf>
    <xf numFmtId="0" fontId="156" fillId="4" borderId="4" xfId="2" applyNumberFormat="1" applyFont="1" applyFill="1" applyBorder="1" applyAlignment="1" applyProtection="1">
      <alignment horizontal="center" vertical="center"/>
      <protection hidden="1"/>
    </xf>
    <xf numFmtId="0" fontId="156" fillId="4" borderId="10" xfId="2" applyNumberFormat="1" applyFont="1" applyFill="1" applyBorder="1" applyAlignment="1" applyProtection="1">
      <alignment horizontal="center" vertical="center"/>
      <protection hidden="1"/>
    </xf>
    <xf numFmtId="0" fontId="156" fillId="4" borderId="2" xfId="2" applyNumberFormat="1" applyFont="1" applyFill="1" applyBorder="1" applyAlignment="1" applyProtection="1">
      <alignment horizontal="center" vertical="center"/>
      <protection hidden="1"/>
    </xf>
    <xf numFmtId="0" fontId="156"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91" fillId="4" borderId="164" xfId="0" applyFont="1" applyFill="1" applyBorder="1" applyAlignment="1" applyProtection="1">
      <alignment horizontal="center" vertical="center"/>
      <protection hidden="1"/>
    </xf>
    <xf numFmtId="0" fontId="91" fillId="4" borderId="10" xfId="0" applyFont="1" applyFill="1" applyBorder="1" applyAlignment="1" applyProtection="1">
      <alignment horizontal="center" vertical="center"/>
      <protection hidden="1"/>
    </xf>
    <xf numFmtId="0" fontId="182" fillId="4" borderId="23" xfId="2" applyNumberFormat="1" applyFont="1" applyFill="1" applyBorder="1" applyAlignment="1" applyProtection="1">
      <alignment horizontal="center" vertical="center"/>
    </xf>
    <xf numFmtId="0" fontId="91" fillId="4" borderId="85" xfId="0" applyFont="1" applyFill="1" applyBorder="1" applyAlignment="1" applyProtection="1">
      <alignment horizontal="right"/>
      <protection hidden="1"/>
    </xf>
    <xf numFmtId="0" fontId="91" fillId="4" borderId="82" xfId="0" applyFont="1" applyFill="1" applyBorder="1" applyAlignment="1" applyProtection="1">
      <alignment horizontal="right"/>
      <protection hidden="1"/>
    </xf>
    <xf numFmtId="0" fontId="145" fillId="4" borderId="68" xfId="0" applyFont="1" applyFill="1" applyBorder="1" applyAlignment="1" applyProtection="1">
      <alignment horizontal="left" vertical="center"/>
      <protection hidden="1"/>
    </xf>
    <xf numFmtId="0" fontId="145" fillId="4" borderId="10" xfId="0" applyFont="1" applyFill="1" applyBorder="1" applyAlignment="1" applyProtection="1">
      <alignment horizontal="left" vertical="center"/>
      <protection hidden="1"/>
    </xf>
    <xf numFmtId="6" fontId="80" fillId="4" borderId="21" xfId="0" applyNumberFormat="1" applyFont="1" applyFill="1" applyBorder="1" applyAlignment="1">
      <alignment horizontal="center" vertical="center"/>
    </xf>
    <xf numFmtId="0" fontId="80" fillId="4" borderId="22" xfId="0" applyFont="1" applyFill="1" applyBorder="1" applyAlignment="1">
      <alignment horizontal="center" vertical="center"/>
    </xf>
    <xf numFmtId="8" fontId="80" fillId="4" borderId="21" xfId="0" applyNumberFormat="1" applyFont="1" applyFill="1" applyBorder="1" applyAlignment="1">
      <alignment horizontal="center" vertical="center"/>
    </xf>
    <xf numFmtId="0" fontId="91" fillId="4" borderId="189" xfId="0" applyFont="1" applyFill="1" applyBorder="1" applyAlignment="1">
      <alignment horizontal="center" wrapText="1"/>
    </xf>
    <xf numFmtId="0" fontId="91" fillId="4" borderId="181" xfId="0" applyFont="1" applyFill="1" applyBorder="1" applyAlignment="1">
      <alignment horizontal="center" wrapText="1"/>
    </xf>
    <xf numFmtId="0" fontId="91" fillId="4" borderId="31" xfId="0" applyFont="1" applyFill="1" applyBorder="1" applyAlignment="1">
      <alignment horizontal="center" wrapText="1"/>
    </xf>
    <xf numFmtId="0" fontId="91" fillId="4" borderId="174" xfId="0" applyFont="1" applyFill="1" applyBorder="1" applyAlignment="1">
      <alignment horizontal="center" wrapText="1"/>
    </xf>
    <xf numFmtId="0" fontId="91" fillId="4" borderId="68" xfId="0" applyFont="1" applyFill="1" applyBorder="1" applyAlignment="1" applyProtection="1">
      <alignment horizontal="left"/>
      <protection hidden="1"/>
    </xf>
    <xf numFmtId="0" fontId="91" fillId="4" borderId="10" xfId="0" applyFont="1" applyFill="1" applyBorder="1" applyAlignment="1" applyProtection="1">
      <alignment horizontal="left"/>
      <protection hidden="1"/>
    </xf>
    <xf numFmtId="0" fontId="156" fillId="4" borderId="68" xfId="2" applyNumberFormat="1" applyFont="1" applyFill="1" applyBorder="1" applyAlignment="1" applyProtection="1">
      <alignment horizontal="left"/>
      <protection hidden="1"/>
    </xf>
    <xf numFmtId="0" fontId="156" fillId="4" borderId="10" xfId="2" applyNumberFormat="1" applyFont="1" applyFill="1" applyBorder="1" applyAlignment="1" applyProtection="1">
      <alignment horizontal="left"/>
      <protection hidden="1"/>
    </xf>
    <xf numFmtId="0" fontId="0" fillId="4" borderId="164" xfId="0" applyFill="1" applyBorder="1" applyAlignment="1">
      <alignment horizontal="left" vertical="center"/>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33" fillId="4" borderId="164" xfId="2" applyNumberFormat="1" applyFont="1" applyFill="1" applyBorder="1" applyAlignment="1" applyProtection="1">
      <alignment horizontal="left"/>
      <protection hidden="1"/>
    </xf>
    <xf numFmtId="0" fontId="233" fillId="4" borderId="10" xfId="2" applyNumberFormat="1" applyFont="1" applyFill="1" applyBorder="1" applyAlignment="1" applyProtection="1">
      <alignment horizontal="left"/>
      <protection hidden="1"/>
    </xf>
    <xf numFmtId="8" fontId="0" fillId="0" borderId="0" xfId="0" applyNumberFormat="1" applyAlignment="1">
      <alignment horizontal="center"/>
    </xf>
    <xf numFmtId="8" fontId="80" fillId="4" borderId="2" xfId="0" applyNumberFormat="1" applyFont="1" applyFill="1" applyBorder="1" applyAlignment="1">
      <alignment horizontal="center" vertical="center"/>
    </xf>
    <xf numFmtId="0" fontId="80" fillId="4" borderId="2" xfId="0" applyFont="1" applyFill="1" applyBorder="1" applyAlignment="1">
      <alignment horizontal="center" vertical="center"/>
    </xf>
    <xf numFmtId="8" fontId="80" fillId="4" borderId="3" xfId="0" applyNumberFormat="1" applyFont="1" applyFill="1" applyBorder="1" applyAlignment="1">
      <alignment horizontal="center" vertical="center"/>
    </xf>
    <xf numFmtId="0" fontId="80" fillId="4" borderId="6" xfId="0" applyFont="1" applyFill="1" applyBorder="1" applyAlignment="1">
      <alignment horizontal="right" vertical="center"/>
    </xf>
    <xf numFmtId="0" fontId="80" fillId="4" borderId="6" xfId="0" applyFont="1" applyFill="1" applyBorder="1" applyAlignment="1">
      <alignment horizontal="center" vertical="center"/>
    </xf>
    <xf numFmtId="0" fontId="80" fillId="4" borderId="7" xfId="0" applyFont="1" applyFill="1" applyBorder="1" applyAlignment="1">
      <alignment horizontal="center" vertical="center"/>
    </xf>
    <xf numFmtId="0" fontId="0" fillId="4" borderId="1" xfId="0" applyFill="1" applyBorder="1" applyAlignment="1" applyProtection="1">
      <alignment horizontal="center" vertical="center"/>
      <protection hidden="1"/>
    </xf>
    <xf numFmtId="0" fontId="96" fillId="4" borderId="67" xfId="0" applyFont="1" applyFill="1" applyBorder="1" applyAlignment="1">
      <alignment horizontal="center" vertical="center"/>
    </xf>
    <xf numFmtId="0" fontId="96" fillId="4" borderId="22" xfId="0" applyFont="1" applyFill="1" applyBorder="1" applyAlignment="1">
      <alignment horizontal="center" vertical="center"/>
    </xf>
    <xf numFmtId="0" fontId="52" fillId="4" borderId="24"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80" fillId="4" borderId="21" xfId="0" applyFont="1" applyFill="1" applyBorder="1" applyAlignment="1">
      <alignment horizontal="right" vertical="center"/>
    </xf>
    <xf numFmtId="10" fontId="96" fillId="0" borderId="1" xfId="3" applyNumberFormat="1" applyFont="1" applyFill="1" applyBorder="1" applyAlignment="1" applyProtection="1">
      <alignment horizontal="center" vertical="center"/>
      <protection locked="0"/>
    </xf>
    <xf numFmtId="10" fontId="96" fillId="0" borderId="10" xfId="3" applyNumberFormat="1" applyFont="1" applyFill="1" applyBorder="1" applyAlignment="1" applyProtection="1">
      <alignment horizontal="center" vertical="center"/>
      <protection locked="0"/>
    </xf>
    <xf numFmtId="0" fontId="131" fillId="4" borderId="65" xfId="0" applyFont="1" applyFill="1" applyBorder="1" applyAlignment="1">
      <alignment horizontal="center" vertical="center"/>
    </xf>
    <xf numFmtId="0" fontId="131" fillId="4" borderId="79" xfId="0" applyFont="1" applyFill="1" applyBorder="1" applyAlignment="1">
      <alignment horizontal="center" vertical="center"/>
    </xf>
    <xf numFmtId="0" fontId="131"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0" fontId="133" fillId="0" borderId="18" xfId="0" applyFont="1" applyBorder="1" applyAlignment="1">
      <alignment horizontal="center" vertical="center"/>
    </xf>
    <xf numFmtId="178" fontId="40" fillId="0" borderId="0" xfId="0" applyNumberFormat="1" applyFont="1" applyAlignment="1">
      <alignment horizontal="center"/>
    </xf>
    <xf numFmtId="0" fontId="106" fillId="0" borderId="43" xfId="0" applyFont="1" applyBorder="1" applyAlignment="1">
      <alignment horizontal="center" wrapText="1"/>
    </xf>
    <xf numFmtId="0" fontId="106" fillId="0" borderId="23" xfId="0" applyFont="1" applyBorder="1" applyAlignment="1">
      <alignment horizontal="center" wrapText="1"/>
    </xf>
    <xf numFmtId="0" fontId="106" fillId="0" borderId="44" xfId="0" applyFont="1" applyBorder="1" applyAlignment="1">
      <alignment horizontal="center" wrapText="1"/>
    </xf>
    <xf numFmtId="0" fontId="106" fillId="0" borderId="43" xfId="0" applyFont="1" applyBorder="1" applyAlignment="1">
      <alignment horizontal="center" vertical="center"/>
    </xf>
    <xf numFmtId="0" fontId="106" fillId="0" borderId="23" xfId="0" applyFont="1" applyBorder="1" applyAlignment="1">
      <alignment horizontal="center" vertical="center"/>
    </xf>
    <xf numFmtId="0" fontId="54" fillId="0" borderId="0" xfId="2" applyNumberFormat="1" applyFill="1" applyAlignment="1" applyProtection="1">
      <alignment horizontal="center" wrapText="1"/>
    </xf>
    <xf numFmtId="0" fontId="54" fillId="0" borderId="23" xfId="2" applyNumberFormat="1" applyBorder="1" applyAlignment="1" applyProtection="1">
      <alignment horizontal="center" vertical="center" wrapText="1"/>
    </xf>
    <xf numFmtId="0" fontId="0" fillId="0" borderId="1" xfId="0" applyBorder="1" applyAlignment="1">
      <alignment horizontal="center"/>
    </xf>
    <xf numFmtId="0" fontId="0" fillId="0" borderId="10" xfId="0" applyBorder="1" applyAlignment="1">
      <alignment horizontal="center"/>
    </xf>
    <xf numFmtId="0" fontId="106" fillId="0" borderId="24" xfId="0" applyFont="1" applyBorder="1" applyAlignment="1">
      <alignment horizontal="center" wrapText="1"/>
    </xf>
    <xf numFmtId="0" fontId="106" fillId="0" borderId="21" xfId="0" applyFont="1" applyBorder="1" applyAlignment="1">
      <alignment horizontal="center" wrapText="1"/>
    </xf>
    <xf numFmtId="175" fontId="106" fillId="0" borderId="21" xfId="0" applyNumberFormat="1" applyFont="1" applyBorder="1" applyAlignment="1">
      <alignment horizontal="center" vertical="center" wrapText="1"/>
    </xf>
    <xf numFmtId="175" fontId="106" fillId="0" borderId="22" xfId="0" applyNumberFormat="1" applyFont="1" applyBorder="1" applyAlignment="1">
      <alignment horizontal="center" vertical="center" wrapText="1"/>
    </xf>
    <xf numFmtId="175" fontId="106" fillId="0" borderId="24" xfId="0" applyNumberFormat="1" applyFont="1" applyBorder="1" applyAlignment="1">
      <alignment horizontal="center" vertical="center" wrapText="1"/>
    </xf>
    <xf numFmtId="200" fontId="91" fillId="4" borderId="2" xfId="3" applyNumberFormat="1" applyFont="1" applyFill="1" applyBorder="1" applyAlignment="1" applyProtection="1">
      <alignment horizontal="center" vertical="center"/>
      <protection hidden="1"/>
    </xf>
    <xf numFmtId="200" fontId="91" fillId="4" borderId="3" xfId="3" applyNumberFormat="1" applyFont="1" applyFill="1" applyBorder="1" applyAlignment="1" applyProtection="1">
      <alignment horizontal="center" vertical="center"/>
      <protection hidden="1"/>
    </xf>
    <xf numFmtId="0" fontId="98" fillId="16" borderId="24" xfId="0" applyFont="1" applyFill="1" applyBorder="1" applyAlignment="1" applyProtection="1">
      <alignment horizontal="center" vertical="center"/>
      <protection hidden="1"/>
    </xf>
    <xf numFmtId="0" fontId="98" fillId="16" borderId="21" xfId="0" applyFont="1" applyFill="1" applyBorder="1" applyAlignment="1" applyProtection="1">
      <alignment horizontal="center" vertical="center"/>
      <protection hidden="1"/>
    </xf>
    <xf numFmtId="0" fontId="98" fillId="16" borderId="22" xfId="0" applyFont="1" applyFill="1" applyBorder="1" applyAlignment="1" applyProtection="1">
      <alignment horizontal="center" vertical="center"/>
      <protection hidden="1"/>
    </xf>
    <xf numFmtId="0" fontId="98" fillId="16" borderId="4" xfId="0" applyFont="1" applyFill="1" applyBorder="1" applyAlignment="1" applyProtection="1">
      <alignment horizontal="center" vertical="center"/>
      <protection hidden="1"/>
    </xf>
    <xf numFmtId="0" fontId="98" fillId="16" borderId="2" xfId="0" applyFont="1" applyFill="1" applyBorder="1" applyAlignment="1" applyProtection="1">
      <alignment horizontal="center" vertical="center"/>
      <protection hidden="1"/>
    </xf>
    <xf numFmtId="0" fontId="98" fillId="16" borderId="3" xfId="0" applyFont="1" applyFill="1" applyBorder="1" applyAlignment="1" applyProtection="1">
      <alignment horizontal="center" vertical="center"/>
      <protection hidden="1"/>
    </xf>
    <xf numFmtId="0" fontId="71" fillId="4" borderId="4" xfId="0" applyFont="1" applyFill="1" applyBorder="1" applyAlignment="1" applyProtection="1">
      <alignment horizontal="left" vertical="center"/>
      <protection hidden="1"/>
    </xf>
    <xf numFmtId="0" fontId="71" fillId="4" borderId="2" xfId="0" applyFont="1" applyFill="1" applyBorder="1" applyAlignment="1" applyProtection="1">
      <alignment horizontal="left" vertical="center"/>
      <protection hidden="1"/>
    </xf>
    <xf numFmtId="0" fontId="74" fillId="16" borderId="24" xfId="0" applyFont="1" applyFill="1" applyBorder="1" applyAlignment="1">
      <alignment horizontal="center" vertical="center"/>
    </xf>
    <xf numFmtId="0" fontId="74" fillId="16" borderId="21" xfId="0" applyFont="1" applyFill="1" applyBorder="1" applyAlignment="1">
      <alignment horizontal="center" vertical="center"/>
    </xf>
    <xf numFmtId="0" fontId="74" fillId="16" borderId="22" xfId="0" applyFont="1" applyFill="1" applyBorder="1" applyAlignment="1">
      <alignment horizontal="center" vertical="center"/>
    </xf>
    <xf numFmtId="0" fontId="74" fillId="16" borderId="4" xfId="0" applyFont="1" applyFill="1" applyBorder="1" applyAlignment="1">
      <alignment horizontal="center" vertical="center"/>
    </xf>
    <xf numFmtId="0" fontId="74" fillId="16" borderId="2" xfId="0" applyFont="1" applyFill="1" applyBorder="1" applyAlignment="1">
      <alignment horizontal="center" vertical="center"/>
    </xf>
    <xf numFmtId="0" fontId="74"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93" fillId="4" borderId="26" xfId="0" applyFont="1" applyFill="1" applyBorder="1" applyAlignment="1">
      <alignment horizontal="left" vertical="center"/>
    </xf>
    <xf numFmtId="0" fontId="93" fillId="4" borderId="41" xfId="0" applyFont="1" applyFill="1" applyBorder="1" applyAlignment="1">
      <alignment horizontal="left" vertical="center"/>
    </xf>
    <xf numFmtId="0" fontId="95" fillId="4" borderId="85" xfId="0" applyFont="1" applyFill="1" applyBorder="1" applyAlignment="1">
      <alignment horizontal="center" vertical="center"/>
    </xf>
    <xf numFmtId="0" fontId="95" fillId="4" borderId="81" xfId="0" applyFont="1" applyFill="1" applyBorder="1" applyAlignment="1">
      <alignment horizontal="center" vertical="center"/>
    </xf>
    <xf numFmtId="0" fontId="95" fillId="4" borderId="86" xfId="0" applyFont="1" applyFill="1" applyBorder="1" applyAlignment="1">
      <alignment horizontal="center" vertical="center"/>
    </xf>
    <xf numFmtId="0" fontId="98" fillId="16" borderId="43" xfId="0" applyFont="1" applyFill="1" applyBorder="1" applyAlignment="1">
      <alignment horizontal="center" vertical="center"/>
    </xf>
    <xf numFmtId="0" fontId="98" fillId="16" borderId="23" xfId="0" applyFont="1" applyFill="1" applyBorder="1" applyAlignment="1">
      <alignment horizontal="center" vertical="center"/>
    </xf>
    <xf numFmtId="0" fontId="98" fillId="16" borderId="44" xfId="0" applyFont="1" applyFill="1" applyBorder="1" applyAlignment="1">
      <alignment horizontal="center" vertical="center"/>
    </xf>
    <xf numFmtId="0" fontId="98" fillId="16" borderId="16" xfId="0" applyFont="1" applyFill="1" applyBorder="1" applyAlignment="1">
      <alignment horizontal="center" vertical="center"/>
    </xf>
    <xf numFmtId="0" fontId="98" fillId="16" borderId="18" xfId="0" applyFont="1" applyFill="1" applyBorder="1" applyAlignment="1">
      <alignment horizontal="center" vertical="center"/>
    </xf>
    <xf numFmtId="0" fontId="98"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0" fontId="0" fillId="4" borderId="5" xfId="0" applyFill="1" applyBorder="1" applyAlignment="1" applyProtection="1">
      <alignment horizontal="center" vertic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98" fillId="4" borderId="269" xfId="0" applyFont="1" applyFill="1" applyBorder="1" applyAlignment="1">
      <alignment horizontal="center" vertical="center" textRotation="90"/>
    </xf>
    <xf numFmtId="0" fontId="98" fillId="4" borderId="273" xfId="0" applyFont="1" applyFill="1" applyBorder="1" applyAlignment="1">
      <alignment horizontal="center" vertical="center" textRotation="90"/>
    </xf>
    <xf numFmtId="0" fontId="98" fillId="4" borderId="276" xfId="0" applyFont="1" applyFill="1" applyBorder="1" applyAlignment="1">
      <alignment horizontal="center" vertical="center" textRotation="90"/>
    </xf>
    <xf numFmtId="0" fontId="19" fillId="4" borderId="170" xfId="0" applyFont="1" applyFill="1" applyBorder="1" applyAlignment="1" applyProtection="1">
      <alignment horizontal="right" vertical="center"/>
      <protection hidden="1"/>
    </xf>
    <xf numFmtId="0" fontId="19" fillId="4" borderId="2" xfId="0" applyFont="1" applyFill="1" applyBorder="1" applyAlignment="1" applyProtection="1">
      <alignment horizontal="right" vertical="center"/>
      <protection hidden="1"/>
    </xf>
    <xf numFmtId="0" fontId="151" fillId="16" borderId="270" xfId="0" applyFont="1" applyFill="1" applyBorder="1" applyAlignment="1">
      <alignment horizontal="center" vertical="center" wrapText="1"/>
    </xf>
    <xf numFmtId="0" fontId="151" fillId="16" borderId="271" xfId="0" applyFont="1" applyFill="1" applyBorder="1" applyAlignment="1">
      <alignment horizontal="center" vertical="center" wrapText="1"/>
    </xf>
    <xf numFmtId="0" fontId="151" fillId="16" borderId="272" xfId="0" applyFont="1" applyFill="1" applyBorder="1" applyAlignment="1">
      <alignment horizontal="center" vertical="center" wrapText="1"/>
    </xf>
    <xf numFmtId="0" fontId="107" fillId="4" borderId="19" xfId="0" applyFont="1" applyFill="1" applyBorder="1" applyAlignment="1">
      <alignment horizontal="center" vertical="center" textRotation="90"/>
    </xf>
    <xf numFmtId="0" fontId="107" fillId="4" borderId="16" xfId="0" applyFont="1" applyFill="1" applyBorder="1" applyAlignment="1">
      <alignment horizontal="center" vertical="center" textRotation="90"/>
    </xf>
    <xf numFmtId="0" fontId="96" fillId="4" borderId="1" xfId="0" applyFont="1" applyFill="1" applyBorder="1" applyAlignment="1">
      <alignment horizontal="left" vertical="center"/>
    </xf>
    <xf numFmtId="0" fontId="96" fillId="4" borderId="10" xfId="0" applyFont="1" applyFill="1" applyBorder="1" applyAlignment="1">
      <alignment horizontal="left" vertical="center"/>
    </xf>
    <xf numFmtId="0" fontId="106" fillId="4" borderId="170" xfId="0" applyFont="1" applyFill="1" applyBorder="1" applyAlignment="1" applyProtection="1">
      <alignment horizontal="center" vertical="center"/>
      <protection hidden="1"/>
    </xf>
    <xf numFmtId="0" fontId="106" fillId="4" borderId="2" xfId="0" applyFont="1" applyFill="1" applyBorder="1" applyAlignment="1" applyProtection="1">
      <alignment horizontal="center" vertical="center"/>
      <protection hidden="1"/>
    </xf>
    <xf numFmtId="0" fontId="202" fillId="4" borderId="177" xfId="0" applyFont="1" applyFill="1" applyBorder="1" applyAlignment="1" applyProtection="1">
      <alignment horizontal="right" vertical="center"/>
      <protection hidden="1"/>
    </xf>
    <xf numFmtId="0" fontId="202" fillId="4" borderId="131" xfId="0" applyFont="1" applyFill="1" applyBorder="1" applyAlignment="1" applyProtection="1">
      <alignment horizontal="right" vertical="center"/>
      <protection hidden="1"/>
    </xf>
    <xf numFmtId="0" fontId="19" fillId="4" borderId="170" xfId="0" applyFont="1" applyFill="1" applyBorder="1" applyAlignment="1" applyProtection="1">
      <alignment horizontal="center" vertical="center" wrapText="1"/>
      <protection hidden="1"/>
    </xf>
    <xf numFmtId="0" fontId="19" fillId="4" borderId="2" xfId="0" applyFont="1" applyFill="1" applyBorder="1" applyAlignment="1" applyProtection="1">
      <alignment horizontal="center" vertical="center" wrapText="1"/>
      <protection hidden="1"/>
    </xf>
    <xf numFmtId="0" fontId="240" fillId="4" borderId="170" xfId="0" applyFont="1" applyFill="1" applyBorder="1" applyAlignment="1">
      <alignment horizontal="center" vertical="center"/>
    </xf>
    <xf numFmtId="0" fontId="240" fillId="4" borderId="2" xfId="0" applyFont="1" applyFill="1" applyBorder="1" applyAlignment="1">
      <alignment horizontal="center" vertical="center"/>
    </xf>
    <xf numFmtId="0" fontId="240" fillId="4" borderId="130" xfId="0" applyFont="1" applyFill="1" applyBorder="1" applyAlignment="1">
      <alignment horizontal="center" vertical="center"/>
    </xf>
    <xf numFmtId="0" fontId="202" fillId="4" borderId="170" xfId="0" applyFont="1" applyFill="1" applyBorder="1" applyAlignment="1" applyProtection="1">
      <alignment horizontal="right" vertical="center"/>
      <protection hidden="1"/>
    </xf>
    <xf numFmtId="0" fontId="202" fillId="4" borderId="2" xfId="0" applyFont="1" applyFill="1" applyBorder="1" applyAlignment="1" applyProtection="1">
      <alignment horizontal="right" vertical="center"/>
      <protection hidden="1"/>
    </xf>
    <xf numFmtId="0" fontId="175" fillId="16" borderId="155" xfId="0" applyFont="1" applyFill="1" applyBorder="1" applyAlignment="1">
      <alignment horizontal="center" vertical="center"/>
    </xf>
    <xf numFmtId="0" fontId="175" fillId="16" borderId="41" xfId="0" applyFont="1" applyFill="1" applyBorder="1" applyAlignment="1">
      <alignment horizontal="center" vertical="center"/>
    </xf>
    <xf numFmtId="0" fontId="175" fillId="16" borderId="145" xfId="0" applyFont="1" applyFill="1" applyBorder="1" applyAlignment="1">
      <alignment horizontal="center" vertical="center"/>
    </xf>
    <xf numFmtId="0" fontId="175" fillId="16" borderId="170" xfId="0" applyFont="1" applyFill="1" applyBorder="1" applyAlignment="1">
      <alignment horizontal="center" vertical="center"/>
    </xf>
    <xf numFmtId="0" fontId="175" fillId="16" borderId="2" xfId="0" applyFont="1" applyFill="1" applyBorder="1" applyAlignment="1">
      <alignment horizontal="center" vertical="center"/>
    </xf>
    <xf numFmtId="0" fontId="175" fillId="16" borderId="130" xfId="0" applyFont="1" applyFill="1" applyBorder="1" applyAlignment="1">
      <alignment horizontal="center" vertical="center"/>
    </xf>
    <xf numFmtId="14" fontId="54" fillId="4" borderId="19" xfId="2" applyNumberFormat="1" applyFill="1" applyBorder="1" applyAlignment="1" applyProtection="1">
      <alignment horizontal="center" vertical="center"/>
    </xf>
    <xf numFmtId="14" fontId="54" fillId="4" borderId="0" xfId="2" applyNumberFormat="1" applyFill="1" applyAlignment="1" applyProtection="1">
      <alignment horizontal="center" vertical="center"/>
    </xf>
    <xf numFmtId="14" fontId="54" fillId="4" borderId="15" xfId="2" applyNumberFormat="1" applyFill="1" applyBorder="1" applyAlignment="1" applyProtection="1">
      <alignment horizontal="center" vertical="center"/>
    </xf>
    <xf numFmtId="14" fontId="156" fillId="4" borderId="19" xfId="2" applyNumberFormat="1" applyFont="1" applyFill="1" applyBorder="1" applyAlignment="1" applyProtection="1">
      <alignment horizontal="center" vertical="center"/>
    </xf>
    <xf numFmtId="14" fontId="156" fillId="4" borderId="0" xfId="2" applyNumberFormat="1" applyFont="1" applyFill="1" applyBorder="1" applyAlignment="1" applyProtection="1">
      <alignment horizontal="center" vertical="center"/>
    </xf>
    <xf numFmtId="14" fontId="156" fillId="4" borderId="15" xfId="2" applyNumberFormat="1" applyFont="1" applyFill="1" applyBorder="1" applyAlignment="1" applyProtection="1">
      <alignment horizontal="center" vertical="center"/>
    </xf>
    <xf numFmtId="14" fontId="157" fillId="4" borderId="19" xfId="2" applyNumberFormat="1" applyFont="1" applyFill="1" applyBorder="1" applyAlignment="1" applyProtection="1">
      <alignment horizontal="center" vertical="center"/>
    </xf>
    <xf numFmtId="14" fontId="157" fillId="4" borderId="0" xfId="2" applyNumberFormat="1" applyFont="1" applyFill="1" applyBorder="1" applyAlignment="1" applyProtection="1">
      <alignment horizontal="center" vertical="center"/>
    </xf>
    <xf numFmtId="14" fontId="157" fillId="4" borderId="15" xfId="2" applyNumberFormat="1" applyFont="1" applyFill="1" applyBorder="1" applyAlignment="1" applyProtection="1">
      <alignment horizontal="center" vertical="center"/>
    </xf>
    <xf numFmtId="0" fontId="98" fillId="16" borderId="24" xfId="0" applyFont="1" applyFill="1" applyBorder="1" applyAlignment="1">
      <alignment horizontal="center" vertical="center"/>
    </xf>
    <xf numFmtId="0" fontId="98" fillId="16" borderId="21" xfId="0" applyFont="1" applyFill="1" applyBorder="1" applyAlignment="1">
      <alignment horizontal="center" vertical="center"/>
    </xf>
    <xf numFmtId="0" fontId="98" fillId="16" borderId="22"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56" fillId="4" borderId="19" xfId="2" applyNumberFormat="1" applyFont="1" applyFill="1" applyBorder="1" applyAlignment="1" applyProtection="1">
      <alignment horizontal="center" vertical="center"/>
    </xf>
    <xf numFmtId="0" fontId="156" fillId="4" borderId="0" xfId="2" applyNumberFormat="1" applyFont="1" applyFill="1" applyBorder="1" applyAlignment="1" applyProtection="1">
      <alignment horizontal="center" vertical="center"/>
    </xf>
    <xf numFmtId="0" fontId="156" fillId="4" borderId="15" xfId="2" applyNumberFormat="1" applyFont="1" applyFill="1" applyBorder="1" applyAlignment="1" applyProtection="1">
      <alignment horizontal="center" vertical="center"/>
    </xf>
    <xf numFmtId="0" fontId="54" fillId="4" borderId="19" xfId="2" applyNumberFormat="1" applyFill="1" applyBorder="1" applyAlignment="1" applyProtection="1">
      <alignment horizontal="left" vertical="center" textRotation="180" wrapText="1"/>
    </xf>
    <xf numFmtId="0" fontId="120" fillId="4" borderId="19" xfId="0" applyFont="1" applyFill="1" applyBorder="1" applyAlignment="1">
      <alignment horizontal="left" vertical="center" textRotation="180" wrapText="1"/>
    </xf>
    <xf numFmtId="14" fontId="158" fillId="4" borderId="16" xfId="2" applyNumberFormat="1" applyFont="1" applyFill="1" applyBorder="1" applyAlignment="1" applyProtection="1">
      <alignment horizontal="center" vertical="center"/>
    </xf>
    <xf numFmtId="14" fontId="158" fillId="4" borderId="18" xfId="2" applyNumberFormat="1" applyFont="1" applyFill="1" applyBorder="1" applyAlignment="1" applyProtection="1">
      <alignment horizontal="center" vertical="center"/>
    </xf>
    <xf numFmtId="14" fontId="158"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75" fillId="16" borderId="43" xfId="0" applyFont="1" applyFill="1" applyBorder="1" applyAlignment="1">
      <alignment horizontal="center" vertical="center"/>
    </xf>
    <xf numFmtId="0" fontId="175" fillId="16" borderId="23" xfId="0" applyFont="1" applyFill="1" applyBorder="1" applyAlignment="1">
      <alignment horizontal="center" vertical="center"/>
    </xf>
    <xf numFmtId="0" fontId="175" fillId="16" borderId="44" xfId="0" applyFont="1" applyFill="1" applyBorder="1" applyAlignment="1">
      <alignment horizontal="center" vertical="center"/>
    </xf>
    <xf numFmtId="14" fontId="156" fillId="4" borderId="19" xfId="2" applyNumberFormat="1" applyFont="1" applyFill="1" applyBorder="1" applyAlignment="1" applyProtection="1">
      <alignment horizontal="right" vertical="center"/>
    </xf>
    <xf numFmtId="14" fontId="156" fillId="4" borderId="0" xfId="2" applyNumberFormat="1" applyFont="1" applyFill="1" applyBorder="1" applyAlignment="1" applyProtection="1">
      <alignment horizontal="right" vertical="center"/>
    </xf>
    <xf numFmtId="14" fontId="156" fillId="4" borderId="15" xfId="2" applyNumberFormat="1" applyFont="1" applyFill="1" applyBorder="1" applyAlignment="1" applyProtection="1">
      <alignment horizontal="right" vertical="center"/>
    </xf>
    <xf numFmtId="0" fontId="101" fillId="4" borderId="68" xfId="0" applyFont="1" applyFill="1" applyBorder="1" applyAlignment="1">
      <alignment horizontal="center" vertical="center"/>
    </xf>
    <xf numFmtId="0" fontId="101" fillId="4" borderId="9" xfId="0" applyFont="1" applyFill="1" applyBorder="1" applyAlignment="1">
      <alignment horizontal="center" vertical="center"/>
    </xf>
    <xf numFmtId="0" fontId="101" fillId="4" borderId="77" xfId="0" applyFont="1" applyFill="1" applyBorder="1" applyAlignment="1">
      <alignment horizontal="center" vertical="center"/>
    </xf>
    <xf numFmtId="0" fontId="158" fillId="16" borderId="63" xfId="2" applyNumberFormat="1" applyFont="1" applyFill="1" applyBorder="1" applyAlignment="1" applyProtection="1">
      <alignment horizontal="center" vertical="center" wrapText="1"/>
    </xf>
    <xf numFmtId="0" fontId="158" fillId="16" borderId="64" xfId="2" applyNumberFormat="1" applyFont="1" applyFill="1" applyBorder="1" applyAlignment="1" applyProtection="1">
      <alignment horizontal="center" vertical="center" wrapText="1"/>
    </xf>
    <xf numFmtId="0" fontId="90" fillId="4" borderId="19" xfId="0" applyFont="1" applyFill="1" applyBorder="1" applyAlignment="1">
      <alignment horizontal="left" vertical="center"/>
    </xf>
    <xf numFmtId="0" fontId="90"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97" fillId="4" borderId="85" xfId="0" applyFont="1" applyFill="1" applyBorder="1" applyAlignment="1" applyProtection="1">
      <alignment horizontal="center" vertical="center" wrapText="1"/>
      <protection hidden="1"/>
    </xf>
    <xf numFmtId="0" fontId="97" fillId="4" borderId="81" xfId="0" applyFont="1" applyFill="1" applyBorder="1" applyAlignment="1" applyProtection="1">
      <alignment horizontal="center" vertical="center" wrapText="1"/>
      <protection hidden="1"/>
    </xf>
    <xf numFmtId="0" fontId="97" fillId="4" borderId="86" xfId="0" applyFont="1" applyFill="1" applyBorder="1" applyAlignment="1" applyProtection="1">
      <alignment horizontal="center" vertical="center" wrapText="1"/>
      <protection hidden="1"/>
    </xf>
    <xf numFmtId="165" fontId="71" fillId="4" borderId="4" xfId="0" applyNumberFormat="1" applyFont="1" applyFill="1" applyBorder="1" applyAlignment="1" applyProtection="1">
      <alignment horizontal="left" vertical="center" wrapText="1"/>
      <protection hidden="1"/>
    </xf>
    <xf numFmtId="165" fontId="71" fillId="4" borderId="2" xfId="0" applyNumberFormat="1" applyFont="1" applyFill="1" applyBorder="1" applyAlignment="1" applyProtection="1">
      <alignment horizontal="left" vertical="center" wrapText="1"/>
      <protection hidden="1"/>
    </xf>
    <xf numFmtId="165" fontId="71" fillId="4" borderId="5" xfId="0" applyNumberFormat="1" applyFont="1" applyFill="1" applyBorder="1" applyAlignment="1" applyProtection="1">
      <alignment horizontal="left" vertical="center" wrapText="1"/>
      <protection hidden="1"/>
    </xf>
    <xf numFmtId="165" fontId="71" fillId="4" borderId="6" xfId="0" applyNumberFormat="1" applyFont="1" applyFill="1" applyBorder="1" applyAlignment="1" applyProtection="1">
      <alignment horizontal="left" vertical="center" wrapText="1"/>
      <protection hidden="1"/>
    </xf>
    <xf numFmtId="186" fontId="71" fillId="4" borderId="3" xfId="0" applyNumberFormat="1" applyFont="1" applyFill="1" applyBorder="1" applyAlignment="1" applyProtection="1">
      <alignment horizontal="center" vertical="center"/>
      <protection hidden="1"/>
    </xf>
    <xf numFmtId="186" fontId="71" fillId="4" borderId="7" xfId="0" applyNumberFormat="1" applyFont="1" applyFill="1" applyBorder="1" applyAlignment="1" applyProtection="1">
      <alignment horizontal="center" vertical="center"/>
      <protection hidden="1"/>
    </xf>
    <xf numFmtId="0" fontId="97" fillId="4" borderId="4" xfId="0" applyFont="1" applyFill="1" applyBorder="1" applyAlignment="1" applyProtection="1">
      <alignment horizontal="right" vertical="center" wrapText="1"/>
      <protection hidden="1"/>
    </xf>
    <xf numFmtId="0" fontId="97" fillId="4" borderId="2" xfId="0" applyFont="1" applyFill="1" applyBorder="1" applyAlignment="1" applyProtection="1">
      <alignment horizontal="right" vertical="center" wrapText="1"/>
      <protection hidden="1"/>
    </xf>
    <xf numFmtId="6" fontId="91"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0" fontId="102" fillId="3" borderId="19" xfId="0" applyFont="1" applyFill="1" applyBorder="1" applyAlignment="1">
      <alignment horizontal="center" vertical="center" wrapText="1"/>
    </xf>
    <xf numFmtId="0" fontId="102" fillId="3" borderId="0" xfId="0" applyFont="1" applyFill="1" applyAlignment="1">
      <alignment horizontal="center" vertical="center" wrapText="1"/>
    </xf>
    <xf numFmtId="0" fontId="91" fillId="4" borderId="170" xfId="0" applyFont="1" applyFill="1" applyBorder="1" applyAlignment="1" applyProtection="1">
      <alignment horizontal="left" vertical="center" wrapText="1"/>
      <protection hidden="1"/>
    </xf>
    <xf numFmtId="0" fontId="91"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133" fillId="16" borderId="285" xfId="0" applyFont="1" applyFill="1" applyBorder="1" applyAlignment="1">
      <alignment horizontal="center" vertical="center" wrapText="1"/>
    </xf>
    <xf numFmtId="0" fontId="133" fillId="16" borderId="286" xfId="0" applyFont="1" applyFill="1" applyBorder="1" applyAlignment="1">
      <alignment horizontal="center" vertical="center" wrapText="1"/>
    </xf>
    <xf numFmtId="0" fontId="133" fillId="16" borderId="287" xfId="0" applyFont="1" applyFill="1" applyBorder="1" applyAlignment="1">
      <alignment horizontal="center" vertical="center" wrapText="1"/>
    </xf>
    <xf numFmtId="0" fontId="101" fillId="4" borderId="63" xfId="0" applyFont="1" applyFill="1" applyBorder="1" applyAlignment="1">
      <alignment horizontal="center" vertical="center"/>
    </xf>
    <xf numFmtId="0" fontId="101" fillId="4" borderId="78" xfId="0" applyFont="1" applyFill="1" applyBorder="1" applyAlignment="1">
      <alignment horizontal="center" vertical="center"/>
    </xf>
    <xf numFmtId="0" fontId="101" fillId="4" borderId="64" xfId="0" applyFont="1" applyFill="1" applyBorder="1" applyAlignment="1">
      <alignment horizontal="center" vertical="center"/>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39" fillId="4" borderId="0" xfId="2" applyNumberFormat="1" applyFont="1" applyFill="1" applyAlignment="1" applyProtection="1">
      <alignment horizontal="center"/>
    </xf>
    <xf numFmtId="14" fontId="139" fillId="4" borderId="19" xfId="2" applyNumberFormat="1" applyFont="1" applyFill="1" applyBorder="1" applyAlignment="1" applyProtection="1">
      <alignment horizontal="center" vertical="center"/>
    </xf>
    <xf numFmtId="14" fontId="139" fillId="4" borderId="0" xfId="2" applyNumberFormat="1" applyFont="1" applyFill="1" applyBorder="1" applyAlignment="1" applyProtection="1">
      <alignment horizontal="center" vertical="center"/>
    </xf>
    <xf numFmtId="14" fontId="139" fillId="4" borderId="15" xfId="2" applyNumberFormat="1" applyFont="1" applyFill="1" applyBorder="1" applyAlignment="1" applyProtection="1">
      <alignment horizontal="center" vertical="center"/>
    </xf>
    <xf numFmtId="0" fontId="101" fillId="16" borderId="24" xfId="0" applyFont="1" applyFill="1" applyBorder="1" applyAlignment="1">
      <alignment horizontal="center" vertical="center" wrapText="1"/>
    </xf>
    <xf numFmtId="0" fontId="101" fillId="16" borderId="21" xfId="0" applyFont="1" applyFill="1" applyBorder="1" applyAlignment="1">
      <alignment horizontal="center" vertical="center" wrapText="1"/>
    </xf>
    <xf numFmtId="0" fontId="101" fillId="16" borderId="22" xfId="0" applyFont="1" applyFill="1" applyBorder="1" applyAlignment="1">
      <alignment horizontal="center" vertical="center" wrapText="1"/>
    </xf>
    <xf numFmtId="0" fontId="101" fillId="16" borderId="4"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3" xfId="0" applyFont="1" applyFill="1" applyBorder="1" applyAlignment="1">
      <alignment horizontal="center" vertical="center" wrapText="1"/>
    </xf>
    <xf numFmtId="0" fontId="54" fillId="4" borderId="4" xfId="2" applyNumberFormat="1" applyFill="1" applyBorder="1" applyAlignment="1" applyProtection="1">
      <alignment horizontal="center" vertical="center"/>
    </xf>
    <xf numFmtId="0" fontId="54" fillId="4" borderId="2" xfId="2" applyNumberFormat="1" applyFill="1" applyBorder="1" applyAlignment="1" applyProtection="1">
      <alignment horizontal="center" vertical="center"/>
    </xf>
    <xf numFmtId="0" fontId="98" fillId="16" borderId="19" xfId="0" applyFont="1" applyFill="1" applyBorder="1" applyAlignment="1">
      <alignment horizontal="center" vertical="center" wrapText="1"/>
    </xf>
    <xf numFmtId="0" fontId="98" fillId="16" borderId="0" xfId="0" applyFont="1" applyFill="1" applyAlignment="1">
      <alignment horizontal="center" vertical="center" wrapText="1"/>
    </xf>
    <xf numFmtId="0" fontId="98"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98" fillId="16" borderId="4" xfId="0" applyFont="1" applyFill="1" applyBorder="1" applyAlignment="1">
      <alignment horizontal="center" vertical="center"/>
    </xf>
    <xf numFmtId="0" fontId="98" fillId="16" borderId="2" xfId="0" applyFont="1" applyFill="1" applyBorder="1" applyAlignment="1">
      <alignment horizontal="center" vertical="center"/>
    </xf>
    <xf numFmtId="0" fontId="98" fillId="16" borderId="3" xfId="0" applyFont="1" applyFill="1" applyBorder="1" applyAlignment="1">
      <alignment horizontal="center" vertical="center"/>
    </xf>
    <xf numFmtId="6" fontId="103"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281" fillId="31" borderId="9" xfId="0" applyFont="1" applyFill="1" applyBorder="1" applyAlignment="1">
      <alignment horizontal="center" vertical="center"/>
    </xf>
    <xf numFmtId="0" fontId="281" fillId="31"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13" fillId="9" borderId="10" xfId="0" applyFont="1" applyFill="1" applyBorder="1" applyAlignment="1" applyProtection="1">
      <alignment horizontal="center" vertical="center" wrapText="1"/>
      <protection hidden="1"/>
    </xf>
    <xf numFmtId="10" fontId="90" fillId="9" borderId="2" xfId="3" applyNumberFormat="1" applyFont="1" applyFill="1" applyBorder="1" applyAlignment="1">
      <alignment horizontal="center" vertical="center"/>
    </xf>
    <xf numFmtId="0" fontId="91" fillId="9" borderId="1" xfId="0" applyFont="1" applyFill="1" applyBorder="1" applyAlignment="1">
      <alignment horizontal="center" vertical="center"/>
    </xf>
    <xf numFmtId="10" fontId="90" fillId="9" borderId="1" xfId="3" applyNumberFormat="1" applyFont="1" applyFill="1" applyBorder="1" applyAlignment="1">
      <alignment horizontal="center" vertical="center"/>
    </xf>
    <xf numFmtId="0" fontId="91" fillId="9" borderId="164" xfId="0" applyFont="1" applyFill="1" applyBorder="1" applyAlignment="1" applyProtection="1">
      <alignment horizontal="right" vertical="center"/>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0" fontId="196" fillId="0" borderId="153" xfId="0" applyFont="1" applyBorder="1" applyAlignment="1">
      <alignment horizontal="center" vertical="center" textRotation="90"/>
    </xf>
    <xf numFmtId="0" fontId="103" fillId="9" borderId="164" xfId="0" applyFont="1" applyFill="1" applyBorder="1" applyAlignment="1" applyProtection="1">
      <alignment horizontal="right" vertical="center"/>
      <protection hidden="1"/>
    </xf>
    <xf numFmtId="0" fontId="103" fillId="9" borderId="9" xfId="0" applyFont="1" applyFill="1" applyBorder="1" applyAlignment="1" applyProtection="1">
      <alignment horizontal="right" vertical="center"/>
      <protection hidden="1"/>
    </xf>
    <xf numFmtId="0" fontId="103"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01" fillId="9" borderId="164" xfId="0" applyFont="1" applyFill="1" applyBorder="1" applyAlignment="1">
      <alignment horizontal="right" vertical="center"/>
    </xf>
    <xf numFmtId="0" fontId="101" fillId="9" borderId="9" xfId="0" applyFont="1" applyFill="1" applyBorder="1" applyAlignment="1">
      <alignment horizontal="right" vertical="center"/>
    </xf>
    <xf numFmtId="0" fontId="101" fillId="9" borderId="10" xfId="0" applyFont="1" applyFill="1" applyBorder="1" applyAlignment="1">
      <alignment horizontal="right" vertical="center"/>
    </xf>
    <xf numFmtId="0" fontId="91" fillId="9" borderId="9" xfId="0" applyFont="1" applyFill="1" applyBorder="1" applyAlignment="1" applyProtection="1">
      <alignment horizontal="right" vertical="center" wrapText="1"/>
      <protection hidden="1"/>
    </xf>
    <xf numFmtId="0" fontId="91" fillId="9" borderId="10" xfId="0" applyFont="1" applyFill="1" applyBorder="1" applyAlignment="1" applyProtection="1">
      <alignment horizontal="right" vertical="center" wrapText="1"/>
      <protection hidden="1"/>
    </xf>
    <xf numFmtId="0" fontId="279" fillId="9" borderId="164" xfId="0" applyFont="1" applyFill="1" applyBorder="1" applyAlignment="1" applyProtection="1">
      <alignment horizontal="right" vertical="center" wrapText="1"/>
      <protection hidden="1"/>
    </xf>
    <xf numFmtId="0" fontId="279" fillId="9" borderId="9" xfId="0" applyFont="1" applyFill="1" applyBorder="1" applyAlignment="1" applyProtection="1">
      <alignment horizontal="right" vertical="center" wrapText="1"/>
      <protection hidden="1"/>
    </xf>
    <xf numFmtId="0" fontId="279" fillId="9" borderId="10" xfId="0" applyFont="1" applyFill="1" applyBorder="1" applyAlignment="1" applyProtection="1">
      <alignment horizontal="right" vertical="center" wrapText="1"/>
      <protection hidden="1"/>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2" xfId="0" applyFill="1" applyBorder="1" applyAlignment="1">
      <alignment horizontal="center" vertical="center" textRotation="90"/>
    </xf>
    <xf numFmtId="0" fontId="0" fillId="4" borderId="2" xfId="0" applyFill="1" applyBorder="1" applyAlignment="1">
      <alignment horizontal="center"/>
    </xf>
    <xf numFmtId="0" fontId="0" fillId="4" borderId="2" xfId="0" applyFill="1" applyBorder="1" applyAlignment="1">
      <alignment horizontal="right"/>
    </xf>
    <xf numFmtId="0" fontId="0" fillId="4" borderId="12" xfId="0" applyFill="1" applyBorder="1" applyAlignment="1">
      <alignment horizontal="center"/>
    </xf>
    <xf numFmtId="0" fontId="0" fillId="4" borderId="41"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93" fillId="4" borderId="1" xfId="0" applyFont="1" applyFill="1" applyBorder="1" applyAlignment="1">
      <alignment horizontal="right"/>
    </xf>
    <xf numFmtId="0" fontId="93"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30" borderId="0" xfId="0" applyFill="1" applyAlignment="1">
      <alignment horizontal="center" vertical="center" wrapText="1"/>
    </xf>
    <xf numFmtId="0" fontId="70"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30"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70" fillId="18" borderId="24" xfId="0" applyFont="1" applyFill="1" applyBorder="1" applyAlignment="1">
      <alignment horizontal="center"/>
    </xf>
    <xf numFmtId="0" fontId="70" fillId="18" borderId="4" xfId="0" applyFont="1" applyFill="1" applyBorder="1" applyAlignment="1">
      <alignment horizontal="center"/>
    </xf>
    <xf numFmtId="0" fontId="0" fillId="30" borderId="21" xfId="0" applyFill="1" applyBorder="1" applyAlignment="1">
      <alignment horizontal="center" vertical="center" wrapText="1"/>
    </xf>
    <xf numFmtId="0" fontId="0" fillId="30"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30" borderId="83" xfId="0" applyFill="1" applyBorder="1" applyAlignment="1">
      <alignment horizontal="center" vertical="center" wrapText="1"/>
    </xf>
    <xf numFmtId="0" fontId="0" fillId="30" borderId="78" xfId="0" applyFill="1" applyBorder="1" applyAlignment="1">
      <alignment horizontal="center" vertical="center" wrapText="1"/>
    </xf>
    <xf numFmtId="0" fontId="0" fillId="30" borderId="64" xfId="0" applyFill="1" applyBorder="1" applyAlignment="1">
      <alignment horizontal="center" vertical="center" wrapText="1"/>
    </xf>
  </cellXfs>
  <cellStyles count="31">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2">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92D050"/>
        </patternFill>
      </fill>
    </dxf>
    <dxf>
      <font>
        <b/>
        <i val="0"/>
        <color theme="0"/>
      </font>
      <fill>
        <patternFill>
          <bgColor rgb="FFFF0000"/>
        </patternFill>
      </fill>
    </dxf>
    <dxf>
      <font>
        <color auto="1"/>
      </font>
      <fill>
        <patternFill>
          <bgColor rgb="FF92D050"/>
        </patternFill>
      </fill>
    </dxf>
    <dxf>
      <fill>
        <patternFill>
          <bgColor theme="0" tint="-0.14996795556505021"/>
        </patternFill>
      </fill>
    </dxf>
    <dxf>
      <font>
        <color theme="0"/>
      </font>
      <fill>
        <patternFill>
          <bgColor rgb="FFFF0000"/>
        </patternFill>
      </fill>
    </dxf>
    <dxf>
      <fill>
        <patternFill>
          <bgColor rgb="FFFF0000"/>
        </patternFill>
      </fill>
    </dxf>
    <dxf>
      <fill>
        <patternFill>
          <bgColor rgb="FF92D050"/>
        </patternFill>
      </fill>
    </dxf>
    <dxf>
      <fill>
        <patternFill>
          <bgColor theme="0" tint="-0.14996795556505021"/>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ont>
        <color theme="0" tint="-0.499984740745262"/>
      </font>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92D050"/>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FF0000"/>
        </patternFill>
      </fill>
    </dxf>
    <dxf>
      <fill>
        <patternFill>
          <bgColor rgb="FF92D050"/>
        </patternFill>
      </fill>
    </dxf>
    <dxf>
      <fill>
        <patternFill>
          <bgColor theme="0" tint="-0.14996795556505021"/>
        </patternFill>
      </fill>
    </dxf>
    <dxf>
      <fill>
        <patternFill>
          <bgColor rgb="FF92D050"/>
        </patternFill>
      </fill>
    </dxf>
    <dxf>
      <fill>
        <patternFill>
          <bgColor theme="0" tint="-0.1499679555650502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theme="4" tint="0.59996337778862885"/>
        </patternFill>
      </fill>
    </dxf>
    <dxf>
      <fill>
        <patternFill>
          <bgColor rgb="FFFFFF00"/>
        </patternFill>
      </fill>
    </dxf>
    <dxf>
      <font>
        <color theme="1"/>
      </font>
      <fill>
        <patternFill>
          <bgColor theme="4" tint="0.59996337778862885"/>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FFFF00"/>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theme="8"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font>
        <color theme="0" tint="-0.14996795556505021"/>
      </font>
    </dxf>
    <dxf>
      <border>
        <bottom style="thin">
          <color auto="1"/>
        </bottom>
        <vertical/>
        <horizontal/>
      </border>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ill>
        <patternFill>
          <bgColor rgb="FFFFC000"/>
        </patternFill>
      </fill>
    </dxf>
    <dxf>
      <font>
        <color theme="0" tint="-0.14996795556505021"/>
      </font>
      <fill>
        <patternFill>
          <bgColor theme="0" tint="-0.14996795556505021"/>
        </patternFill>
      </fill>
    </dxf>
    <dxf>
      <font>
        <color auto="1"/>
      </font>
      <fill>
        <patternFill>
          <bgColor rgb="FF92D050"/>
        </patternFill>
      </fill>
    </dxf>
    <dxf>
      <font>
        <color theme="0"/>
      </font>
      <fill>
        <patternFill>
          <bgColor rgb="FFFF0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ont>
        <b/>
        <i/>
        <color rgb="FFFF0000"/>
      </font>
    </dxf>
    <dxf>
      <font>
        <b val="0"/>
        <i/>
        <color theme="0"/>
      </font>
      <fill>
        <patternFill>
          <bgColor rgb="FFFF0000"/>
        </patternFill>
      </fill>
    </dxf>
    <dxf>
      <font>
        <b val="0"/>
        <i/>
      </font>
    </dxf>
    <dxf>
      <fill>
        <patternFill>
          <bgColor rgb="FFFF0000"/>
        </patternFill>
      </fill>
    </dxf>
    <dxf>
      <fill>
        <patternFill>
          <bgColor rgb="FFFF0000"/>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FF00"/>
        </patternFill>
      </fill>
    </dxf>
    <dxf>
      <fill>
        <patternFill>
          <bgColor rgb="FFFFC000"/>
        </patternFill>
      </fill>
    </dxf>
    <dxf>
      <font>
        <b/>
        <i/>
        <color rgb="FFFF0000"/>
      </font>
    </dxf>
    <dxf>
      <font>
        <b val="0"/>
        <i/>
        <color theme="0"/>
      </font>
      <fill>
        <patternFill>
          <bgColor rgb="FFFF0000"/>
        </patternFill>
      </fill>
    </dxf>
    <dxf>
      <font>
        <b val="0"/>
        <i/>
      </font>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C000"/>
        </patternFill>
      </fill>
    </dxf>
    <dxf>
      <fill>
        <patternFill>
          <bgColor theme="9" tint="0.59996337778862885"/>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FF00"/>
        </patternFill>
      </fill>
    </dxf>
    <dxf>
      <fill>
        <patternFill>
          <bgColor theme="9" tint="0.59996337778862885"/>
        </patternFill>
      </fill>
    </dxf>
    <dxf>
      <font>
        <color theme="0" tint="-0.14996795556505021"/>
      </font>
      <fill>
        <patternFill>
          <bgColor theme="0" tint="-0.14996795556505021"/>
        </patternFill>
      </fill>
      <border>
        <left/>
        <right/>
        <top/>
        <bottom/>
      </border>
    </dxf>
    <dxf>
      <fill>
        <patternFill>
          <bgColor rgb="FFFFFF00"/>
        </patternFill>
      </fill>
    </dxf>
    <dxf>
      <fill>
        <patternFill>
          <bgColor theme="9" tint="0.59996337778862885"/>
        </patternFill>
      </fill>
    </dxf>
    <dxf>
      <fill>
        <patternFill>
          <bgColor rgb="FFFFC000"/>
        </patternFill>
      </fill>
    </dxf>
    <dxf>
      <fill>
        <patternFill>
          <bgColor theme="7" tint="0.59996337778862885"/>
        </patternFill>
      </fill>
    </dxf>
    <dxf>
      <fill>
        <patternFill>
          <bgColor theme="7"/>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0066FF"/>
      <color rgb="FFFDDFE0"/>
      <color rgb="FFFF0000"/>
      <color rgb="FFFAB8BA"/>
      <color rgb="FFF9A5A7"/>
      <color rgb="FFF8CBAD"/>
      <color rgb="FFDD9575"/>
      <color rgb="FFFF3300"/>
      <color rgb="FFF48C84"/>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63" Type="http://schemas.openxmlformats.org/officeDocument/2006/relationships/sharedStrings" Target="sharedStrings.xml"/><Relationship Id="rId68"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heetMetadata" Target="metadata.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XY-AG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dLbls>
          <c:showLegendKey val="0"/>
          <c:showVal val="0"/>
          <c:showCatName val="0"/>
          <c:showSerName val="0"/>
          <c:showPercent val="0"/>
          <c:showBubbleSize val="0"/>
        </c:dLbls>
        <c:marker val="1"/>
        <c:smooth val="0"/>
        <c:axId val="642996520"/>
        <c:axId val="643002792"/>
        <c:extLst>
          <c:ext xmlns:c15="http://schemas.microsoft.com/office/drawing/2012/chart" uri="{02D57815-91ED-43cb-92C2-25804820EDAC}">
            <c15:filteredLineSeries>
              <c15:ser>
                <c:idx val="2"/>
                <c:order val="2"/>
                <c:tx>
                  <c:strRef>
                    <c:extLst>
                      <c:ext uri="{02D57815-91ED-43cb-92C2-25804820EDAC}">
                        <c15:formulaRef>
                          <c15:sqref>'BVerfG 1 BvL 5-18'!$AG$10</c15:sqref>
                        </c15:formulaRef>
                      </c:ext>
                    </c:extLst>
                    <c:strCache>
                      <c:ptCount val="1"/>
                      <c:pt idx="0">
                        <c:v>VersAusglK </c:v>
                      </c:pt>
                    </c:strCache>
                  </c:strRef>
                </c:tx>
                <c:spPr>
                  <a:ln w="38100" cap="rnd">
                    <a:solidFill>
                      <a:schemeClr val="bg1">
                        <a:lumMod val="50000"/>
                      </a:schemeClr>
                    </a:solidFill>
                    <a:round/>
                  </a:ln>
                  <a:effectLst/>
                </c:spPr>
                <c:marker>
                  <c:symbol val="none"/>
                </c:marker>
                <c:cat>
                  <c:strRef>
                    <c:extLst>
                      <c:ext uri="{02D57815-91ED-43cb-92C2-25804820EDAC}">
                        <c15:formulaRef>
                          <c15:sqref>'Berechnungen BVerfG'!$B$18:$B$68</c15:sqref>
                        </c15:formulaRef>
                      </c:ext>
                    </c:extLst>
                    <c:strCache>
                      <c:ptCount val="1"/>
                      <c:pt idx="0">
                        <c:v>0</c:v>
                      </c:pt>
                    </c:strCache>
                  </c:strRef>
                </c:cat>
                <c:val>
                  <c:numRef>
                    <c:extLst>
                      <c:ext uri="{02D57815-91ED-43cb-92C2-25804820EDAC}">
                        <c15:formulaRef>
                          <c15:sqref>'Berechnungen BVerfG'!$E$18:$E$68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43CC-4CB2-A88D-F39EA4993B2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'BVerfG 1 BvL 5-18'!$AH$10</c15:sqref>
                        </c15:formulaRef>
                      </c:ext>
                    </c:extLst>
                    <c:strCache>
                      <c:ptCount val="1"/>
                      <c:pt idx="0">
                        <c:v>Sonstige </c:v>
                      </c:pt>
                    </c:strCache>
                  </c:strRef>
                </c:tx>
                <c:spPr>
                  <a:ln w="38100"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'Berechnungen BVerfG'!$B$18:$B$68</c15:sqref>
                        </c15:formulaRef>
                      </c:ext>
                    </c:extLst>
                    <c:strCache>
                      <c:ptCount val="1"/>
                      <c:pt idx="0">
                        <c:v>0</c:v>
                      </c:pt>
                    </c:strCache>
                  </c:strRef>
                </c:cat>
                <c:val>
                  <c:numRef>
                    <c:extLst xmlns:c15="http://schemas.microsoft.com/office/drawing/2012/chart">
                      <c:ext xmlns:c15="http://schemas.microsoft.com/office/drawing/2012/chart" uri="{02D57815-91ED-43cb-92C2-25804820EDAC}">
                        <c15:formulaRef>
                          <c15:sqref>'Berechnungen BVerfG'!$F$18:$F$68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xmlns:c15="http://schemas.microsoft.com/office/drawing/2012/chart">
                  <c:ext xmlns:c16="http://schemas.microsoft.com/office/drawing/2014/chart" uri="{C3380CC4-5D6E-409C-BE32-E72D297353CC}">
                    <c16:uniqueId val="{00000003-43CC-4CB2-A88D-F39EA4993B2A}"/>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'BVerfG 1 BvL 5-18'!$AI$10</c15:sqref>
                        </c15:formulaRef>
                      </c:ext>
                    </c:extLst>
                    <c:strCache>
                      <c:ptCount val="1"/>
                      <c:pt idx="0">
                        <c:v>∑ Versorg. </c:v>
                      </c:pt>
                    </c:strCache>
                  </c:strRef>
                </c:tx>
                <c:spPr>
                  <a:ln w="41275" cap="rnd">
                    <a:solidFill>
                      <a:schemeClr val="accent6"/>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8A3A-44BF-9A69-BBC462BE28E4}"/>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'BVerfG 1 BvL 5-18'!$AJ$10</c15:sqref>
                        </c15:formulaRef>
                      </c:ext>
                    </c:extLst>
                    <c:strCache>
                      <c:ptCount val="1"/>
                      <c:pt idx="0">
                        <c:v>DRV-Ber.</c:v>
                      </c:pt>
                    </c:strCache>
                  </c:strRef>
                </c:tx>
                <c:spPr>
                  <a:ln w="44450" cap="rnd">
                    <a:solidFill>
                      <a:srgbClr val="C0000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'Berechnungen BVerfG'!$N$18:$N$93</c15:sqref>
                        </c15:formulaRef>
                      </c:ext>
                    </c:extLst>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xmlns:c15="http://schemas.microsoft.com/office/drawing/2012/chart">
                  <c:ext xmlns:c16="http://schemas.microsoft.com/office/drawing/2014/chart" uri="{C3380CC4-5D6E-409C-BE32-E72D297353CC}">
                    <c16:uniqueId val="{00000000-F6FD-405D-9A46-9584F1294251}"/>
                  </c:ext>
                </c:extLst>
              </c15:ser>
            </c15:filteredLineSeries>
          </c:ext>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0675355811996"/>
          <c:y val="0.229197440187388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Bilanz_BilMoG10" lockText="1" noThreeD="1"/>
</file>

<file path=xl/ctrlProps/ctrlProp10.xml><?xml version="1.0" encoding="utf-8"?>
<formControlPr xmlns="http://schemas.microsoft.com/office/spreadsheetml/2009/9/main" objectType="CheckBox" checked="Checked" fmlaLink="Dat_DRV_ReSumme" lockText="1" noThreeD="1"/>
</file>

<file path=xl/ctrlProps/ctrlProp11.xml><?xml version="1.0" encoding="utf-8"?>
<formControlPr xmlns="http://schemas.microsoft.com/office/spreadsheetml/2009/9/main" objectType="CheckBox" checked="Checked" fmlaLink="E_Invalidität" lockText="1" noThreeD="1"/>
</file>

<file path=xl/ctrlProps/ctrlProp12.xml><?xml version="1.0" encoding="utf-8"?>
<formControlPr xmlns="http://schemas.microsoft.com/office/spreadsheetml/2009/9/main" objectType="CheckBox" checked="Checked" fmlaLink="E_Hinterbliebene" lockText="1" noThreeD="1"/>
</file>

<file path=xl/ctrlProps/ctrlProp13.xml><?xml version="1.0" encoding="utf-8"?>
<formControlPr xmlns="http://schemas.microsoft.com/office/spreadsheetml/2009/9/main" objectType="Radio" checked="Checked" firstButton="1" fmlaLink="E_sex"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checked="Checked" lockText="1" noThreeD="1"/>
</file>

<file path=xl/ctrlProps/ctrlProp22.xml><?xml version="1.0" encoding="utf-8"?>
<formControlPr xmlns="http://schemas.microsoft.com/office/spreadsheetml/2009/9/main" objectType="CheckBox" checked="Checked"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CheckBox" fmlaLink="E_Volldynamik" lockText="1" noThreeD="1"/>
</file>

<file path=xl/ctrlProps/ctrlProp26.xml><?xml version="1.0" encoding="utf-8"?>
<formControlPr xmlns="http://schemas.microsoft.com/office/spreadsheetml/2009/9/main" objectType="Drop" dropStyle="combo" dx="22" fmlaLink="$AE$4" fmlaRange="$AE$1:$AE$3" noThreeD="1" sel="2"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34" sel="1" val="234"/>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checked="Checked" firstButton="1" fmlaLink="BerechnetAuf"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fmlaLink="SonstPfl"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fmlaLink="VersAusglKPfl" lockText="1" noThreeD="1"/>
</file>

<file path=xl/ctrlProps/ctrlProp52.xml><?xml version="1.0" encoding="utf-8"?>
<formControlPr xmlns="http://schemas.microsoft.com/office/spreadsheetml/2009/9/main" objectType="Drop" dropLines="25" dropStyle="combo" dx="22" fmlaLink="$K$2" fmlaRange="'TO Ziff.5'!$A$5:$A$355" sel="1"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AbändBilMoG_Wahl" lockText="1" noThreeD="1"/>
</file>

<file path=xl/ctrlProps/ctrlProp81.xml><?xml version="1.0" encoding="utf-8"?>
<formControlPr xmlns="http://schemas.microsoft.com/office/spreadsheetml/2009/9/main" objectType="CheckBox" fmlaLink="S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checked="Checked"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5" Type="http://schemas.openxmlformats.org/officeDocument/2006/relationships/image" Target="../media/image9.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10" Type="http://schemas.openxmlformats.org/officeDocument/2006/relationships/hyperlink" Target="https://www.bmas.de/SharedDocs/Downloads/DE/Gesetze/Regierungsentwuerfe/reg-sozialversicherungsrechengroessen-verordnung-2024.pdf?__blob=publicationFile&amp;v=2"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5.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8.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10.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23.svg"/><Relationship Id="rId5" Type="http://schemas.openxmlformats.org/officeDocument/2006/relationships/image" Target="../media/image22.png"/><Relationship Id="rId4" Type="http://schemas.openxmlformats.org/officeDocument/2006/relationships/image" Target="../media/image21.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5.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alms.allianz.de/anonym/pages/start.xhtml?esales=VAUKAS"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https://www.gesetze-im-internet.de/sgb_6/__187.html" TargetMode="External"/><Relationship Id="rId12"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http://versorgungsausgleich-karlsruhe.de/" TargetMode="External"/><Relationship Id="rId6" Type="http://schemas.openxmlformats.org/officeDocument/2006/relationships/hyperlink" Target="https://juris.bundesgerichtshof.de/cgi-bin/rechtsprechung/document.py?Gericht=bgh&amp;Art=en&amp;sid=f28bdc1b110fe1b388bfb41ec9f0ab37&amp;nr=117991&amp;pos=0&amp;anz=1" TargetMode="External"/><Relationship Id="rId11" Type="http://schemas.openxmlformats.org/officeDocument/2006/relationships/hyperlink" Target="https://www.anwaelte-du.de/media/files/einzel-bewertung-programmerlaeuterung.pdf" TargetMode="External"/><Relationship Id="rId5" Type="http://schemas.openxmlformats.org/officeDocument/2006/relationships/hyperlink" Target="https://www.kaffeerundeva.de/download-/#Download-Kapitalwertkontrolle-2025" TargetMode="External"/><Relationship Id="rId10" Type="http://schemas.openxmlformats.org/officeDocument/2006/relationships/hyperlink" Target="mailto:Hauss@anwaelte-DU.de?subject=Kapitalwertkontrolle%20-%20Rentenbewertung" TargetMode="External"/><Relationship Id="rId4" Type="http://schemas.openxmlformats.org/officeDocument/2006/relationships/image" Target="../media/image7.png"/><Relationship Id="rId9" Type="http://schemas.openxmlformats.org/officeDocument/2006/relationships/hyperlink" Target="https://www.anwaelte-du.de/" TargetMode="External"/></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28575</xdr:colOff>
          <xdr:row>4</xdr:row>
          <xdr:rowOff>38100</xdr:rowOff>
        </xdr:from>
        <xdr:to>
          <xdr:col>3</xdr:col>
          <xdr:colOff>1590675</xdr:colOff>
          <xdr:row>4</xdr:row>
          <xdr:rowOff>333375</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xdr:row>
          <xdr:rowOff>28575</xdr:rowOff>
        </xdr:from>
        <xdr:to>
          <xdr:col>3</xdr:col>
          <xdr:colOff>600075</xdr:colOff>
          <xdr:row>7</xdr:row>
          <xdr:rowOff>180975</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1323975</xdr:colOff>
          <xdr:row>7</xdr:row>
          <xdr:rowOff>28575</xdr:rowOff>
        </xdr:from>
        <xdr:to>
          <xdr:col>3</xdr:col>
          <xdr:colOff>1857375</xdr:colOff>
          <xdr:row>7</xdr:row>
          <xdr:rowOff>180975</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676275</xdr:colOff>
          <xdr:row>7</xdr:row>
          <xdr:rowOff>28575</xdr:rowOff>
        </xdr:from>
        <xdr:to>
          <xdr:col>3</xdr:col>
          <xdr:colOff>1219200</xdr:colOff>
          <xdr:row>7</xdr:row>
          <xdr:rowOff>180975</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28575</xdr:rowOff>
        </xdr:from>
        <xdr:to>
          <xdr:col>6</xdr:col>
          <xdr:colOff>866775</xdr:colOff>
          <xdr:row>32</xdr:row>
          <xdr:rowOff>219075</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23</xdr:row>
          <xdr:rowOff>28575</xdr:rowOff>
        </xdr:from>
        <xdr:to>
          <xdr:col>6</xdr:col>
          <xdr:colOff>1028700</xdr:colOff>
          <xdr:row>25</xdr:row>
          <xdr:rowOff>219075</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790575</xdr:colOff>
          <xdr:row>24</xdr:row>
          <xdr:rowOff>28575</xdr:rowOff>
        </xdr:from>
        <xdr:to>
          <xdr:col>5</xdr:col>
          <xdr:colOff>180975</xdr:colOff>
          <xdr:row>24</xdr:row>
          <xdr:rowOff>219075</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28575</xdr:rowOff>
        </xdr:from>
        <xdr:to>
          <xdr:col>2</xdr:col>
          <xdr:colOff>333375</xdr:colOff>
          <xdr:row>16</xdr:row>
          <xdr:rowOff>28575</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28575</xdr:rowOff>
        </xdr:from>
        <xdr:to>
          <xdr:col>2</xdr:col>
          <xdr:colOff>333375</xdr:colOff>
          <xdr:row>17</xdr:row>
          <xdr:rowOff>28575</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28575</xdr:rowOff>
        </xdr:from>
        <xdr:to>
          <xdr:col>2</xdr:col>
          <xdr:colOff>333375</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333375</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28575</xdr:colOff>
          <xdr:row>15</xdr:row>
          <xdr:rowOff>28575</xdr:rowOff>
        </xdr:from>
        <xdr:to>
          <xdr:col>5</xdr:col>
          <xdr:colOff>295275</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xdr:row>
          <xdr:rowOff>28575</xdr:rowOff>
        </xdr:from>
        <xdr:to>
          <xdr:col>5</xdr:col>
          <xdr:colOff>295275</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17</xdr:row>
          <xdr:rowOff>28575</xdr:rowOff>
        </xdr:from>
        <xdr:to>
          <xdr:col>5</xdr:col>
          <xdr:colOff>295275</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18</xdr:row>
          <xdr:rowOff>28575</xdr:rowOff>
        </xdr:from>
        <xdr:to>
          <xdr:col>5</xdr:col>
          <xdr:colOff>295275</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22</xdr:row>
          <xdr:rowOff>28575</xdr:rowOff>
        </xdr:from>
        <xdr:to>
          <xdr:col>2</xdr:col>
          <xdr:colOff>1362075</xdr:colOff>
          <xdr:row>22</xdr:row>
          <xdr:rowOff>219075</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27432" tIns="22860" rIns="0" bIns="22860"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8</xdr:row>
          <xdr:rowOff>28575</xdr:rowOff>
        </xdr:from>
        <xdr:to>
          <xdr:col>2</xdr:col>
          <xdr:colOff>257175</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660797</xdr:colOff>
      <xdr:row>7</xdr:row>
      <xdr:rowOff>17859</xdr:rowOff>
    </xdr:from>
    <xdr:to>
      <xdr:col>7</xdr:col>
      <xdr:colOff>946546</xdr:colOff>
      <xdr:row>7</xdr:row>
      <xdr:rowOff>208359</xdr:rowOff>
    </xdr:to>
    <xdr:sp macro="" textlink="">
      <xdr:nvSpPr>
        <xdr:cNvPr id="2" name="Rechteck 1">
          <a:hlinkClick xmlns:r="http://schemas.openxmlformats.org/officeDocument/2006/relationships" r:id="rId10"/>
          <a:extLst>
            <a:ext uri="{FF2B5EF4-FFF2-40B4-BE49-F238E27FC236}">
              <a16:creationId xmlns:a16="http://schemas.microsoft.com/office/drawing/2014/main" id="{00000000-0008-0000-1A00-000002000000}"/>
            </a:ext>
          </a:extLst>
        </xdr:cNvPr>
        <xdr:cNvSpPr/>
      </xdr:nvSpPr>
      <xdr:spPr>
        <a:xfrm>
          <a:off x="2411016" y="1779984"/>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664369</xdr:colOff>
      <xdr:row>8</xdr:row>
      <xdr:rowOff>9524</xdr:rowOff>
    </xdr:from>
    <xdr:to>
      <xdr:col>7</xdr:col>
      <xdr:colOff>950118</xdr:colOff>
      <xdr:row>8</xdr:row>
      <xdr:rowOff>200024</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00000000-0008-0000-1A00-00001A000000}"/>
            </a:ext>
          </a:extLst>
        </xdr:cNvPr>
        <xdr:cNvSpPr/>
      </xdr:nvSpPr>
      <xdr:spPr>
        <a:xfrm>
          <a:off x="2414588" y="1997868"/>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180975</xdr:colOff>
          <xdr:row>23</xdr:row>
          <xdr:rowOff>257175</xdr:rowOff>
        </xdr:from>
        <xdr:to>
          <xdr:col>2</xdr:col>
          <xdr:colOff>333375</xdr:colOff>
          <xdr:row>23</xdr:row>
          <xdr:rowOff>409575</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23</xdr:row>
          <xdr:rowOff>419100</xdr:rowOff>
        </xdr:from>
        <xdr:to>
          <xdr:col>2</xdr:col>
          <xdr:colOff>371475</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2924175</xdr:colOff>
          <xdr:row>14</xdr:row>
          <xdr:rowOff>180975</xdr:rowOff>
        </xdr:from>
        <xdr:to>
          <xdr:col>2</xdr:col>
          <xdr:colOff>3609975</xdr:colOff>
          <xdr:row>16</xdr:row>
          <xdr:rowOff>28575</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D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2924175</xdr:colOff>
          <xdr:row>13</xdr:row>
          <xdr:rowOff>180975</xdr:rowOff>
        </xdr:from>
        <xdr:to>
          <xdr:col>2</xdr:col>
          <xdr:colOff>3609975</xdr:colOff>
          <xdr:row>15</xdr:row>
          <xdr:rowOff>28575</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D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12</xdr:row>
          <xdr:rowOff>180975</xdr:rowOff>
        </xdr:from>
        <xdr:to>
          <xdr:col>9</xdr:col>
          <xdr:colOff>371475</xdr:colOff>
          <xdr:row>14</xdr:row>
          <xdr:rowOff>28575</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D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409575</xdr:colOff>
          <xdr:row>12</xdr:row>
          <xdr:rowOff>180975</xdr:rowOff>
        </xdr:from>
        <xdr:to>
          <xdr:col>9</xdr:col>
          <xdr:colOff>800100</xdr:colOff>
          <xdr:row>14</xdr:row>
          <xdr:rowOff>28575</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D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3648075</xdr:colOff>
          <xdr:row>4</xdr:row>
          <xdr:rowOff>180975</xdr:rowOff>
        </xdr:from>
        <xdr:to>
          <xdr:col>4</xdr:col>
          <xdr:colOff>28575</xdr:colOff>
          <xdr:row>6</xdr:row>
          <xdr:rowOff>28575</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F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xdr:row>
          <xdr:rowOff>190500</xdr:rowOff>
        </xdr:from>
        <xdr:to>
          <xdr:col>4</xdr:col>
          <xdr:colOff>904875</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F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19</xdr:row>
          <xdr:rowOff>190500</xdr:rowOff>
        </xdr:from>
        <xdr:to>
          <xdr:col>6</xdr:col>
          <xdr:colOff>904875</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F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180975</xdr:colOff>
          <xdr:row>7</xdr:row>
          <xdr:rowOff>180975</xdr:rowOff>
        </xdr:from>
        <xdr:to>
          <xdr:col>10</xdr:col>
          <xdr:colOff>219075</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F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561975</xdr:colOff>
          <xdr:row>4</xdr:row>
          <xdr:rowOff>28575</xdr:rowOff>
        </xdr:from>
        <xdr:to>
          <xdr:col>12</xdr:col>
          <xdr:colOff>561975</xdr:colOff>
          <xdr:row>4</xdr:row>
          <xdr:rowOff>180975</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2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104775</xdr:colOff>
          <xdr:row>2</xdr:row>
          <xdr:rowOff>142875</xdr:rowOff>
        </xdr:from>
        <xdr:to>
          <xdr:col>13</xdr:col>
          <xdr:colOff>66675</xdr:colOff>
          <xdr:row>3</xdr:row>
          <xdr:rowOff>142875</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2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13</xdr:row>
          <xdr:rowOff>0</xdr:rowOff>
        </xdr:from>
        <xdr:to>
          <xdr:col>2</xdr:col>
          <xdr:colOff>523875</xdr:colOff>
          <xdr:row>13</xdr:row>
          <xdr:rowOff>180975</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2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28575</xdr:colOff>
          <xdr:row>25</xdr:row>
          <xdr:rowOff>152400</xdr:rowOff>
        </xdr:from>
        <xdr:to>
          <xdr:col>8</xdr:col>
          <xdr:colOff>28575</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1C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1095375</xdr:colOff>
          <xdr:row>21</xdr:row>
          <xdr:rowOff>180975</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1C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25</xdr:row>
          <xdr:rowOff>152400</xdr:rowOff>
        </xdr:from>
        <xdr:to>
          <xdr:col>9</xdr:col>
          <xdr:colOff>333375</xdr:colOff>
          <xdr:row>27</xdr:row>
          <xdr:rowOff>28575</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1C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25</xdr:row>
          <xdr:rowOff>152400</xdr:rowOff>
        </xdr:from>
        <xdr:to>
          <xdr:col>10</xdr:col>
          <xdr:colOff>266700</xdr:colOff>
          <xdr:row>27</xdr:row>
          <xdr:rowOff>28575</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1C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25</xdr:row>
          <xdr:rowOff>152400</xdr:rowOff>
        </xdr:from>
        <xdr:to>
          <xdr:col>11</xdr:col>
          <xdr:colOff>257175</xdr:colOff>
          <xdr:row>27</xdr:row>
          <xdr:rowOff>28575</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1C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28575</xdr:colOff>
          <xdr:row>23</xdr:row>
          <xdr:rowOff>28575</xdr:rowOff>
        </xdr:from>
        <xdr:to>
          <xdr:col>10</xdr:col>
          <xdr:colOff>752475</xdr:colOff>
          <xdr:row>23</xdr:row>
          <xdr:rowOff>180975</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1C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66675</xdr:colOff>
          <xdr:row>12</xdr:row>
          <xdr:rowOff>28575</xdr:rowOff>
        </xdr:from>
        <xdr:to>
          <xdr:col>2</xdr:col>
          <xdr:colOff>28575</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33</xdr:row>
          <xdr:rowOff>219075</xdr:rowOff>
        </xdr:from>
        <xdr:to>
          <xdr:col>1</xdr:col>
          <xdr:colOff>257175</xdr:colOff>
          <xdr:row>34</xdr:row>
          <xdr:rowOff>219075</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523875</xdr:colOff>
          <xdr:row>11</xdr:row>
          <xdr:rowOff>28575</xdr:rowOff>
        </xdr:from>
        <xdr:to>
          <xdr:col>13</xdr:col>
          <xdr:colOff>866775</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1400175</xdr:colOff>
          <xdr:row>32</xdr:row>
          <xdr:rowOff>219075</xdr:rowOff>
        </xdr:from>
        <xdr:to>
          <xdr:col>2</xdr:col>
          <xdr:colOff>2314575</xdr:colOff>
          <xdr:row>33</xdr:row>
          <xdr:rowOff>219075</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219075</xdr:rowOff>
        </xdr:from>
        <xdr:to>
          <xdr:col>4</xdr:col>
          <xdr:colOff>942975</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190500</xdr:rowOff>
        </xdr:from>
        <xdr:to>
          <xdr:col>4</xdr:col>
          <xdr:colOff>942975</xdr:colOff>
          <xdr:row>28</xdr:row>
          <xdr:rowOff>219075</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2333625</xdr:colOff>
          <xdr:row>22</xdr:row>
          <xdr:rowOff>0</xdr:rowOff>
        </xdr:from>
        <xdr:to>
          <xdr:col>3</xdr:col>
          <xdr:colOff>771525</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142875</xdr:colOff>
          <xdr:row>16</xdr:row>
          <xdr:rowOff>200025</xdr:rowOff>
        </xdr:from>
        <xdr:to>
          <xdr:col>17</xdr:col>
          <xdr:colOff>1247775</xdr:colOff>
          <xdr:row>18</xdr:row>
          <xdr:rowOff>9525</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2486025</xdr:colOff>
          <xdr:row>16</xdr:row>
          <xdr:rowOff>28575</xdr:rowOff>
        </xdr:from>
        <xdr:to>
          <xdr:col>17</xdr:col>
          <xdr:colOff>3476625</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2486025</xdr:colOff>
          <xdr:row>16</xdr:row>
          <xdr:rowOff>28575</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5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5857875</xdr:colOff>
          <xdr:row>16</xdr:row>
          <xdr:rowOff>28575</xdr:rowOff>
        </xdr:from>
        <xdr:to>
          <xdr:col>3</xdr:col>
          <xdr:colOff>28575</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5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28575</xdr:colOff>
          <xdr:row>5</xdr:row>
          <xdr:rowOff>28575</xdr:rowOff>
        </xdr:from>
        <xdr:to>
          <xdr:col>24</xdr:col>
          <xdr:colOff>714375</xdr:colOff>
          <xdr:row>5</xdr:row>
          <xdr:rowOff>219075</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66675</xdr:colOff>
          <xdr:row>10</xdr:row>
          <xdr:rowOff>28575</xdr:rowOff>
        </xdr:from>
        <xdr:to>
          <xdr:col>12</xdr:col>
          <xdr:colOff>257175</xdr:colOff>
          <xdr:row>10</xdr:row>
          <xdr:rowOff>219075</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28575</xdr:colOff>
          <xdr:row>15</xdr:row>
          <xdr:rowOff>152400</xdr:rowOff>
        </xdr:from>
        <xdr:to>
          <xdr:col>6</xdr:col>
          <xdr:colOff>28575</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28575</xdr:rowOff>
        </xdr:from>
        <xdr:to>
          <xdr:col>3</xdr:col>
          <xdr:colOff>28575</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4</xdr:row>
          <xdr:rowOff>28575</xdr:rowOff>
        </xdr:from>
        <xdr:to>
          <xdr:col>3</xdr:col>
          <xdr:colOff>28575</xdr:colOff>
          <xdr:row>5</xdr:row>
          <xdr:rowOff>28575</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638175</xdr:colOff>
          <xdr:row>3</xdr:row>
          <xdr:rowOff>28575</xdr:rowOff>
        </xdr:from>
        <xdr:to>
          <xdr:col>21</xdr:col>
          <xdr:colOff>866775</xdr:colOff>
          <xdr:row>3</xdr:row>
          <xdr:rowOff>219075</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676275</xdr:colOff>
          <xdr:row>3</xdr:row>
          <xdr:rowOff>28575</xdr:rowOff>
        </xdr:from>
        <xdr:to>
          <xdr:col>20</xdr:col>
          <xdr:colOff>28575</xdr:colOff>
          <xdr:row>3</xdr:row>
          <xdr:rowOff>219075</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28575</xdr:colOff>
          <xdr:row>5</xdr:row>
          <xdr:rowOff>219075</xdr:rowOff>
        </xdr:from>
        <xdr:to>
          <xdr:col>26</xdr:col>
          <xdr:colOff>904875</xdr:colOff>
          <xdr:row>6</xdr:row>
          <xdr:rowOff>219075</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28575</xdr:colOff>
          <xdr:row>8</xdr:row>
          <xdr:rowOff>219075</xdr:rowOff>
        </xdr:from>
        <xdr:to>
          <xdr:col>28</xdr:col>
          <xdr:colOff>828675</xdr:colOff>
          <xdr:row>9</xdr:row>
          <xdr:rowOff>219075</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xdr:colOff>
          <xdr:row>24</xdr:row>
          <xdr:rowOff>219075</xdr:rowOff>
        </xdr:from>
        <xdr:to>
          <xdr:col>26</xdr:col>
          <xdr:colOff>914400</xdr:colOff>
          <xdr:row>25</xdr:row>
          <xdr:rowOff>219075</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333375</xdr:colOff>
          <xdr:row>10</xdr:row>
          <xdr:rowOff>104775</xdr:rowOff>
        </xdr:from>
        <xdr:to>
          <xdr:col>4</xdr:col>
          <xdr:colOff>723900</xdr:colOff>
          <xdr:row>10</xdr:row>
          <xdr:rowOff>295275</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333375</xdr:colOff>
          <xdr:row>11</xdr:row>
          <xdr:rowOff>104775</xdr:rowOff>
        </xdr:from>
        <xdr:to>
          <xdr:col>4</xdr:col>
          <xdr:colOff>723900</xdr:colOff>
          <xdr:row>11</xdr:row>
          <xdr:rowOff>295275</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104775</xdr:rowOff>
        </xdr:from>
        <xdr:to>
          <xdr:col>4</xdr:col>
          <xdr:colOff>942975</xdr:colOff>
          <xdr:row>6</xdr:row>
          <xdr:rowOff>295275</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D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295275</xdr:colOff>
          <xdr:row>6</xdr:row>
          <xdr:rowOff>104775</xdr:rowOff>
        </xdr:from>
        <xdr:to>
          <xdr:col>5</xdr:col>
          <xdr:colOff>1038225</xdr:colOff>
          <xdr:row>6</xdr:row>
          <xdr:rowOff>304800</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D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6</xdr:row>
          <xdr:rowOff>28575</xdr:rowOff>
        </xdr:from>
        <xdr:to>
          <xdr:col>7</xdr:col>
          <xdr:colOff>1266825</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D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828675</xdr:colOff>
          <xdr:row>7</xdr:row>
          <xdr:rowOff>28575</xdr:rowOff>
        </xdr:from>
        <xdr:to>
          <xdr:col>7</xdr:col>
          <xdr:colOff>1266825</xdr:colOff>
          <xdr:row>7</xdr:row>
          <xdr:rowOff>333375</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D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790575</xdr:colOff>
          <xdr:row>15</xdr:row>
          <xdr:rowOff>38100</xdr:rowOff>
        </xdr:from>
        <xdr:to>
          <xdr:col>7</xdr:col>
          <xdr:colOff>847725</xdr:colOff>
          <xdr:row>15</xdr:row>
          <xdr:rowOff>295275</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D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15</xdr:row>
          <xdr:rowOff>66675</xdr:rowOff>
        </xdr:from>
        <xdr:to>
          <xdr:col>6</xdr:col>
          <xdr:colOff>219075</xdr:colOff>
          <xdr:row>15</xdr:row>
          <xdr:rowOff>295275</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D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xdr:twoCellAnchor editAs="absolute">
    <xdr:from>
      <xdr:col>1</xdr:col>
      <xdr:colOff>16917</xdr:colOff>
      <xdr:row>0</xdr:row>
      <xdr:rowOff>187781</xdr:rowOff>
    </xdr:from>
    <xdr:to>
      <xdr:col>1</xdr:col>
      <xdr:colOff>1972311</xdr:colOff>
      <xdr:row>2</xdr:row>
      <xdr:rowOff>296636</xdr:rowOff>
    </xdr:to>
    <xdr:pic>
      <xdr:nvPicPr>
        <xdr:cNvPr id="1879178" name="Grafik 1">
          <a:hlinkClick xmlns:r="http://schemas.openxmlformats.org/officeDocument/2006/relationships" r:id="rId1"/>
          <a:extLst>
            <a:ext uri="{FF2B5EF4-FFF2-40B4-BE49-F238E27FC236}">
              <a16:creationId xmlns:a16="http://schemas.microsoft.com/office/drawing/2014/main" id="{00000000-0008-0000-0D00-00008AAC1C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149"/>
        <a:stretch>
          <a:fillRect/>
        </a:stretch>
      </xdr:blipFill>
      <xdr:spPr bwMode="auto">
        <a:xfrm>
          <a:off x="200090" y="190502"/>
          <a:ext cx="1949044" cy="761998"/>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6</xdr:col>
          <xdr:colOff>295275</xdr:colOff>
          <xdr:row>7</xdr:row>
          <xdr:rowOff>66675</xdr:rowOff>
        </xdr:from>
        <xdr:to>
          <xdr:col>7</xdr:col>
          <xdr:colOff>228600</xdr:colOff>
          <xdr:row>7</xdr:row>
          <xdr:rowOff>295275</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D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66675</xdr:colOff>
          <xdr:row>16</xdr:row>
          <xdr:rowOff>66675</xdr:rowOff>
        </xdr:from>
        <xdr:to>
          <xdr:col>7</xdr:col>
          <xdr:colOff>47625</xdr:colOff>
          <xdr:row>16</xdr:row>
          <xdr:rowOff>295275</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D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66675</xdr:colOff>
          <xdr:row>7</xdr:row>
          <xdr:rowOff>104775</xdr:rowOff>
        </xdr:from>
        <xdr:to>
          <xdr:col>5</xdr:col>
          <xdr:colOff>523875</xdr:colOff>
          <xdr:row>7</xdr:row>
          <xdr:rowOff>257175</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D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12</xdr:row>
          <xdr:rowOff>66675</xdr:rowOff>
        </xdr:from>
        <xdr:to>
          <xdr:col>8</xdr:col>
          <xdr:colOff>828675</xdr:colOff>
          <xdr:row>12</xdr:row>
          <xdr:rowOff>295275</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D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6</xdr:col>
      <xdr:colOff>1024760</xdr:colOff>
      <xdr:row>1</xdr:row>
      <xdr:rowOff>17117</xdr:rowOff>
    </xdr:from>
    <xdr:to>
      <xdr:col>7</xdr:col>
      <xdr:colOff>1464880</xdr:colOff>
      <xdr:row>4</xdr:row>
      <xdr:rowOff>6569</xdr:rowOff>
    </xdr:to>
    <xdr:grpSp>
      <xdr:nvGrpSpPr>
        <xdr:cNvPr id="10" name="Gruppieren 9">
          <a:extLst>
            <a:ext uri="{FF2B5EF4-FFF2-40B4-BE49-F238E27FC236}">
              <a16:creationId xmlns:a16="http://schemas.microsoft.com/office/drawing/2014/main" id="{00000000-0008-0000-0D00-00000A000000}"/>
            </a:ext>
          </a:extLst>
        </xdr:cNvPr>
        <xdr:cNvGrpSpPr/>
      </xdr:nvGrpSpPr>
      <xdr:grpSpPr>
        <a:xfrm>
          <a:off x="9141717" y="224182"/>
          <a:ext cx="1665946" cy="751452"/>
          <a:chOff x="9269901" y="225760"/>
          <a:chExt cx="1518849" cy="744883"/>
        </a:xfrm>
      </xdr:grpSpPr>
      <xdr:pic>
        <xdr:nvPicPr>
          <xdr:cNvPr id="1879179" name="Grafik 10">
            <a:hlinkClick xmlns:r="http://schemas.openxmlformats.org/officeDocument/2006/relationships" r:id="rId3"/>
            <a:extLst>
              <a:ext uri="{FF2B5EF4-FFF2-40B4-BE49-F238E27FC236}">
                <a16:creationId xmlns:a16="http://schemas.microsoft.com/office/drawing/2014/main" id="{00000000-0008-0000-0D00-00008BAC1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69901" y="225760"/>
            <a:ext cx="1518849" cy="744883"/>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9282066" y="241983"/>
            <a:ext cx="958997" cy="704482"/>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lIns="36000" tIns="0" rIns="36000" bIns="0" rtlCol="0" anchor="ctr">
            <a:noAutofit/>
          </a:bodyPr>
          <a:lstStyle/>
          <a:p>
            <a:pPr algn="ctr"/>
            <a:r>
              <a:rPr lang="de-DE" sz="1400" b="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Jörn Hauß</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Fachanwalt f. FamR</a:t>
            </a:r>
          </a:p>
          <a:p>
            <a:pPr algn="ctr"/>
            <a:r>
              <a:rPr lang="de-DE" sz="700">
                <a:solidFill>
                  <a:schemeClr val="tx1">
                    <a:lumMod val="65000"/>
                    <a:lumOff val="35000"/>
                  </a:schemeClr>
                </a:solidFill>
                <a:latin typeface="Microsoft Sans Serif" panose="020B0604020202020204" pitchFamily="34" charset="0"/>
                <a:ea typeface="Microsoft Sans Serif" panose="020B0604020202020204" pitchFamily="34" charset="0"/>
                <a:cs typeface="Microsoft Sans Serif" panose="020B0604020202020204" pitchFamily="34" charset="0"/>
              </a:rPr>
              <a:t>Duisburg</a:t>
            </a:r>
          </a:p>
          <a:p>
            <a:endParaRPr lang="de-DE" sz="1100"/>
          </a:p>
        </xdr:txBody>
      </xdr:sp>
    </xdr:grpSp>
    <xdr:clientData/>
  </xdr:twoCellAnchor>
  <mc:AlternateContent xmlns:mc="http://schemas.openxmlformats.org/markup-compatibility/2006">
    <mc:Choice xmlns:a14="http://schemas.microsoft.com/office/drawing/2010/main" Requires="a14">
      <xdr:twoCellAnchor editAs="oneCell">
        <xdr:from>
          <xdr:col>8</xdr:col>
          <xdr:colOff>28575</xdr:colOff>
          <xdr:row>2</xdr:row>
          <xdr:rowOff>66675</xdr:rowOff>
        </xdr:from>
        <xdr:to>
          <xdr:col>10</xdr:col>
          <xdr:colOff>0</xdr:colOff>
          <xdr:row>2</xdr:row>
          <xdr:rowOff>295275</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D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276225</xdr:colOff>
          <xdr:row>6</xdr:row>
          <xdr:rowOff>85725</xdr:rowOff>
        </xdr:from>
        <xdr:to>
          <xdr:col>7</xdr:col>
          <xdr:colOff>76200</xdr:colOff>
          <xdr:row>6</xdr:row>
          <xdr:rowOff>314325</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D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5"/>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6"/>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7"/>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8"/>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9"/>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10"/>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1"/>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1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2"/>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1057275</xdr:colOff>
          <xdr:row>13</xdr:row>
          <xdr:rowOff>66675</xdr:rowOff>
        </xdr:from>
        <xdr:to>
          <xdr:col>3</xdr:col>
          <xdr:colOff>638175</xdr:colOff>
          <xdr:row>13</xdr:row>
          <xdr:rowOff>295275</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D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695325</xdr:colOff>
          <xdr:row>1</xdr:row>
          <xdr:rowOff>9525</xdr:rowOff>
        </xdr:from>
        <xdr:to>
          <xdr:col>6</xdr:col>
          <xdr:colOff>504825</xdr:colOff>
          <xdr:row>1</xdr:row>
          <xdr:rowOff>200025</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142875</xdr:rowOff>
        </xdr:from>
        <xdr:to>
          <xdr:col>4</xdr:col>
          <xdr:colOff>752475</xdr:colOff>
          <xdr:row>5</xdr:row>
          <xdr:rowOff>180975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3800475</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6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4676775</xdr:colOff>
          <xdr:row>8</xdr:row>
          <xdr:rowOff>0</xdr:rowOff>
        </xdr:from>
        <xdr:to>
          <xdr:col>2</xdr:col>
          <xdr:colOff>809625</xdr:colOff>
          <xdr:row>9</xdr:row>
          <xdr:rowOff>28575</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6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371475</xdr:rowOff>
        </xdr:from>
        <xdr:to>
          <xdr:col>4</xdr:col>
          <xdr:colOff>257175</xdr:colOff>
          <xdr:row>3</xdr:row>
          <xdr:rowOff>47625</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6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2</xdr:row>
          <xdr:rowOff>371475</xdr:rowOff>
        </xdr:from>
        <xdr:to>
          <xdr:col>5</xdr:col>
          <xdr:colOff>228600</xdr:colOff>
          <xdr:row>3</xdr:row>
          <xdr:rowOff>28575</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6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xdr:row>
          <xdr:rowOff>371475</xdr:rowOff>
        </xdr:from>
        <xdr:to>
          <xdr:col>6</xdr:col>
          <xdr:colOff>276225</xdr:colOff>
          <xdr:row>3</xdr:row>
          <xdr:rowOff>28575</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6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6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3</xdr:row>
          <xdr:rowOff>66675</xdr:rowOff>
        </xdr:from>
        <xdr:to>
          <xdr:col>1</xdr:col>
          <xdr:colOff>1476375</xdr:colOff>
          <xdr:row>3</xdr:row>
          <xdr:rowOff>180975</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6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28575</xdr:rowOff>
        </xdr:from>
        <xdr:to>
          <xdr:col>1</xdr:col>
          <xdr:colOff>1876425</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6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28575</xdr:rowOff>
        </xdr:from>
        <xdr:to>
          <xdr:col>7</xdr:col>
          <xdr:colOff>1019175</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6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371475</xdr:rowOff>
        </xdr:from>
        <xdr:to>
          <xdr:col>7</xdr:col>
          <xdr:colOff>1019175</xdr:colOff>
          <xdr:row>3</xdr:row>
          <xdr:rowOff>28575</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6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4448175</xdr:colOff>
          <xdr:row>4</xdr:row>
          <xdr:rowOff>190500</xdr:rowOff>
        </xdr:from>
        <xdr:to>
          <xdr:col>2</xdr:col>
          <xdr:colOff>990600</xdr:colOff>
          <xdr:row>6</xdr:row>
          <xdr:rowOff>47625</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6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180975</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6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4295775</xdr:colOff>
          <xdr:row>19</xdr:row>
          <xdr:rowOff>28575</xdr:rowOff>
        </xdr:from>
        <xdr:to>
          <xdr:col>2</xdr:col>
          <xdr:colOff>0</xdr:colOff>
          <xdr:row>19</xdr:row>
          <xdr:rowOff>200025</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6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4714875</xdr:colOff>
          <xdr:row>16</xdr:row>
          <xdr:rowOff>28575</xdr:rowOff>
        </xdr:from>
        <xdr:to>
          <xdr:col>2</xdr:col>
          <xdr:colOff>485775</xdr:colOff>
          <xdr:row>17</xdr:row>
          <xdr:rowOff>28575</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6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219075</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6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3571875</xdr:colOff>
          <xdr:row>19</xdr:row>
          <xdr:rowOff>0</xdr:rowOff>
        </xdr:from>
        <xdr:to>
          <xdr:col>1</xdr:col>
          <xdr:colOff>4295775</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6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28575</xdr:rowOff>
        </xdr:from>
        <xdr:to>
          <xdr:col>4</xdr:col>
          <xdr:colOff>180975</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6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28575</xdr:colOff>
          <xdr:row>2</xdr:row>
          <xdr:rowOff>561975</xdr:rowOff>
        </xdr:from>
        <xdr:to>
          <xdr:col>26</xdr:col>
          <xdr:colOff>257175</xdr:colOff>
          <xdr:row>4</xdr:row>
          <xdr:rowOff>28575</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6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28575</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6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28575</xdr:colOff>
          <xdr:row>4</xdr:row>
          <xdr:rowOff>28575</xdr:rowOff>
        </xdr:from>
        <xdr:to>
          <xdr:col>26</xdr:col>
          <xdr:colOff>266700</xdr:colOff>
          <xdr:row>5</xdr:row>
          <xdr:rowOff>28575</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6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6</xdr:row>
          <xdr:rowOff>219075</xdr:rowOff>
        </xdr:from>
        <xdr:to>
          <xdr:col>26</xdr:col>
          <xdr:colOff>295275</xdr:colOff>
          <xdr:row>7</xdr:row>
          <xdr:rowOff>219075</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6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219075</xdr:rowOff>
        </xdr:from>
        <xdr:to>
          <xdr:col>26</xdr:col>
          <xdr:colOff>266700</xdr:colOff>
          <xdr:row>6</xdr:row>
          <xdr:rowOff>219075</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6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7</xdr:row>
          <xdr:rowOff>219075</xdr:rowOff>
        </xdr:from>
        <xdr:to>
          <xdr:col>26</xdr:col>
          <xdr:colOff>295275</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6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28575</xdr:colOff>
          <xdr:row>5</xdr:row>
          <xdr:rowOff>28575</xdr:rowOff>
        </xdr:from>
        <xdr:to>
          <xdr:col>26</xdr:col>
          <xdr:colOff>219075</xdr:colOff>
          <xdr:row>5</xdr:row>
          <xdr:rowOff>219075</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6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7</v>
  </rv>
  <rv s="1">
    <v>0</v>
    <v>5</v>
  </rv>
  <rv s="1">
    <v>1</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1" dataDxfId="429" headerRowBorderDxfId="430" tableBorderDxfId="428" totalsRowBorderDxfId="427">
  <tableColumns count="5">
    <tableColumn id="1" xr3:uid="{00000000-0010-0000-0000-000001000000}" name="Alter" dataDxfId="426">
      <calculatedColumnFormula>IFERROR(IF(B17+1&lt;Endalter,B17+1,""),"")</calculatedColumnFormula>
    </tableColumn>
    <tableColumn id="2" xr3:uid="{00000000-0010-0000-0000-000002000000}" name="Spalte2" dataDxfId="425">
      <calculatedColumnFormula>IFERROR(IF(QuellVersrg,IF($B18&lt;INT(H$5),0,IF($B18=INT(H$2),H$12,IF($B18&gt;INT(H$2),H$12*(1+H$9)^(IF($B18-H$5&lt;=0,0,$B18-IF(H$5&lt;H$2,H$2,H$5))),0))),0),0)</calculatedColumnFormula>
    </tableColumn>
    <tableColumn id="4" xr3:uid="{00000000-0010-0000-0000-000004000000}" name="Spalte4" dataDxfId="424">
      <calculatedColumnFormula>IF($B18&lt;I$5,0,IF($B18=INT(I$5),I$12,IF($B18&gt;INT(I$5),I$12*(1+I$9)^(IF($B18-I$5&lt;=0,0,1)),0)))</calculatedColumnFormula>
    </tableColumn>
    <tableColumn id="6" xr3:uid="{00000000-0010-0000-0000-000006000000}" name="Spalte6" dataDxfId="423">
      <calculatedColumnFormula>IF(#REF!=0,0,IF(AND(#REF!&gt;0,$B18&gt;0),J$12*(1+J$9)^(#REF!-1),0))</calculatedColumnFormula>
    </tableColumn>
    <tableColumn id="8" xr3:uid="{00000000-0010-0000-0000-000008000000}" name="Spalte8" dataDxfId="422">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26" Type="http://schemas.openxmlformats.org/officeDocument/2006/relationships/hyperlink" Target="https://docplayer.org/23644555-Teilungsordnung-der-unilever-deutschland-gruppe-stand.html" TargetMode="External"/><Relationship Id="rId39" Type="http://schemas.openxmlformats.org/officeDocument/2006/relationships/hyperlink" Target="http://www.hpv-versorgungsausgleich.de/index.php?id=4779"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61" Type="http://schemas.openxmlformats.org/officeDocument/2006/relationships/hyperlink" Target="https://www.hdi.de/downloads/de/privatkunden/service/Telungsordnung_HLV_2020.pdf" TargetMode="External"/><Relationship Id="rId10" Type="http://schemas.openxmlformats.org/officeDocument/2006/relationships/hyperlink" Target="https://www.neueleben.de/static/files/Service/Teilungsordnung_nl_20180801.pdf" TargetMode="External"/><Relationship Id="rId19" Type="http://schemas.openxmlformats.org/officeDocument/2006/relationships/hyperlink" Target="https://docplayer.org/15092608-Besondere-versicherungsbedingungen-teilungsordnung.html"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joernhauss.my.webex.com/joernhauss.my/j.php?MTID=mf3ff619ab1a88908c807c53ab1bf5c63" TargetMode="External"/><Relationship Id="rId3" Type="http://schemas.openxmlformats.org/officeDocument/2006/relationships/hyperlink" Target="https://www.anwaelte-du.de/kapitalwertkontrolle.html" TargetMode="External"/><Relationship Id="rId7" Type="http://schemas.openxmlformats.org/officeDocument/2006/relationships/hyperlink" Target="mailto:Hauss@Anwaelte-DU.de?subject=Programm%20Kapitalwertkoltrolle%20Anregung,%20Verbesserungsvorschlag%20&amp;%20Fehlermeldung" TargetMode="External"/><Relationship Id="rId12" Type="http://schemas.openxmlformats.org/officeDocument/2006/relationships/drawing" Target="../drawings/drawing2.xml"/><Relationship Id="rId2" Type="http://schemas.openxmlformats.org/officeDocument/2006/relationships/hyperlink" Target="https://www.famrb.de/muster_formulare.html"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www.anwaelte-du.de/" TargetMode="External"/><Relationship Id="rId11" Type="http://schemas.openxmlformats.org/officeDocument/2006/relationships/printerSettings" Target="../printerSettings/printerSettings5.bin"/><Relationship Id="rId5" Type="http://schemas.openxmlformats.org/officeDocument/2006/relationships/hyperlink" Target="mailto:Hauss@Anwaelte-DU.de" TargetMode="External"/><Relationship Id="rId10" Type="http://schemas.openxmlformats.org/officeDocument/2006/relationships/hyperlink" Target="http://www.kaffeerundeva.de/" TargetMode="External"/><Relationship Id="rId4" Type="http://schemas.openxmlformats.org/officeDocument/2006/relationships/hyperlink" Target="mailto:Hauss@Anwaelte-DU.de" TargetMode="External"/><Relationship Id="rId9" Type="http://schemas.openxmlformats.org/officeDocument/2006/relationships/hyperlink" Target="https://joernhauss.my.webex.com/joernhauss.my/j.php?MTID=mdb0e75d1b7d7350618e67f60656df76b"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hyperlink" Target="https://www.gesetze-im-internet.de/sgb_5/__226.html" TargetMode="External"/><Relationship Id="rId21" Type="http://schemas.openxmlformats.org/officeDocument/2006/relationships/ctrlProp" Target="../ctrlProps/ctrlProp68.xml"/><Relationship Id="rId7" Type="http://schemas.openxmlformats.org/officeDocument/2006/relationships/drawing" Target="../drawings/drawing11.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printerSettings" Target="../printerSettings/printerSettings15.bin"/><Relationship Id="rId11" Type="http://schemas.openxmlformats.org/officeDocument/2006/relationships/ctrlProp" Target="../ctrlProps/ctrlProp58.xml"/><Relationship Id="rId5" Type="http://schemas.openxmlformats.org/officeDocument/2006/relationships/hyperlink" Target="https://www.gesetze-im-internet.de/sgb_11/__55.html" TargetMode="External"/><Relationship Id="rId15" Type="http://schemas.openxmlformats.org/officeDocument/2006/relationships/ctrlProp" Target="../ctrlProps/ctrlProp62.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hyperlink" Target="https://www.bmas.de/SharedDocs/Downloads/DE/Gesetze/Regierungsentwuerfe/reg-sozialversicherungsrechengroessen-verordnung-2024.pdf?__blob=publicationFile&amp;v=2" TargetMode="Externa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8.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34" Type="http://schemas.openxmlformats.org/officeDocument/2006/relationships/ctrlProp" Target="../ctrlProps/ctrlProp96.xm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vmlDrawing" Target="../drawings/vmlDrawing12.vml"/><Relationship Id="rId33" Type="http://schemas.openxmlformats.org/officeDocument/2006/relationships/ctrlProp" Target="../ctrlProps/ctrlProp95.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1.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drawing" Target="../drawings/drawing19.xml"/><Relationship Id="rId32" Type="http://schemas.openxmlformats.org/officeDocument/2006/relationships/ctrlProp" Target="../ctrlProps/ctrlProp94.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printerSettings" Target="../printerSettings/printerSettings22.bin"/><Relationship Id="rId28" Type="http://schemas.openxmlformats.org/officeDocument/2006/relationships/ctrlProp" Target="../ctrlProps/ctrlProp90.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3.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hyperlink" Target="https://www.anwaelte-du.de/media/files/nedden-boeger-2024.pdf" TargetMode="External"/><Relationship Id="rId27" Type="http://schemas.openxmlformats.org/officeDocument/2006/relationships/ctrlProp" Target="../ctrlProps/ctrlProp89.xml"/><Relationship Id="rId30" Type="http://schemas.openxmlformats.org/officeDocument/2006/relationships/ctrlProp" Target="../ctrlProps/ctrlProp9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66"/>
  <sheetViews>
    <sheetView topLeftCell="A11" zoomScaleNormal="100" workbookViewId="0">
      <selection activeCell="B13" sqref="B13:B14"/>
    </sheetView>
  </sheetViews>
  <sheetFormatPr baseColWidth="10" defaultColWidth="17.125" defaultRowHeight="15"/>
  <cols>
    <col min="1" max="1" width="33.125" style="591" customWidth="1"/>
    <col min="2" max="2" width="5.125" style="591" customWidth="1"/>
    <col min="3" max="3" width="29.875" style="616" customWidth="1"/>
    <col min="4" max="4" width="10.125" style="1146" customWidth="1"/>
    <col min="5" max="5" width="13.625" style="617" customWidth="1"/>
    <col min="6" max="6" width="5.625" style="375" customWidth="1"/>
    <col min="7" max="7" width="34.5" style="615" customWidth="1"/>
    <col min="8" max="8" width="0" hidden="1" customWidth="1"/>
    <col min="9" max="9" width="21" style="615" customWidth="1"/>
    <col min="10" max="10" width="15.625" style="756" hidden="1" customWidth="1"/>
    <col min="11" max="13" width="13.125" style="1142" customWidth="1"/>
    <col min="14" max="14" width="10.625" style="1142" customWidth="1"/>
    <col min="15" max="15" width="64" style="757" customWidth="1"/>
    <col min="16" max="16" width="11.125" style="397" customWidth="1"/>
    <col min="17" max="16384" width="17.125" style="397"/>
  </cols>
  <sheetData>
    <row r="1" spans="1:16381" ht="37.5" customHeight="1">
      <c r="C1" s="2269" t="s">
        <v>1040</v>
      </c>
      <c r="D1" s="2269"/>
      <c r="E1" s="2269"/>
      <c r="F1" s="2269"/>
      <c r="G1" s="2269"/>
      <c r="I1" s="1170"/>
      <c r="J1" s="1170"/>
      <c r="K1" s="1170"/>
      <c r="L1" s="1170"/>
      <c r="M1" s="1170"/>
      <c r="N1" s="1170"/>
      <c r="O1" s="1170"/>
    </row>
    <row r="2" spans="1:16381" ht="66.75" customHeight="1">
      <c r="A2" s="995"/>
      <c r="B2" s="995">
        <f>COUNT(B6:B344)</f>
        <v>334</v>
      </c>
      <c r="C2" s="2267" t="s">
        <v>1546</v>
      </c>
      <c r="D2" s="2268"/>
      <c r="E2" s="2268"/>
      <c r="F2" s="2268"/>
      <c r="G2" s="2268"/>
      <c r="I2" s="1169"/>
      <c r="J2" s="1169"/>
      <c r="K2" s="1410">
        <f>+K5/$B$2</f>
        <v>0.34431137724550898</v>
      </c>
      <c r="L2" s="1410">
        <f>+L5/$B$2</f>
        <v>0.61676646706586824</v>
      </c>
      <c r="M2" s="1410">
        <f>+M5/$B$2</f>
        <v>0.25149700598802394</v>
      </c>
      <c r="N2" s="1410">
        <f>+N5/$B$2</f>
        <v>0.48502994011976047</v>
      </c>
      <c r="O2" s="397" t="s">
        <v>806</v>
      </c>
    </row>
    <row r="3" spans="1:16381" ht="27" hidden="1" customHeight="1">
      <c r="C3" s="616" t="e">
        <f>TEXT(#REF!+F3,0)</f>
        <v>#REF!</v>
      </c>
      <c r="D3" s="1146" t="s">
        <v>752</v>
      </c>
      <c r="E3" s="617" t="s">
        <v>751</v>
      </c>
      <c r="F3" s="375">
        <f>COUNTIF(F7:F337,"Ja")</f>
        <v>113</v>
      </c>
      <c r="J3" s="929"/>
      <c r="K3" s="1142">
        <f>SUM(K6:K437)</f>
        <v>115</v>
      </c>
      <c r="L3" s="1142">
        <f>SUM(L6:L437)/2</f>
        <v>206</v>
      </c>
      <c r="M3" s="1142">
        <f>SUM(M6:M437)/2</f>
        <v>126</v>
      </c>
      <c r="N3" s="1142">
        <f>SUM(N6:N437)/4</f>
        <v>162</v>
      </c>
    </row>
    <row r="4" spans="1:16381" s="140" customFormat="1" ht="25.5" customHeight="1">
      <c r="A4" s="856" t="s">
        <v>756</v>
      </c>
      <c r="B4" s="856"/>
      <c r="C4" s="633" t="s">
        <v>644</v>
      </c>
      <c r="D4" s="1974" t="s">
        <v>60</v>
      </c>
      <c r="E4" s="633" t="s">
        <v>645</v>
      </c>
      <c r="F4" s="2271" t="s">
        <v>1153</v>
      </c>
      <c r="G4" s="1167" t="s">
        <v>646</v>
      </c>
      <c r="I4" s="1167" t="s">
        <v>1177</v>
      </c>
      <c r="J4" s="758" t="s">
        <v>649</v>
      </c>
      <c r="K4" s="1143" t="s">
        <v>1046</v>
      </c>
      <c r="L4" s="1143" t="s">
        <v>1047</v>
      </c>
      <c r="M4" s="1143" t="s">
        <v>1048</v>
      </c>
      <c r="N4" s="1143" t="s">
        <v>1049</v>
      </c>
      <c r="O4" s="1168" t="s">
        <v>654</v>
      </c>
      <c r="P4" s="140" t="s">
        <v>1114</v>
      </c>
    </row>
    <row r="5" spans="1:16381" s="591" customFormat="1" ht="25.5">
      <c r="A5" s="856" t="str">
        <f>+C5</f>
        <v>Bitte suchen Sie aus der Liste die Versicherung aus</v>
      </c>
      <c r="B5" s="856"/>
      <c r="C5" s="632" t="s">
        <v>1165</v>
      </c>
      <c r="D5" s="1974"/>
      <c r="E5" s="633"/>
      <c r="F5" s="2272"/>
      <c r="G5" s="634"/>
      <c r="I5" s="634"/>
      <c r="J5" s="758"/>
      <c r="K5" s="1143">
        <f>SUM(K6:K344)</f>
        <v>115</v>
      </c>
      <c r="L5" s="1143">
        <f>SUM(L6:L344)/2</f>
        <v>206</v>
      </c>
      <c r="M5" s="1143">
        <f>SUM(M6:M344)/3</f>
        <v>84</v>
      </c>
      <c r="N5" s="1143">
        <f>SUM(N6:N344)/4</f>
        <v>162</v>
      </c>
      <c r="O5" s="759"/>
      <c r="S5" s="591">
        <f>SUM(S7:S19)</f>
        <v>12</v>
      </c>
    </row>
    <row r="6" spans="1:16381" s="140" customFormat="1" ht="14.1" customHeight="1">
      <c r="A6" s="591" t="str">
        <f t="shared" ref="A6:A77" si="0">C6&amp;IF(D6=0,""," v. "&amp;TEXT(D6,"TT.MM.JJJ"))</f>
        <v>Accenture v. 01.01.2015</v>
      </c>
      <c r="B6" s="591">
        <f>ROW()</f>
        <v>6</v>
      </c>
      <c r="C6" s="616" t="s">
        <v>1171</v>
      </c>
      <c r="D6" s="1146">
        <v>42005</v>
      </c>
      <c r="E6" s="617" t="s">
        <v>195</v>
      </c>
      <c r="F6" s="618" t="str">
        <f t="shared" ref="F6:F26" si="1">IF(K6=1,"Ja","")</f>
        <v/>
      </c>
      <c r="G6" s="615" t="str">
        <f t="shared" ref="G6:G77" si="2">IF(SUM(K6:N6)=0,"","TO ermöglicht: "&amp;IF(K6&gt;0,"Tarifwechel; ","")&amp;IF(L6&gt;0,"doppelten Kostenabzug; ","")&amp;IF(M6&gt;0," Abweichungen vom gerichtl. festgelegten Ausgleichswert; ","")&amp;IF(N6&gt;0," Verzinsung zwischen EzE und RK geltend machen",""))</f>
        <v>TO ermöglicht: doppelten Kostenabzug;  Abweichungen vom gerichtl. festgelegten Ausgleichswert;  Verzinsung zwischen EzE und RK geltend machen</v>
      </c>
      <c r="I6" s="615"/>
      <c r="J6" s="756"/>
      <c r="K6" s="1144"/>
      <c r="L6" s="1144">
        <v>2</v>
      </c>
      <c r="M6" s="1144">
        <v>3</v>
      </c>
      <c r="N6" s="1144">
        <v>4</v>
      </c>
      <c r="O6" s="757"/>
      <c r="P6" s="140">
        <f t="shared" ref="P6:P17" si="3">SUM(K6:N6)</f>
        <v>9</v>
      </c>
      <c r="S6" s="2270" t="str">
        <f>_xlfn.CONCAT(A6:A418)</f>
        <v>Accenture v. 01.01.2015ACE European Group Limiteted v. 01.09.2009Adler Modemaerkte Versorgungswerk e.V. v. 01.01.2019allfrisch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270"/>
      <c r="U6" s="2270"/>
      <c r="V6" s="2270"/>
      <c r="W6" s="2270"/>
      <c r="X6" s="2270"/>
      <c r="Y6" s="2270"/>
      <c r="Z6" s="2270"/>
      <c r="AA6" s="2270"/>
      <c r="AB6" s="2270"/>
      <c r="AC6" s="2270"/>
      <c r="AD6" s="2270"/>
      <c r="AE6" s="2270"/>
      <c r="AF6" s="2270"/>
      <c r="AG6" s="2270"/>
      <c r="AH6" s="2270"/>
      <c r="AI6" s="2270"/>
      <c r="AJ6" s="2270"/>
    </row>
    <row r="7" spans="1:16381" s="591" customFormat="1">
      <c r="A7" s="591" t="str">
        <f t="shared" si="0"/>
        <v>ACE European Group Limiteted v. 01.09.2009</v>
      </c>
      <c r="B7" s="591">
        <f>ROW()</f>
        <v>7</v>
      </c>
      <c r="C7" s="616" t="s">
        <v>1345</v>
      </c>
      <c r="D7" s="1146">
        <v>40057</v>
      </c>
      <c r="E7" s="617" t="s">
        <v>1202</v>
      </c>
      <c r="F7" s="618" t="str">
        <f t="shared" si="1"/>
        <v/>
      </c>
      <c r="G7" s="615" t="str">
        <f t="shared" si="2"/>
        <v/>
      </c>
      <c r="I7" s="615"/>
      <c r="J7" s="756"/>
      <c r="K7" s="1144"/>
      <c r="L7" s="1144"/>
      <c r="M7" s="1144"/>
      <c r="N7" s="1144"/>
      <c r="O7" s="757"/>
      <c r="P7" s="140">
        <f t="shared" si="3"/>
        <v>0</v>
      </c>
      <c r="Q7" s="397"/>
      <c r="R7" s="397"/>
      <c r="S7" s="591">
        <f>IFERROR(SEARCH(MID(+Fallerfassung!D27,1,5),S$6),1)</f>
        <v>1</v>
      </c>
      <c r="T7" s="397"/>
      <c r="U7" s="397"/>
      <c r="V7" s="397"/>
      <c r="W7" s="397"/>
      <c r="X7" s="397"/>
      <c r="Y7" s="397"/>
      <c r="Z7" s="397"/>
      <c r="AA7" s="397"/>
      <c r="AB7" s="397"/>
      <c r="AC7" s="397"/>
      <c r="AD7" s="397"/>
      <c r="AE7" s="397"/>
      <c r="AF7" s="397"/>
      <c r="AG7" s="397"/>
      <c r="AH7" s="397"/>
      <c r="AI7" s="397"/>
      <c r="AJ7" s="397"/>
      <c r="AK7" s="397"/>
      <c r="AL7" s="397"/>
      <c r="AM7" s="397"/>
      <c r="AN7" s="397"/>
      <c r="AO7" s="397"/>
      <c r="AP7" s="397"/>
      <c r="AQ7" s="397"/>
      <c r="AR7" s="397"/>
      <c r="AS7" s="397"/>
      <c r="AT7" s="397"/>
      <c r="AU7" s="397"/>
      <c r="AV7" s="397"/>
      <c r="AW7" s="397"/>
      <c r="AX7" s="397"/>
      <c r="AY7" s="397"/>
      <c r="AZ7" s="397"/>
      <c r="BA7" s="397"/>
      <c r="BB7" s="397"/>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397"/>
      <c r="CQ7" s="397"/>
      <c r="CR7" s="397"/>
      <c r="CS7" s="397"/>
      <c r="CT7" s="397"/>
      <c r="CU7" s="397"/>
      <c r="CV7" s="397"/>
      <c r="CW7" s="397"/>
      <c r="CX7" s="397"/>
      <c r="CY7" s="397"/>
      <c r="CZ7" s="397"/>
      <c r="DA7" s="397"/>
      <c r="DB7" s="397"/>
      <c r="DC7" s="397"/>
      <c r="DD7" s="397"/>
      <c r="DE7" s="397"/>
      <c r="DF7" s="397"/>
      <c r="DG7" s="397"/>
      <c r="DH7" s="397"/>
      <c r="DI7" s="397"/>
      <c r="DJ7" s="397"/>
      <c r="DK7" s="397"/>
      <c r="DL7" s="397"/>
      <c r="DM7" s="397"/>
      <c r="DN7" s="397"/>
      <c r="DO7" s="397"/>
      <c r="DP7" s="397"/>
      <c r="DQ7" s="397"/>
      <c r="DR7" s="397"/>
      <c r="DS7" s="397"/>
      <c r="DT7" s="397"/>
      <c r="DU7" s="397"/>
      <c r="DV7" s="397"/>
      <c r="DW7" s="397"/>
      <c r="DX7" s="397"/>
      <c r="DY7" s="397"/>
      <c r="DZ7" s="397"/>
      <c r="EA7" s="397"/>
      <c r="EB7" s="397"/>
      <c r="EC7" s="397"/>
      <c r="ED7" s="397"/>
      <c r="EE7" s="397"/>
      <c r="EF7" s="397"/>
      <c r="EG7" s="397"/>
      <c r="EH7" s="397"/>
      <c r="EI7" s="397"/>
      <c r="EJ7" s="397"/>
      <c r="EK7" s="397"/>
      <c r="EL7" s="397"/>
      <c r="EM7" s="397"/>
      <c r="EN7" s="397"/>
      <c r="EO7" s="397"/>
      <c r="EP7" s="397"/>
      <c r="EQ7" s="397"/>
      <c r="ER7" s="397"/>
      <c r="ES7" s="397"/>
      <c r="ET7" s="397"/>
      <c r="EU7" s="397"/>
      <c r="EV7" s="397"/>
      <c r="EW7" s="397"/>
      <c r="EX7" s="397"/>
      <c r="EY7" s="397"/>
      <c r="EZ7" s="397"/>
      <c r="FA7" s="397"/>
      <c r="FB7" s="397"/>
      <c r="FC7" s="397"/>
      <c r="FD7" s="397"/>
      <c r="FE7" s="397"/>
      <c r="FF7" s="397"/>
      <c r="FG7" s="397"/>
      <c r="FH7" s="397"/>
      <c r="FI7" s="397"/>
      <c r="FJ7" s="397"/>
      <c r="FK7" s="397"/>
      <c r="FL7" s="397"/>
      <c r="FM7" s="397"/>
      <c r="FN7" s="397"/>
      <c r="FO7" s="397"/>
      <c r="FP7" s="397"/>
      <c r="FQ7" s="397"/>
      <c r="FR7" s="397"/>
      <c r="FS7" s="397"/>
      <c r="FT7" s="397"/>
      <c r="FU7" s="397"/>
      <c r="FV7" s="397"/>
      <c r="FW7" s="397"/>
      <c r="FX7" s="397"/>
      <c r="FY7" s="397"/>
      <c r="FZ7" s="397"/>
      <c r="GA7" s="397"/>
      <c r="GB7" s="397"/>
      <c r="GC7" s="397"/>
      <c r="GD7" s="397"/>
      <c r="GE7" s="397"/>
      <c r="GF7" s="397"/>
      <c r="GG7" s="397"/>
      <c r="GH7" s="397"/>
      <c r="GI7" s="397"/>
      <c r="GJ7" s="397"/>
      <c r="GK7" s="397"/>
      <c r="GL7" s="397"/>
      <c r="GM7" s="397"/>
      <c r="GN7" s="397"/>
      <c r="GO7" s="397"/>
      <c r="GP7" s="397"/>
      <c r="GQ7" s="397"/>
      <c r="GR7" s="397"/>
      <c r="GS7" s="397"/>
      <c r="GT7" s="397"/>
      <c r="GU7" s="397"/>
      <c r="GV7" s="397"/>
      <c r="GW7" s="397"/>
      <c r="GX7" s="397"/>
      <c r="GY7" s="397"/>
      <c r="GZ7" s="397"/>
      <c r="HA7" s="397"/>
      <c r="HB7" s="397"/>
      <c r="HC7" s="397"/>
      <c r="HD7" s="397"/>
      <c r="HE7" s="397"/>
      <c r="HF7" s="397"/>
      <c r="HG7" s="397"/>
      <c r="HH7" s="397"/>
      <c r="HI7" s="397"/>
      <c r="HJ7" s="397"/>
      <c r="HK7" s="397"/>
      <c r="HL7" s="397"/>
      <c r="HM7" s="397"/>
      <c r="HN7" s="397"/>
      <c r="HO7" s="397"/>
      <c r="HP7" s="397"/>
      <c r="HQ7" s="397"/>
      <c r="HR7" s="397"/>
      <c r="HS7" s="397"/>
      <c r="HT7" s="397"/>
      <c r="HU7" s="397"/>
      <c r="HV7" s="397"/>
      <c r="HW7" s="397"/>
      <c r="HX7" s="397"/>
      <c r="HY7" s="397"/>
      <c r="HZ7" s="397"/>
      <c r="IA7" s="397"/>
      <c r="IB7" s="397"/>
      <c r="IC7" s="397"/>
      <c r="ID7" s="397"/>
      <c r="IE7" s="397"/>
      <c r="IF7" s="397"/>
      <c r="IG7" s="397"/>
      <c r="IH7" s="397"/>
      <c r="II7" s="397"/>
      <c r="IJ7" s="397"/>
      <c r="IK7" s="397"/>
      <c r="IL7" s="397"/>
      <c r="IM7" s="397"/>
      <c r="IN7" s="397"/>
      <c r="IO7" s="397"/>
      <c r="IP7" s="397"/>
      <c r="IQ7" s="397"/>
      <c r="IR7" s="397"/>
      <c r="IS7" s="397"/>
      <c r="IT7" s="397"/>
      <c r="IU7" s="397"/>
      <c r="IV7" s="397"/>
      <c r="IW7" s="397"/>
      <c r="IX7" s="397"/>
      <c r="IY7" s="397"/>
      <c r="IZ7" s="397"/>
      <c r="JA7" s="397"/>
      <c r="JB7" s="397"/>
      <c r="JC7" s="397"/>
      <c r="JD7" s="397"/>
      <c r="JE7" s="397"/>
      <c r="JF7" s="397"/>
      <c r="JG7" s="397"/>
      <c r="JH7" s="397"/>
      <c r="JI7" s="397"/>
      <c r="JJ7" s="397"/>
      <c r="JK7" s="397"/>
      <c r="JL7" s="397"/>
      <c r="JM7" s="397"/>
      <c r="JN7" s="397"/>
      <c r="JO7" s="397"/>
      <c r="JP7" s="397"/>
      <c r="JQ7" s="397"/>
      <c r="JR7" s="397"/>
      <c r="JS7" s="397"/>
      <c r="JT7" s="397"/>
      <c r="JU7" s="397"/>
      <c r="JV7" s="397"/>
      <c r="JW7" s="397"/>
      <c r="JX7" s="397"/>
      <c r="JY7" s="397"/>
      <c r="JZ7" s="397"/>
      <c r="KA7" s="397"/>
      <c r="KB7" s="397"/>
      <c r="KC7" s="397"/>
      <c r="KD7" s="397"/>
      <c r="KE7" s="397"/>
      <c r="KF7" s="397"/>
      <c r="KG7" s="397"/>
      <c r="KH7" s="397"/>
      <c r="KI7" s="397"/>
      <c r="KJ7" s="397"/>
      <c r="KK7" s="397"/>
      <c r="KL7" s="397"/>
      <c r="KM7" s="397"/>
      <c r="KN7" s="397"/>
      <c r="KO7" s="397"/>
      <c r="KP7" s="397"/>
      <c r="KQ7" s="397"/>
      <c r="KR7" s="397"/>
      <c r="KS7" s="397"/>
      <c r="KT7" s="397"/>
      <c r="KU7" s="397"/>
      <c r="KV7" s="397"/>
      <c r="KW7" s="397"/>
      <c r="KX7" s="397"/>
      <c r="KY7" s="397"/>
      <c r="KZ7" s="397"/>
      <c r="LA7" s="397"/>
      <c r="LB7" s="397"/>
      <c r="LC7" s="397"/>
      <c r="LD7" s="397"/>
      <c r="LE7" s="397"/>
      <c r="LF7" s="397"/>
      <c r="LG7" s="397"/>
      <c r="LH7" s="397"/>
      <c r="LI7" s="397"/>
      <c r="LJ7" s="397"/>
      <c r="LK7" s="397"/>
      <c r="LL7" s="397"/>
      <c r="LM7" s="397"/>
      <c r="LN7" s="397"/>
      <c r="LO7" s="397"/>
      <c r="LP7" s="397"/>
      <c r="LQ7" s="397"/>
      <c r="LR7" s="397"/>
      <c r="LS7" s="397"/>
      <c r="LT7" s="397"/>
      <c r="LU7" s="397"/>
      <c r="LV7" s="397"/>
      <c r="LW7" s="397"/>
      <c r="LX7" s="397"/>
      <c r="LY7" s="397"/>
      <c r="LZ7" s="397"/>
      <c r="MA7" s="397"/>
      <c r="MB7" s="397"/>
      <c r="MC7" s="397"/>
      <c r="MD7" s="397"/>
      <c r="ME7" s="397"/>
      <c r="MF7" s="397"/>
      <c r="MG7" s="397"/>
      <c r="MH7" s="397"/>
      <c r="MI7" s="397"/>
      <c r="MJ7" s="397"/>
      <c r="MK7" s="397"/>
      <c r="ML7" s="397"/>
      <c r="MM7" s="397"/>
      <c r="MN7" s="397"/>
      <c r="MO7" s="397"/>
      <c r="MP7" s="397"/>
      <c r="MQ7" s="397"/>
      <c r="MR7" s="397"/>
      <c r="MS7" s="397"/>
      <c r="MT7" s="397"/>
      <c r="MU7" s="397"/>
      <c r="MV7" s="397"/>
      <c r="MW7" s="397"/>
      <c r="MX7" s="397"/>
      <c r="MY7" s="397"/>
      <c r="MZ7" s="397"/>
      <c r="NA7" s="397"/>
      <c r="NB7" s="397"/>
      <c r="NC7" s="397"/>
      <c r="ND7" s="397"/>
      <c r="NE7" s="397"/>
      <c r="NF7" s="397"/>
      <c r="NG7" s="397"/>
      <c r="NH7" s="397"/>
      <c r="NI7" s="397"/>
      <c r="NJ7" s="397"/>
      <c r="NK7" s="397"/>
      <c r="NL7" s="397"/>
      <c r="NM7" s="397"/>
      <c r="NN7" s="397"/>
      <c r="NO7" s="397"/>
      <c r="NP7" s="397"/>
      <c r="NQ7" s="397"/>
      <c r="NR7" s="397"/>
      <c r="NS7" s="397"/>
      <c r="NT7" s="397"/>
      <c r="NU7" s="397"/>
      <c r="NV7" s="397"/>
      <c r="NW7" s="397"/>
      <c r="NX7" s="397"/>
      <c r="NY7" s="397"/>
      <c r="NZ7" s="397"/>
      <c r="OA7" s="397"/>
      <c r="OB7" s="397"/>
      <c r="OC7" s="397"/>
      <c r="OD7" s="397"/>
      <c r="OE7" s="397"/>
      <c r="OF7" s="397"/>
      <c r="OG7" s="397"/>
      <c r="OH7" s="397"/>
      <c r="OI7" s="397"/>
      <c r="OJ7" s="397"/>
      <c r="OK7" s="397"/>
      <c r="OL7" s="397"/>
      <c r="OM7" s="397"/>
      <c r="ON7" s="397"/>
      <c r="OO7" s="397"/>
      <c r="OP7" s="397"/>
      <c r="OQ7" s="397"/>
      <c r="OR7" s="397"/>
      <c r="OS7" s="397"/>
      <c r="OT7" s="397"/>
      <c r="OU7" s="397"/>
      <c r="OV7" s="397"/>
      <c r="OW7" s="397"/>
      <c r="OX7" s="397"/>
      <c r="OY7" s="397"/>
      <c r="OZ7" s="397"/>
      <c r="PA7" s="397"/>
      <c r="PB7" s="397"/>
      <c r="PC7" s="397"/>
      <c r="PD7" s="397"/>
      <c r="PE7" s="397"/>
      <c r="PF7" s="397"/>
      <c r="PG7" s="397"/>
      <c r="PH7" s="397"/>
      <c r="PI7" s="397"/>
      <c r="PJ7" s="397"/>
      <c r="PK7" s="397"/>
      <c r="PL7" s="397"/>
      <c r="PM7" s="397"/>
      <c r="PN7" s="397"/>
      <c r="PO7" s="397"/>
      <c r="PP7" s="397"/>
      <c r="PQ7" s="397"/>
      <c r="PR7" s="397"/>
      <c r="PS7" s="397"/>
      <c r="PT7" s="397"/>
      <c r="PU7" s="397"/>
      <c r="PV7" s="397"/>
      <c r="PW7" s="397"/>
      <c r="PX7" s="397"/>
      <c r="PY7" s="397"/>
      <c r="PZ7" s="397"/>
      <c r="QA7" s="397"/>
      <c r="QB7" s="397"/>
      <c r="QC7" s="397"/>
      <c r="QD7" s="397"/>
      <c r="QE7" s="397"/>
      <c r="QF7" s="397"/>
      <c r="QG7" s="397"/>
      <c r="QH7" s="397"/>
      <c r="QI7" s="397"/>
      <c r="QJ7" s="397"/>
      <c r="QK7" s="397"/>
      <c r="QL7" s="397"/>
      <c r="QM7" s="397"/>
      <c r="QN7" s="397"/>
      <c r="QO7" s="397"/>
      <c r="QP7" s="397"/>
      <c r="QQ7" s="397"/>
      <c r="QR7" s="397"/>
      <c r="QS7" s="397"/>
      <c r="QT7" s="397"/>
      <c r="QU7" s="397"/>
      <c r="QV7" s="397"/>
      <c r="QW7" s="397"/>
      <c r="QX7" s="397"/>
      <c r="QY7" s="397"/>
      <c r="QZ7" s="397"/>
      <c r="RA7" s="397"/>
      <c r="RB7" s="397"/>
      <c r="RC7" s="397"/>
      <c r="RD7" s="397"/>
      <c r="RE7" s="397"/>
      <c r="RF7" s="397"/>
      <c r="RG7" s="397"/>
      <c r="RH7" s="397"/>
      <c r="RI7" s="397"/>
      <c r="RJ7" s="397"/>
      <c r="RK7" s="397"/>
      <c r="RL7" s="397"/>
      <c r="RM7" s="397"/>
      <c r="RN7" s="397"/>
      <c r="RO7" s="397"/>
      <c r="RP7" s="397"/>
      <c r="RQ7" s="397"/>
      <c r="RR7" s="397"/>
      <c r="RS7" s="397"/>
      <c r="RT7" s="397"/>
      <c r="RU7" s="397"/>
      <c r="RV7" s="397"/>
      <c r="RW7" s="397"/>
      <c r="RX7" s="397"/>
      <c r="RY7" s="397"/>
      <c r="RZ7" s="397"/>
      <c r="SA7" s="397"/>
      <c r="SB7" s="397"/>
      <c r="SC7" s="397"/>
      <c r="SD7" s="397"/>
      <c r="SE7" s="397"/>
      <c r="SF7" s="397"/>
      <c r="SG7" s="397"/>
      <c r="SH7" s="397"/>
      <c r="SI7" s="397"/>
      <c r="SJ7" s="397"/>
      <c r="SK7" s="397"/>
      <c r="SL7" s="397"/>
      <c r="SM7" s="397"/>
      <c r="SN7" s="397"/>
      <c r="SO7" s="397"/>
      <c r="SP7" s="397"/>
      <c r="SQ7" s="397"/>
      <c r="SR7" s="397"/>
      <c r="SS7" s="397"/>
      <c r="ST7" s="397"/>
      <c r="SU7" s="397"/>
      <c r="SV7" s="397"/>
      <c r="SW7" s="397"/>
      <c r="SX7" s="397"/>
      <c r="SY7" s="397"/>
      <c r="SZ7" s="397"/>
      <c r="TA7" s="397"/>
      <c r="TB7" s="397"/>
      <c r="TC7" s="397"/>
      <c r="TD7" s="397"/>
      <c r="TE7" s="397"/>
      <c r="TF7" s="397"/>
      <c r="TG7" s="397"/>
      <c r="TH7" s="397"/>
      <c r="TI7" s="397"/>
      <c r="TJ7" s="397"/>
      <c r="TK7" s="397"/>
      <c r="TL7" s="397"/>
      <c r="TM7" s="397"/>
      <c r="TN7" s="397"/>
      <c r="TO7" s="397"/>
      <c r="TP7" s="397"/>
      <c r="TQ7" s="397"/>
      <c r="TR7" s="397"/>
      <c r="TS7" s="397"/>
      <c r="TT7" s="397"/>
      <c r="TU7" s="397"/>
      <c r="TV7" s="397"/>
      <c r="TW7" s="397"/>
      <c r="TX7" s="397"/>
      <c r="TY7" s="397"/>
      <c r="TZ7" s="397"/>
      <c r="UA7" s="397"/>
      <c r="UB7" s="397"/>
      <c r="UC7" s="397"/>
      <c r="UD7" s="397"/>
      <c r="UE7" s="397"/>
      <c r="UF7" s="397"/>
      <c r="UG7" s="397"/>
      <c r="UH7" s="397"/>
      <c r="UI7" s="397"/>
      <c r="UJ7" s="397"/>
      <c r="UK7" s="397"/>
      <c r="UL7" s="397"/>
      <c r="UM7" s="397"/>
      <c r="UN7" s="397"/>
      <c r="UO7" s="397"/>
      <c r="UP7" s="397"/>
      <c r="UQ7" s="397"/>
      <c r="UR7" s="397"/>
      <c r="US7" s="397"/>
      <c r="UT7" s="397"/>
      <c r="UU7" s="397"/>
      <c r="UV7" s="397"/>
      <c r="UW7" s="397"/>
      <c r="UX7" s="397"/>
      <c r="UY7" s="397"/>
      <c r="UZ7" s="397"/>
      <c r="VA7" s="397"/>
      <c r="VB7" s="397"/>
      <c r="VC7" s="397"/>
      <c r="VD7" s="397"/>
      <c r="VE7" s="397"/>
      <c r="VF7" s="397"/>
      <c r="VG7" s="397"/>
      <c r="VH7" s="397"/>
      <c r="VI7" s="397"/>
      <c r="VJ7" s="397"/>
      <c r="VK7" s="397"/>
      <c r="VL7" s="397"/>
      <c r="VM7" s="397"/>
      <c r="VN7" s="397"/>
      <c r="VO7" s="397"/>
      <c r="VP7" s="397"/>
      <c r="VQ7" s="397"/>
      <c r="VR7" s="397"/>
      <c r="VS7" s="397"/>
      <c r="VT7" s="397"/>
      <c r="VU7" s="397"/>
      <c r="VV7" s="397"/>
      <c r="VW7" s="397"/>
      <c r="VX7" s="397"/>
      <c r="VY7" s="397"/>
      <c r="VZ7" s="397"/>
      <c r="WA7" s="397"/>
      <c r="WB7" s="397"/>
      <c r="WC7" s="397"/>
      <c r="WD7" s="397"/>
      <c r="WE7" s="397"/>
      <c r="WF7" s="397"/>
      <c r="WG7" s="397"/>
      <c r="WH7" s="397"/>
      <c r="WI7" s="397"/>
      <c r="WJ7" s="397"/>
      <c r="WK7" s="397"/>
      <c r="WL7" s="397"/>
      <c r="WM7" s="397"/>
      <c r="WN7" s="397"/>
      <c r="WO7" s="397"/>
      <c r="WP7" s="397"/>
      <c r="WQ7" s="397"/>
      <c r="WR7" s="397"/>
      <c r="WS7" s="397"/>
      <c r="WT7" s="397"/>
      <c r="WU7" s="397"/>
      <c r="WV7" s="397"/>
      <c r="WW7" s="397"/>
      <c r="WX7" s="397"/>
      <c r="WY7" s="397"/>
      <c r="WZ7" s="397"/>
      <c r="XA7" s="397"/>
      <c r="XB7" s="397"/>
      <c r="XC7" s="397"/>
      <c r="XD7" s="397"/>
      <c r="XE7" s="397"/>
      <c r="XF7" s="397"/>
      <c r="XG7" s="397"/>
      <c r="XH7" s="397"/>
      <c r="XI7" s="397"/>
      <c r="XJ7" s="397"/>
      <c r="XK7" s="397"/>
      <c r="XL7" s="397"/>
      <c r="XM7" s="397"/>
      <c r="XN7" s="397"/>
      <c r="XO7" s="397"/>
      <c r="XP7" s="397"/>
      <c r="XQ7" s="397"/>
      <c r="XR7" s="397"/>
      <c r="XS7" s="397"/>
      <c r="XT7" s="397"/>
      <c r="XU7" s="397"/>
      <c r="XV7" s="397"/>
      <c r="XW7" s="397"/>
      <c r="XX7" s="397"/>
      <c r="XY7" s="397"/>
      <c r="XZ7" s="397"/>
      <c r="YA7" s="397"/>
      <c r="YB7" s="397"/>
      <c r="YC7" s="397"/>
      <c r="YD7" s="397"/>
      <c r="YE7" s="397"/>
      <c r="YF7" s="397"/>
      <c r="YG7" s="397"/>
      <c r="YH7" s="397"/>
      <c r="YI7" s="397"/>
      <c r="YJ7" s="397"/>
      <c r="YK7" s="397"/>
      <c r="YL7" s="397"/>
      <c r="YM7" s="397"/>
      <c r="YN7" s="397"/>
      <c r="YO7" s="397"/>
      <c r="YP7" s="397"/>
      <c r="YQ7" s="397"/>
      <c r="YR7" s="397"/>
      <c r="YS7" s="397"/>
      <c r="YT7" s="397"/>
      <c r="YU7" s="397"/>
      <c r="YV7" s="397"/>
      <c r="YW7" s="397"/>
      <c r="YX7" s="397"/>
      <c r="YY7" s="397"/>
      <c r="YZ7" s="397"/>
      <c r="ZA7" s="397"/>
      <c r="ZB7" s="397"/>
      <c r="ZC7" s="397"/>
      <c r="ZD7" s="397"/>
      <c r="ZE7" s="397"/>
      <c r="ZF7" s="397"/>
      <c r="ZG7" s="397"/>
      <c r="ZH7" s="397"/>
      <c r="ZI7" s="397"/>
      <c r="ZJ7" s="397"/>
      <c r="ZK7" s="397"/>
      <c r="ZL7" s="397"/>
      <c r="ZM7" s="397"/>
      <c r="ZN7" s="397"/>
      <c r="ZO7" s="397"/>
      <c r="ZP7" s="397"/>
      <c r="ZQ7" s="397"/>
      <c r="ZR7" s="397"/>
      <c r="ZS7" s="397"/>
      <c r="ZT7" s="397"/>
      <c r="ZU7" s="397"/>
      <c r="ZV7" s="397"/>
      <c r="ZW7" s="397"/>
      <c r="ZX7" s="397"/>
      <c r="ZY7" s="397"/>
      <c r="ZZ7" s="397"/>
      <c r="AAA7" s="397"/>
      <c r="AAB7" s="397"/>
      <c r="AAC7" s="397"/>
      <c r="AAD7" s="397"/>
      <c r="AAE7" s="397"/>
      <c r="AAF7" s="397"/>
      <c r="AAG7" s="397"/>
      <c r="AAH7" s="397"/>
      <c r="AAI7" s="397"/>
      <c r="AAJ7" s="397"/>
      <c r="AAK7" s="397"/>
      <c r="AAL7" s="397"/>
      <c r="AAM7" s="397"/>
      <c r="AAN7" s="397"/>
      <c r="AAO7" s="397"/>
      <c r="AAP7" s="397"/>
      <c r="AAQ7" s="397"/>
      <c r="AAR7" s="397"/>
      <c r="AAS7" s="397"/>
      <c r="AAT7" s="397"/>
      <c r="AAU7" s="397"/>
      <c r="AAV7" s="397"/>
      <c r="AAW7" s="397"/>
      <c r="AAX7" s="397"/>
      <c r="AAY7" s="397"/>
      <c r="AAZ7" s="397"/>
      <c r="ABA7" s="397"/>
      <c r="ABB7" s="397"/>
      <c r="ABC7" s="397"/>
      <c r="ABD7" s="397"/>
      <c r="ABE7" s="397"/>
      <c r="ABF7" s="397"/>
      <c r="ABG7" s="397"/>
      <c r="ABH7" s="397"/>
      <c r="ABI7" s="397"/>
      <c r="ABJ7" s="397"/>
      <c r="ABK7" s="397"/>
      <c r="ABL7" s="397"/>
      <c r="ABM7" s="397"/>
      <c r="ABN7" s="397"/>
      <c r="ABO7" s="397"/>
      <c r="ABP7" s="397"/>
      <c r="ABQ7" s="397"/>
      <c r="ABR7" s="397"/>
      <c r="ABS7" s="397"/>
      <c r="ABT7" s="397"/>
      <c r="ABU7" s="397"/>
      <c r="ABV7" s="397"/>
      <c r="ABW7" s="397"/>
      <c r="ABX7" s="397"/>
      <c r="ABY7" s="397"/>
      <c r="ABZ7" s="397"/>
      <c r="ACA7" s="397"/>
      <c r="ACB7" s="397"/>
      <c r="ACC7" s="397"/>
      <c r="ACD7" s="397"/>
      <c r="ACE7" s="397"/>
      <c r="ACF7" s="397"/>
      <c r="ACG7" s="397"/>
      <c r="ACH7" s="397"/>
      <c r="ACI7" s="397"/>
      <c r="ACJ7" s="397"/>
      <c r="ACK7" s="397"/>
      <c r="ACL7" s="397"/>
      <c r="ACM7" s="397"/>
      <c r="ACN7" s="397"/>
      <c r="ACO7" s="397"/>
      <c r="ACP7" s="397"/>
      <c r="ACQ7" s="397"/>
      <c r="ACR7" s="397"/>
      <c r="ACS7" s="397"/>
      <c r="ACT7" s="397"/>
      <c r="ACU7" s="397"/>
      <c r="ACV7" s="397"/>
      <c r="ACW7" s="397"/>
      <c r="ACX7" s="397"/>
      <c r="ACY7" s="397"/>
      <c r="ACZ7" s="397"/>
      <c r="ADA7" s="397"/>
      <c r="ADB7" s="397"/>
      <c r="ADC7" s="397"/>
      <c r="ADD7" s="397"/>
      <c r="ADE7" s="397"/>
      <c r="ADF7" s="397"/>
      <c r="ADG7" s="397"/>
      <c r="ADH7" s="397"/>
      <c r="ADI7" s="397"/>
      <c r="ADJ7" s="397"/>
      <c r="ADK7" s="397"/>
      <c r="ADL7" s="397"/>
      <c r="ADM7" s="397"/>
      <c r="ADN7" s="397"/>
      <c r="ADO7" s="397"/>
      <c r="ADP7" s="397"/>
      <c r="ADQ7" s="397"/>
      <c r="ADR7" s="397"/>
      <c r="ADS7" s="397"/>
      <c r="ADT7" s="397"/>
      <c r="ADU7" s="397"/>
      <c r="ADV7" s="397"/>
      <c r="ADW7" s="397"/>
      <c r="ADX7" s="397"/>
      <c r="ADY7" s="397"/>
      <c r="ADZ7" s="397"/>
      <c r="AEA7" s="397"/>
      <c r="AEB7" s="397"/>
      <c r="AEC7" s="397"/>
      <c r="AED7" s="397"/>
      <c r="AEE7" s="397"/>
      <c r="AEF7" s="397"/>
      <c r="AEG7" s="397"/>
      <c r="AEH7" s="397"/>
      <c r="AEI7" s="397"/>
      <c r="AEJ7" s="397"/>
      <c r="AEK7" s="397"/>
      <c r="AEL7" s="397"/>
      <c r="AEM7" s="397"/>
      <c r="AEN7" s="397"/>
      <c r="AEO7" s="397"/>
      <c r="AEP7" s="397"/>
      <c r="AEQ7" s="397"/>
      <c r="AER7" s="397"/>
      <c r="AES7" s="397"/>
      <c r="AET7" s="397"/>
      <c r="AEU7" s="397"/>
      <c r="AEV7" s="397"/>
      <c r="AEW7" s="397"/>
      <c r="AEX7" s="397"/>
      <c r="AEY7" s="397"/>
      <c r="AEZ7" s="397"/>
      <c r="AFA7" s="397"/>
      <c r="AFB7" s="397"/>
      <c r="AFC7" s="397"/>
      <c r="AFD7" s="397"/>
      <c r="AFE7" s="397"/>
      <c r="AFF7" s="397"/>
      <c r="AFG7" s="397"/>
      <c r="AFH7" s="397"/>
      <c r="AFI7" s="397"/>
      <c r="AFJ7" s="397"/>
      <c r="AFK7" s="397"/>
      <c r="AFL7" s="397"/>
      <c r="AFM7" s="397"/>
      <c r="AFN7" s="397"/>
      <c r="AFO7" s="397"/>
      <c r="AFP7" s="397"/>
      <c r="AFQ7" s="397"/>
      <c r="AFR7" s="397"/>
      <c r="AFS7" s="397"/>
      <c r="AFT7" s="397"/>
      <c r="AFU7" s="397"/>
      <c r="AFV7" s="397"/>
      <c r="AFW7" s="397"/>
      <c r="AFX7" s="397"/>
      <c r="AFY7" s="397"/>
      <c r="AFZ7" s="397"/>
      <c r="AGA7" s="397"/>
      <c r="AGB7" s="397"/>
      <c r="AGC7" s="397"/>
      <c r="AGD7" s="397"/>
      <c r="AGE7" s="397"/>
      <c r="AGF7" s="397"/>
      <c r="AGG7" s="397"/>
      <c r="AGH7" s="397"/>
      <c r="AGI7" s="397"/>
      <c r="AGJ7" s="397"/>
      <c r="AGK7" s="397"/>
      <c r="AGL7" s="397"/>
      <c r="AGM7" s="397"/>
      <c r="AGN7" s="397"/>
      <c r="AGO7" s="397"/>
      <c r="AGP7" s="397"/>
      <c r="AGQ7" s="397"/>
      <c r="AGR7" s="397"/>
      <c r="AGS7" s="397"/>
      <c r="AGT7" s="397"/>
      <c r="AGU7" s="397"/>
      <c r="AGV7" s="397"/>
      <c r="AGW7" s="397"/>
      <c r="AGX7" s="397"/>
      <c r="AGY7" s="397"/>
      <c r="AGZ7" s="397"/>
      <c r="AHA7" s="397"/>
      <c r="AHB7" s="397"/>
      <c r="AHC7" s="397"/>
      <c r="AHD7" s="397"/>
      <c r="AHE7" s="397"/>
      <c r="AHF7" s="397"/>
      <c r="AHG7" s="397"/>
      <c r="AHH7" s="397"/>
      <c r="AHI7" s="397"/>
      <c r="AHJ7" s="397"/>
      <c r="AHK7" s="397"/>
      <c r="AHL7" s="397"/>
      <c r="AHM7" s="397"/>
      <c r="AHN7" s="397"/>
      <c r="AHO7" s="397"/>
      <c r="AHP7" s="397"/>
      <c r="AHQ7" s="397"/>
      <c r="AHR7" s="397"/>
      <c r="AHS7" s="397"/>
      <c r="AHT7" s="397"/>
      <c r="AHU7" s="397"/>
      <c r="AHV7" s="397"/>
      <c r="AHW7" s="397"/>
      <c r="AHX7" s="397"/>
      <c r="AHY7" s="397"/>
      <c r="AHZ7" s="397"/>
      <c r="AIA7" s="397"/>
      <c r="AIB7" s="397"/>
      <c r="AIC7" s="397"/>
      <c r="AID7" s="397"/>
      <c r="AIE7" s="397"/>
      <c r="AIF7" s="397"/>
      <c r="AIG7" s="397"/>
      <c r="AIH7" s="397"/>
      <c r="AII7" s="397"/>
      <c r="AIJ7" s="397"/>
      <c r="AIK7" s="397"/>
      <c r="AIL7" s="397"/>
      <c r="AIM7" s="397"/>
      <c r="AIN7" s="397"/>
      <c r="AIO7" s="397"/>
      <c r="AIP7" s="397"/>
      <c r="AIQ7" s="397"/>
      <c r="AIR7" s="397"/>
      <c r="AIS7" s="397"/>
      <c r="AIT7" s="397"/>
      <c r="AIU7" s="397"/>
      <c r="AIV7" s="397"/>
      <c r="AIW7" s="397"/>
      <c r="AIX7" s="397"/>
      <c r="AIY7" s="397"/>
      <c r="AIZ7" s="397"/>
      <c r="AJA7" s="397"/>
      <c r="AJB7" s="397"/>
      <c r="AJC7" s="397"/>
      <c r="AJD7" s="397"/>
      <c r="AJE7" s="397"/>
      <c r="AJF7" s="397"/>
      <c r="AJG7" s="397"/>
      <c r="AJH7" s="397"/>
      <c r="AJI7" s="397"/>
      <c r="AJJ7" s="397"/>
      <c r="AJK7" s="397"/>
      <c r="AJL7" s="397"/>
      <c r="AJM7" s="397"/>
      <c r="AJN7" s="397"/>
      <c r="AJO7" s="397"/>
      <c r="AJP7" s="397"/>
      <c r="AJQ7" s="397"/>
      <c r="AJR7" s="397"/>
      <c r="AJS7" s="397"/>
      <c r="AJT7" s="397"/>
      <c r="AJU7" s="397"/>
      <c r="AJV7" s="397"/>
      <c r="AJW7" s="397"/>
      <c r="AJX7" s="397"/>
      <c r="AJY7" s="397"/>
      <c r="AJZ7" s="397"/>
      <c r="AKA7" s="397"/>
      <c r="AKB7" s="397"/>
      <c r="AKC7" s="397"/>
      <c r="AKD7" s="397"/>
      <c r="AKE7" s="397"/>
      <c r="AKF7" s="397"/>
      <c r="AKG7" s="397"/>
      <c r="AKH7" s="397"/>
      <c r="AKI7" s="397"/>
      <c r="AKJ7" s="397"/>
      <c r="AKK7" s="397"/>
      <c r="AKL7" s="397"/>
      <c r="AKM7" s="397"/>
      <c r="AKN7" s="397"/>
      <c r="AKO7" s="397"/>
      <c r="AKP7" s="397"/>
      <c r="AKQ7" s="397"/>
      <c r="AKR7" s="397"/>
      <c r="AKS7" s="397"/>
      <c r="AKT7" s="397"/>
      <c r="AKU7" s="397"/>
      <c r="AKV7" s="397"/>
      <c r="AKW7" s="397"/>
      <c r="AKX7" s="397"/>
      <c r="AKY7" s="397"/>
      <c r="AKZ7" s="397"/>
      <c r="ALA7" s="397"/>
      <c r="ALB7" s="397"/>
      <c r="ALC7" s="397"/>
      <c r="ALD7" s="397"/>
      <c r="ALE7" s="397"/>
      <c r="ALF7" s="397"/>
      <c r="ALG7" s="397"/>
      <c r="ALH7" s="397"/>
      <c r="ALI7" s="397"/>
      <c r="ALJ7" s="397"/>
      <c r="ALK7" s="397"/>
      <c r="ALL7" s="397"/>
      <c r="ALM7" s="397"/>
      <c r="ALN7" s="397"/>
      <c r="ALO7" s="397"/>
      <c r="ALP7" s="397"/>
      <c r="ALQ7" s="397"/>
      <c r="ALR7" s="397"/>
      <c r="ALS7" s="397"/>
      <c r="ALT7" s="397"/>
      <c r="ALU7" s="397"/>
      <c r="ALV7" s="397"/>
      <c r="ALW7" s="397"/>
      <c r="ALX7" s="397"/>
      <c r="ALY7" s="397"/>
      <c r="ALZ7" s="397"/>
      <c r="AMA7" s="397"/>
      <c r="AMB7" s="397"/>
      <c r="AMC7" s="397"/>
      <c r="AMD7" s="397"/>
      <c r="AME7" s="397"/>
      <c r="AMF7" s="397"/>
      <c r="AMG7" s="397"/>
      <c r="AMH7" s="397"/>
      <c r="AMI7" s="397"/>
      <c r="AMJ7" s="397"/>
      <c r="AMK7" s="397"/>
      <c r="AML7" s="397"/>
      <c r="AMM7" s="397"/>
      <c r="AMN7" s="397"/>
      <c r="AMO7" s="397"/>
      <c r="AMP7" s="397"/>
      <c r="AMQ7" s="397"/>
      <c r="AMR7" s="397"/>
      <c r="AMS7" s="397"/>
      <c r="AMT7" s="397"/>
      <c r="AMU7" s="397"/>
      <c r="AMV7" s="397"/>
      <c r="AMW7" s="397"/>
      <c r="AMX7" s="397"/>
      <c r="AMY7" s="397"/>
      <c r="AMZ7" s="397"/>
      <c r="ANA7" s="397"/>
      <c r="ANB7" s="397"/>
      <c r="ANC7" s="397"/>
      <c r="AND7" s="397"/>
      <c r="ANE7" s="397"/>
      <c r="ANF7" s="397"/>
      <c r="ANG7" s="397"/>
      <c r="ANH7" s="397"/>
      <c r="ANI7" s="397"/>
      <c r="ANJ7" s="397"/>
      <c r="ANK7" s="397"/>
      <c r="ANL7" s="397"/>
      <c r="ANM7" s="397"/>
      <c r="ANN7" s="397"/>
      <c r="ANO7" s="397"/>
      <c r="ANP7" s="397"/>
      <c r="ANQ7" s="397"/>
      <c r="ANR7" s="397"/>
      <c r="ANS7" s="397"/>
      <c r="ANT7" s="397"/>
      <c r="ANU7" s="397"/>
      <c r="ANV7" s="397"/>
      <c r="ANW7" s="397"/>
      <c r="ANX7" s="397"/>
      <c r="ANY7" s="397"/>
      <c r="ANZ7" s="397"/>
      <c r="AOA7" s="397"/>
      <c r="AOB7" s="397"/>
      <c r="AOC7" s="397"/>
      <c r="AOD7" s="397"/>
      <c r="AOE7" s="397"/>
      <c r="AOF7" s="397"/>
      <c r="AOG7" s="397"/>
      <c r="AOH7" s="397"/>
      <c r="AOI7" s="397"/>
      <c r="AOJ7" s="397"/>
      <c r="AOK7" s="397"/>
      <c r="AOL7" s="397"/>
      <c r="AOM7" s="397"/>
      <c r="AON7" s="397"/>
      <c r="AOO7" s="397"/>
      <c r="AOP7" s="397"/>
      <c r="AOQ7" s="397"/>
      <c r="AOR7" s="397"/>
      <c r="AOS7" s="397"/>
      <c r="AOT7" s="397"/>
      <c r="AOU7" s="397"/>
      <c r="AOV7" s="397"/>
      <c r="AOW7" s="397"/>
      <c r="AOX7" s="397"/>
      <c r="AOY7" s="397"/>
      <c r="AOZ7" s="397"/>
      <c r="APA7" s="397"/>
      <c r="APB7" s="397"/>
      <c r="APC7" s="397"/>
      <c r="APD7" s="397"/>
      <c r="APE7" s="397"/>
      <c r="APF7" s="397"/>
      <c r="APG7" s="397"/>
      <c r="APH7" s="397"/>
      <c r="API7" s="397"/>
      <c r="APJ7" s="397"/>
      <c r="APK7" s="397"/>
      <c r="APL7" s="397"/>
      <c r="APM7" s="397"/>
      <c r="APN7" s="397"/>
      <c r="APO7" s="397"/>
      <c r="APP7" s="397"/>
      <c r="APQ7" s="397"/>
      <c r="APR7" s="397"/>
      <c r="APS7" s="397"/>
      <c r="APT7" s="397"/>
      <c r="APU7" s="397"/>
      <c r="APV7" s="397"/>
      <c r="APW7" s="397"/>
      <c r="APX7" s="397"/>
      <c r="APY7" s="397"/>
      <c r="APZ7" s="397"/>
      <c r="AQA7" s="397"/>
      <c r="AQB7" s="397"/>
      <c r="AQC7" s="397"/>
      <c r="AQD7" s="397"/>
      <c r="AQE7" s="397"/>
      <c r="AQF7" s="397"/>
      <c r="AQG7" s="397"/>
      <c r="AQH7" s="397"/>
      <c r="AQI7" s="397"/>
      <c r="AQJ7" s="397"/>
      <c r="AQK7" s="397"/>
      <c r="AQL7" s="397"/>
      <c r="AQM7" s="397"/>
      <c r="AQN7" s="397"/>
      <c r="AQO7" s="397"/>
      <c r="AQP7" s="397"/>
      <c r="AQQ7" s="397"/>
      <c r="AQR7" s="397"/>
      <c r="AQS7" s="397"/>
      <c r="AQT7" s="397"/>
      <c r="AQU7" s="397"/>
      <c r="AQV7" s="397"/>
      <c r="AQW7" s="397"/>
      <c r="AQX7" s="397"/>
      <c r="AQY7" s="397"/>
      <c r="AQZ7" s="397"/>
      <c r="ARA7" s="397"/>
      <c r="ARB7" s="397"/>
      <c r="ARC7" s="397"/>
      <c r="ARD7" s="397"/>
      <c r="ARE7" s="397"/>
      <c r="ARF7" s="397"/>
      <c r="ARG7" s="397"/>
      <c r="ARH7" s="397"/>
      <c r="ARI7" s="397"/>
      <c r="ARJ7" s="397"/>
      <c r="ARK7" s="397"/>
      <c r="ARL7" s="397"/>
      <c r="ARM7" s="397"/>
      <c r="ARN7" s="397"/>
      <c r="ARO7" s="397"/>
      <c r="ARP7" s="397"/>
      <c r="ARQ7" s="397"/>
      <c r="ARR7" s="397"/>
      <c r="ARS7" s="397"/>
      <c r="ART7" s="397"/>
      <c r="ARU7" s="397"/>
      <c r="ARV7" s="397"/>
      <c r="ARW7" s="397"/>
      <c r="ARX7" s="397"/>
      <c r="ARY7" s="397"/>
      <c r="ARZ7" s="397"/>
      <c r="ASA7" s="397"/>
      <c r="ASB7" s="397"/>
      <c r="ASC7" s="397"/>
      <c r="ASD7" s="397"/>
      <c r="ASE7" s="397"/>
      <c r="ASF7" s="397"/>
      <c r="ASG7" s="397"/>
      <c r="ASH7" s="397"/>
      <c r="ASI7" s="397"/>
      <c r="ASJ7" s="397"/>
      <c r="ASK7" s="397"/>
      <c r="ASL7" s="397"/>
      <c r="ASM7" s="397"/>
      <c r="ASN7" s="397"/>
      <c r="ASO7" s="397"/>
      <c r="ASP7" s="397"/>
      <c r="ASQ7" s="397"/>
      <c r="ASR7" s="397"/>
      <c r="ASS7" s="397"/>
      <c r="AST7" s="397"/>
      <c r="ASU7" s="397"/>
      <c r="ASV7" s="397"/>
      <c r="ASW7" s="397"/>
      <c r="ASX7" s="397"/>
      <c r="ASY7" s="397"/>
      <c r="ASZ7" s="397"/>
      <c r="ATA7" s="397"/>
      <c r="ATB7" s="397"/>
      <c r="ATC7" s="397"/>
      <c r="ATD7" s="397"/>
      <c r="ATE7" s="397"/>
      <c r="ATF7" s="397"/>
      <c r="ATG7" s="397"/>
      <c r="ATH7" s="397"/>
      <c r="ATI7" s="397"/>
      <c r="ATJ7" s="397"/>
      <c r="ATK7" s="397"/>
      <c r="ATL7" s="397"/>
      <c r="ATM7" s="397"/>
      <c r="ATN7" s="397"/>
      <c r="ATO7" s="397"/>
      <c r="ATP7" s="397"/>
      <c r="ATQ7" s="397"/>
      <c r="ATR7" s="397"/>
      <c r="ATS7" s="397"/>
      <c r="ATT7" s="397"/>
      <c r="ATU7" s="397"/>
      <c r="ATV7" s="397"/>
      <c r="ATW7" s="397"/>
      <c r="ATX7" s="397"/>
      <c r="ATY7" s="397"/>
      <c r="ATZ7" s="397"/>
      <c r="AUA7" s="397"/>
      <c r="AUB7" s="397"/>
      <c r="AUC7" s="397"/>
      <c r="AUD7" s="397"/>
      <c r="AUE7" s="397"/>
      <c r="AUF7" s="397"/>
      <c r="AUG7" s="397"/>
      <c r="AUH7" s="397"/>
      <c r="AUI7" s="397"/>
      <c r="AUJ7" s="397"/>
      <c r="AUK7" s="397"/>
      <c r="AUL7" s="397"/>
      <c r="AUM7" s="397"/>
      <c r="AUN7" s="397"/>
      <c r="AUO7" s="397"/>
      <c r="AUP7" s="397"/>
      <c r="AUQ7" s="397"/>
      <c r="AUR7" s="397"/>
      <c r="AUS7" s="397"/>
      <c r="AUT7" s="397"/>
      <c r="AUU7" s="397"/>
      <c r="AUV7" s="397"/>
      <c r="AUW7" s="397"/>
      <c r="AUX7" s="397"/>
      <c r="AUY7" s="397"/>
      <c r="AUZ7" s="397"/>
      <c r="AVA7" s="397"/>
      <c r="AVB7" s="397"/>
      <c r="AVC7" s="397"/>
      <c r="AVD7" s="397"/>
      <c r="AVE7" s="397"/>
      <c r="AVF7" s="397"/>
      <c r="AVG7" s="397"/>
      <c r="AVH7" s="397"/>
      <c r="AVI7" s="397"/>
      <c r="AVJ7" s="397"/>
      <c r="AVK7" s="397"/>
      <c r="AVL7" s="397"/>
      <c r="AVM7" s="397"/>
      <c r="AVN7" s="397"/>
      <c r="AVO7" s="397"/>
      <c r="AVP7" s="397"/>
      <c r="AVQ7" s="397"/>
      <c r="AVR7" s="397"/>
      <c r="AVS7" s="397"/>
      <c r="AVT7" s="397"/>
      <c r="AVU7" s="397"/>
      <c r="AVV7" s="397"/>
      <c r="AVW7" s="397"/>
      <c r="AVX7" s="397"/>
      <c r="AVY7" s="397"/>
      <c r="AVZ7" s="397"/>
      <c r="AWA7" s="397"/>
      <c r="AWB7" s="397"/>
      <c r="AWC7" s="397"/>
      <c r="AWD7" s="397"/>
      <c r="AWE7" s="397"/>
      <c r="AWF7" s="397"/>
      <c r="AWG7" s="397"/>
      <c r="AWH7" s="397"/>
      <c r="AWI7" s="397"/>
      <c r="AWJ7" s="397"/>
      <c r="AWK7" s="397"/>
      <c r="AWL7" s="397"/>
      <c r="AWM7" s="397"/>
      <c r="AWN7" s="397"/>
      <c r="AWO7" s="397"/>
      <c r="AWP7" s="397"/>
      <c r="AWQ7" s="397"/>
      <c r="AWR7" s="397"/>
      <c r="AWS7" s="397"/>
      <c r="AWT7" s="397"/>
      <c r="AWU7" s="397"/>
      <c r="AWV7" s="397"/>
      <c r="AWW7" s="397"/>
      <c r="AWX7" s="397"/>
      <c r="AWY7" s="397"/>
      <c r="AWZ7" s="397"/>
      <c r="AXA7" s="397"/>
      <c r="AXB7" s="397"/>
      <c r="AXC7" s="397"/>
      <c r="AXD7" s="397"/>
      <c r="AXE7" s="397"/>
      <c r="AXF7" s="397"/>
      <c r="AXG7" s="397"/>
      <c r="AXH7" s="397"/>
      <c r="AXI7" s="397"/>
      <c r="AXJ7" s="397"/>
      <c r="AXK7" s="397"/>
      <c r="AXL7" s="397"/>
      <c r="AXM7" s="397"/>
      <c r="AXN7" s="397"/>
      <c r="AXO7" s="397"/>
      <c r="AXP7" s="397"/>
      <c r="AXQ7" s="397"/>
      <c r="AXR7" s="397"/>
      <c r="AXS7" s="397"/>
      <c r="AXT7" s="397"/>
      <c r="AXU7" s="397"/>
      <c r="AXV7" s="397"/>
      <c r="AXW7" s="397"/>
      <c r="AXX7" s="397"/>
      <c r="AXY7" s="397"/>
      <c r="AXZ7" s="397"/>
      <c r="AYA7" s="397"/>
      <c r="AYB7" s="397"/>
      <c r="AYC7" s="397"/>
      <c r="AYD7" s="397"/>
      <c r="AYE7" s="397"/>
      <c r="AYF7" s="397"/>
      <c r="AYG7" s="397"/>
      <c r="AYH7" s="397"/>
      <c r="AYI7" s="397"/>
      <c r="AYJ7" s="397"/>
      <c r="AYK7" s="397"/>
      <c r="AYL7" s="397"/>
      <c r="AYM7" s="397"/>
      <c r="AYN7" s="397"/>
      <c r="AYO7" s="397"/>
      <c r="AYP7" s="397"/>
      <c r="AYQ7" s="397"/>
      <c r="AYR7" s="397"/>
      <c r="AYS7" s="397"/>
      <c r="AYT7" s="397"/>
      <c r="AYU7" s="397"/>
      <c r="AYV7" s="397"/>
      <c r="AYW7" s="397"/>
      <c r="AYX7" s="397"/>
      <c r="AYY7" s="397"/>
      <c r="AYZ7" s="397"/>
      <c r="AZA7" s="397"/>
      <c r="AZB7" s="397"/>
      <c r="AZC7" s="397"/>
      <c r="AZD7" s="397"/>
      <c r="AZE7" s="397"/>
      <c r="AZF7" s="397"/>
      <c r="AZG7" s="397"/>
      <c r="AZH7" s="397"/>
      <c r="AZI7" s="397"/>
      <c r="AZJ7" s="397"/>
      <c r="AZK7" s="397"/>
      <c r="AZL7" s="397"/>
      <c r="AZM7" s="397"/>
      <c r="AZN7" s="397"/>
      <c r="AZO7" s="397"/>
      <c r="AZP7" s="397"/>
      <c r="AZQ7" s="397"/>
      <c r="AZR7" s="397"/>
      <c r="AZS7" s="397"/>
      <c r="AZT7" s="397"/>
      <c r="AZU7" s="397"/>
      <c r="AZV7" s="397"/>
      <c r="AZW7" s="397"/>
      <c r="AZX7" s="397"/>
      <c r="AZY7" s="397"/>
      <c r="AZZ7" s="397"/>
      <c r="BAA7" s="397"/>
      <c r="BAB7" s="397"/>
      <c r="BAC7" s="397"/>
      <c r="BAD7" s="397"/>
      <c r="BAE7" s="397"/>
      <c r="BAF7" s="397"/>
      <c r="BAG7" s="397"/>
      <c r="BAH7" s="397"/>
      <c r="BAI7" s="397"/>
      <c r="BAJ7" s="397"/>
      <c r="BAK7" s="397"/>
      <c r="BAL7" s="397"/>
      <c r="BAM7" s="397"/>
      <c r="BAN7" s="397"/>
      <c r="BAO7" s="397"/>
      <c r="BAP7" s="397"/>
      <c r="BAQ7" s="397"/>
      <c r="BAR7" s="397"/>
      <c r="BAS7" s="397"/>
      <c r="BAT7" s="397"/>
      <c r="BAU7" s="397"/>
      <c r="BAV7" s="397"/>
      <c r="BAW7" s="397"/>
      <c r="BAX7" s="397"/>
      <c r="BAY7" s="397"/>
      <c r="BAZ7" s="397"/>
      <c r="BBA7" s="397"/>
      <c r="BBB7" s="397"/>
      <c r="BBC7" s="397"/>
      <c r="BBD7" s="397"/>
      <c r="BBE7" s="397"/>
      <c r="BBF7" s="397"/>
      <c r="BBG7" s="397"/>
      <c r="BBH7" s="397"/>
      <c r="BBI7" s="397"/>
      <c r="BBJ7" s="397"/>
      <c r="BBK7" s="397"/>
      <c r="BBL7" s="397"/>
      <c r="BBM7" s="397"/>
      <c r="BBN7" s="397"/>
      <c r="BBO7" s="397"/>
      <c r="BBP7" s="397"/>
      <c r="BBQ7" s="397"/>
      <c r="BBR7" s="397"/>
      <c r="BBS7" s="397"/>
      <c r="BBT7" s="397"/>
      <c r="BBU7" s="397"/>
      <c r="BBV7" s="397"/>
      <c r="BBW7" s="397"/>
      <c r="BBX7" s="397"/>
      <c r="BBY7" s="397"/>
      <c r="BBZ7" s="397"/>
      <c r="BCA7" s="397"/>
      <c r="BCB7" s="397"/>
      <c r="BCC7" s="397"/>
      <c r="BCD7" s="397"/>
      <c r="BCE7" s="397"/>
      <c r="BCF7" s="397"/>
      <c r="BCG7" s="397"/>
      <c r="BCH7" s="397"/>
      <c r="BCI7" s="397"/>
      <c r="BCJ7" s="397"/>
      <c r="BCK7" s="397"/>
      <c r="BCL7" s="397"/>
      <c r="BCM7" s="397"/>
      <c r="BCN7" s="397"/>
      <c r="BCO7" s="397"/>
      <c r="BCP7" s="397"/>
      <c r="BCQ7" s="397"/>
      <c r="BCR7" s="397"/>
      <c r="BCS7" s="397"/>
      <c r="BCT7" s="397"/>
      <c r="BCU7" s="397"/>
      <c r="BCV7" s="397"/>
      <c r="BCW7" s="397"/>
      <c r="BCX7" s="397"/>
      <c r="BCY7" s="397"/>
      <c r="BCZ7" s="397"/>
      <c r="BDA7" s="397"/>
      <c r="BDB7" s="397"/>
      <c r="BDC7" s="397"/>
      <c r="BDD7" s="397"/>
      <c r="BDE7" s="397"/>
      <c r="BDF7" s="397"/>
      <c r="BDG7" s="397"/>
      <c r="BDH7" s="397"/>
      <c r="BDI7" s="397"/>
      <c r="BDJ7" s="397"/>
      <c r="BDK7" s="397"/>
      <c r="BDL7" s="397"/>
      <c r="BDM7" s="397"/>
      <c r="BDN7" s="397"/>
      <c r="BDO7" s="397"/>
      <c r="BDP7" s="397"/>
      <c r="BDQ7" s="397"/>
      <c r="BDR7" s="397"/>
      <c r="BDS7" s="397"/>
      <c r="BDT7" s="397"/>
      <c r="BDU7" s="397"/>
      <c r="BDV7" s="397"/>
      <c r="BDW7" s="397"/>
      <c r="BDX7" s="397"/>
      <c r="BDY7" s="397"/>
      <c r="BDZ7" s="397"/>
      <c r="BEA7" s="397"/>
      <c r="BEB7" s="397"/>
      <c r="BEC7" s="397"/>
      <c r="BED7" s="397"/>
      <c r="BEE7" s="397"/>
      <c r="BEF7" s="397"/>
      <c r="BEG7" s="397"/>
      <c r="BEH7" s="397"/>
      <c r="BEI7" s="397"/>
      <c r="BEJ7" s="397"/>
      <c r="BEK7" s="397"/>
      <c r="BEL7" s="397"/>
      <c r="BEM7" s="397"/>
      <c r="BEN7" s="397"/>
      <c r="BEO7" s="397"/>
      <c r="BEP7" s="397"/>
      <c r="BEQ7" s="397"/>
      <c r="BER7" s="397"/>
      <c r="BES7" s="397"/>
      <c r="BET7" s="397"/>
      <c r="BEU7" s="397"/>
      <c r="BEV7" s="397"/>
      <c r="BEW7" s="397"/>
      <c r="BEX7" s="397"/>
      <c r="BEY7" s="397"/>
      <c r="BEZ7" s="397"/>
      <c r="BFA7" s="397"/>
      <c r="BFB7" s="397"/>
      <c r="BFC7" s="397"/>
      <c r="BFD7" s="397"/>
      <c r="BFE7" s="397"/>
      <c r="BFF7" s="397"/>
      <c r="BFG7" s="397"/>
      <c r="BFH7" s="397"/>
      <c r="BFI7" s="397"/>
      <c r="BFJ7" s="397"/>
      <c r="BFK7" s="397"/>
      <c r="BFL7" s="397"/>
      <c r="BFM7" s="397"/>
      <c r="BFN7" s="397"/>
      <c r="BFO7" s="397"/>
      <c r="BFP7" s="397"/>
      <c r="BFQ7" s="397"/>
      <c r="BFR7" s="397"/>
      <c r="BFS7" s="397"/>
      <c r="BFT7" s="397"/>
      <c r="BFU7" s="397"/>
      <c r="BFV7" s="397"/>
      <c r="BFW7" s="397"/>
      <c r="BFX7" s="397"/>
      <c r="BFY7" s="397"/>
      <c r="BFZ7" s="397"/>
      <c r="BGA7" s="397"/>
      <c r="BGB7" s="397"/>
      <c r="BGC7" s="397"/>
      <c r="BGD7" s="397"/>
      <c r="BGE7" s="397"/>
      <c r="BGF7" s="397"/>
      <c r="BGG7" s="397"/>
      <c r="BGH7" s="397"/>
      <c r="BGI7" s="397"/>
      <c r="BGJ7" s="397"/>
      <c r="BGK7" s="397"/>
      <c r="BGL7" s="397"/>
      <c r="BGM7" s="397"/>
      <c r="BGN7" s="397"/>
      <c r="BGO7" s="397"/>
      <c r="BGP7" s="397"/>
      <c r="BGQ7" s="397"/>
      <c r="BGR7" s="397"/>
      <c r="BGS7" s="397"/>
      <c r="BGT7" s="397"/>
      <c r="BGU7" s="397"/>
      <c r="BGV7" s="397"/>
      <c r="BGW7" s="397"/>
      <c r="BGX7" s="397"/>
      <c r="BGY7" s="397"/>
      <c r="BGZ7" s="397"/>
      <c r="BHA7" s="397"/>
      <c r="BHB7" s="397"/>
      <c r="BHC7" s="397"/>
      <c r="BHD7" s="397"/>
      <c r="BHE7" s="397"/>
      <c r="BHF7" s="397"/>
      <c r="BHG7" s="397"/>
      <c r="BHH7" s="397"/>
      <c r="BHI7" s="397"/>
      <c r="BHJ7" s="397"/>
      <c r="BHK7" s="397"/>
      <c r="BHL7" s="397"/>
      <c r="BHM7" s="397"/>
      <c r="BHN7" s="397"/>
      <c r="BHO7" s="397"/>
      <c r="BHP7" s="397"/>
      <c r="BHQ7" s="397"/>
      <c r="BHR7" s="397"/>
      <c r="BHS7" s="397"/>
      <c r="BHT7" s="397"/>
      <c r="BHU7" s="397"/>
      <c r="BHV7" s="397"/>
      <c r="BHW7" s="397"/>
      <c r="BHX7" s="397"/>
      <c r="BHY7" s="397"/>
      <c r="BHZ7" s="397"/>
      <c r="BIA7" s="397"/>
      <c r="BIB7" s="397"/>
      <c r="BIC7" s="397"/>
      <c r="BID7" s="397"/>
      <c r="BIE7" s="397"/>
      <c r="BIF7" s="397"/>
      <c r="BIG7" s="397"/>
      <c r="BIH7" s="397"/>
      <c r="BII7" s="397"/>
      <c r="BIJ7" s="397"/>
      <c r="BIK7" s="397"/>
      <c r="BIL7" s="397"/>
      <c r="BIM7" s="397"/>
      <c r="BIN7" s="397"/>
      <c r="BIO7" s="397"/>
      <c r="BIP7" s="397"/>
      <c r="BIQ7" s="397"/>
      <c r="BIR7" s="397"/>
      <c r="BIS7" s="397"/>
      <c r="BIT7" s="397"/>
      <c r="BIU7" s="397"/>
      <c r="BIV7" s="397"/>
      <c r="BIW7" s="397"/>
      <c r="BIX7" s="397"/>
      <c r="BIY7" s="397"/>
      <c r="BIZ7" s="397"/>
      <c r="BJA7" s="397"/>
      <c r="BJB7" s="397"/>
      <c r="BJC7" s="397"/>
      <c r="BJD7" s="397"/>
      <c r="BJE7" s="397"/>
      <c r="BJF7" s="397"/>
      <c r="BJG7" s="397"/>
      <c r="BJH7" s="397"/>
      <c r="BJI7" s="397"/>
      <c r="BJJ7" s="397"/>
      <c r="BJK7" s="397"/>
      <c r="BJL7" s="397"/>
      <c r="BJM7" s="397"/>
      <c r="BJN7" s="397"/>
      <c r="BJO7" s="397"/>
      <c r="BJP7" s="397"/>
      <c r="BJQ7" s="397"/>
      <c r="BJR7" s="397"/>
      <c r="BJS7" s="397"/>
      <c r="BJT7" s="397"/>
      <c r="BJU7" s="397"/>
      <c r="BJV7" s="397"/>
      <c r="BJW7" s="397"/>
      <c r="BJX7" s="397"/>
      <c r="BJY7" s="397"/>
      <c r="BJZ7" s="397"/>
      <c r="BKA7" s="397"/>
      <c r="BKB7" s="397"/>
      <c r="BKC7" s="397"/>
      <c r="BKD7" s="397"/>
      <c r="BKE7" s="397"/>
      <c r="BKF7" s="397"/>
      <c r="BKG7" s="397"/>
      <c r="BKH7" s="397"/>
      <c r="BKI7" s="397"/>
      <c r="BKJ7" s="397"/>
      <c r="BKK7" s="397"/>
      <c r="BKL7" s="397"/>
      <c r="BKM7" s="397"/>
      <c r="BKN7" s="397"/>
      <c r="BKO7" s="397"/>
      <c r="BKP7" s="397"/>
      <c r="BKQ7" s="397"/>
      <c r="BKR7" s="397"/>
      <c r="BKS7" s="397"/>
      <c r="BKT7" s="397"/>
      <c r="BKU7" s="397"/>
      <c r="BKV7" s="397"/>
      <c r="BKW7" s="397"/>
      <c r="BKX7" s="397"/>
      <c r="BKY7" s="397"/>
      <c r="BKZ7" s="397"/>
      <c r="BLA7" s="397"/>
      <c r="BLB7" s="397"/>
      <c r="BLC7" s="397"/>
      <c r="BLD7" s="397"/>
      <c r="BLE7" s="397"/>
      <c r="BLF7" s="397"/>
      <c r="BLG7" s="397"/>
      <c r="BLH7" s="397"/>
      <c r="BLI7" s="397"/>
      <c r="BLJ7" s="397"/>
      <c r="BLK7" s="397"/>
      <c r="BLL7" s="397"/>
      <c r="BLM7" s="397"/>
      <c r="BLN7" s="397"/>
      <c r="BLO7" s="397"/>
      <c r="BLP7" s="397"/>
      <c r="BLQ7" s="397"/>
      <c r="BLR7" s="397"/>
      <c r="BLS7" s="397"/>
      <c r="BLT7" s="397"/>
      <c r="BLU7" s="397"/>
      <c r="BLV7" s="397"/>
      <c r="BLW7" s="397"/>
      <c r="BLX7" s="397"/>
      <c r="BLY7" s="397"/>
      <c r="BLZ7" s="397"/>
      <c r="BMA7" s="397"/>
      <c r="BMB7" s="397"/>
      <c r="BMC7" s="397"/>
      <c r="BMD7" s="397"/>
      <c r="BME7" s="397"/>
      <c r="BMF7" s="397"/>
      <c r="BMG7" s="397"/>
      <c r="BMH7" s="397"/>
      <c r="BMI7" s="397"/>
      <c r="BMJ7" s="397"/>
      <c r="BMK7" s="397"/>
      <c r="BML7" s="397"/>
      <c r="BMM7" s="397"/>
      <c r="BMN7" s="397"/>
      <c r="BMO7" s="397"/>
      <c r="BMP7" s="397"/>
      <c r="BMQ7" s="397"/>
      <c r="BMR7" s="397"/>
      <c r="BMS7" s="397"/>
      <c r="BMT7" s="397"/>
      <c r="BMU7" s="397"/>
      <c r="BMV7" s="397"/>
      <c r="BMW7" s="397"/>
      <c r="BMX7" s="397"/>
      <c r="BMY7" s="397"/>
      <c r="BMZ7" s="397"/>
      <c r="BNA7" s="397"/>
      <c r="BNB7" s="397"/>
      <c r="BNC7" s="397"/>
      <c r="BND7" s="397"/>
      <c r="BNE7" s="397"/>
      <c r="BNF7" s="397"/>
      <c r="BNG7" s="397"/>
      <c r="BNH7" s="397"/>
      <c r="BNI7" s="397"/>
      <c r="BNJ7" s="397"/>
      <c r="BNK7" s="397"/>
      <c r="BNL7" s="397"/>
      <c r="BNM7" s="397"/>
      <c r="BNN7" s="397"/>
      <c r="BNO7" s="397"/>
      <c r="BNP7" s="397"/>
      <c r="BNQ7" s="397"/>
      <c r="BNR7" s="397"/>
      <c r="BNS7" s="397"/>
      <c r="BNT7" s="397"/>
      <c r="BNU7" s="397"/>
      <c r="BNV7" s="397"/>
      <c r="BNW7" s="397"/>
      <c r="BNX7" s="397"/>
      <c r="BNY7" s="397"/>
      <c r="BNZ7" s="397"/>
      <c r="BOA7" s="397"/>
      <c r="BOB7" s="397"/>
      <c r="BOC7" s="397"/>
      <c r="BOD7" s="397"/>
      <c r="BOE7" s="397"/>
      <c r="BOF7" s="397"/>
      <c r="BOG7" s="397"/>
      <c r="BOH7" s="397"/>
      <c r="BOI7" s="397"/>
      <c r="BOJ7" s="397"/>
      <c r="BOK7" s="397"/>
      <c r="BOL7" s="397"/>
      <c r="BOM7" s="397"/>
      <c r="BON7" s="397"/>
      <c r="BOO7" s="397"/>
      <c r="BOP7" s="397"/>
      <c r="BOQ7" s="397"/>
      <c r="BOR7" s="397"/>
      <c r="BOS7" s="397"/>
      <c r="BOT7" s="397"/>
      <c r="BOU7" s="397"/>
      <c r="BOV7" s="397"/>
      <c r="BOW7" s="397"/>
      <c r="BOX7" s="397"/>
      <c r="BOY7" s="397"/>
      <c r="BOZ7" s="397"/>
      <c r="BPA7" s="397"/>
      <c r="BPB7" s="397"/>
      <c r="BPC7" s="397"/>
      <c r="BPD7" s="397"/>
      <c r="BPE7" s="397"/>
      <c r="BPF7" s="397"/>
      <c r="BPG7" s="397"/>
      <c r="BPH7" s="397"/>
      <c r="BPI7" s="397"/>
      <c r="BPJ7" s="397"/>
      <c r="BPK7" s="397"/>
      <c r="BPL7" s="397"/>
      <c r="BPM7" s="397"/>
      <c r="BPN7" s="397"/>
      <c r="BPO7" s="397"/>
      <c r="BPP7" s="397"/>
      <c r="BPQ7" s="397"/>
      <c r="BPR7" s="397"/>
      <c r="BPS7" s="397"/>
      <c r="BPT7" s="397"/>
      <c r="BPU7" s="397"/>
      <c r="BPV7" s="397"/>
      <c r="BPW7" s="397"/>
      <c r="BPX7" s="397"/>
      <c r="BPY7" s="397"/>
      <c r="BPZ7" s="397"/>
      <c r="BQA7" s="397"/>
      <c r="BQB7" s="397"/>
      <c r="BQC7" s="397"/>
      <c r="BQD7" s="397"/>
      <c r="BQE7" s="397"/>
      <c r="BQF7" s="397"/>
      <c r="BQG7" s="397"/>
      <c r="BQH7" s="397"/>
      <c r="BQI7" s="397"/>
      <c r="BQJ7" s="397"/>
      <c r="BQK7" s="397"/>
      <c r="BQL7" s="397"/>
      <c r="BQM7" s="397"/>
      <c r="BQN7" s="397"/>
      <c r="BQO7" s="397"/>
      <c r="BQP7" s="397"/>
      <c r="BQQ7" s="397"/>
      <c r="BQR7" s="397"/>
      <c r="BQS7" s="397"/>
      <c r="BQT7" s="397"/>
      <c r="BQU7" s="397"/>
      <c r="BQV7" s="397"/>
      <c r="BQW7" s="397"/>
      <c r="BQX7" s="397"/>
      <c r="BQY7" s="397"/>
      <c r="BQZ7" s="397"/>
      <c r="BRA7" s="397"/>
      <c r="BRB7" s="397"/>
      <c r="BRC7" s="397"/>
      <c r="BRD7" s="397"/>
      <c r="BRE7" s="397"/>
      <c r="BRF7" s="397"/>
      <c r="BRG7" s="397"/>
      <c r="BRH7" s="397"/>
      <c r="BRI7" s="397"/>
      <c r="BRJ7" s="397"/>
      <c r="BRK7" s="397"/>
      <c r="BRL7" s="397"/>
      <c r="BRM7" s="397"/>
      <c r="BRN7" s="397"/>
      <c r="BRO7" s="397"/>
      <c r="BRP7" s="397"/>
      <c r="BRQ7" s="397"/>
      <c r="BRR7" s="397"/>
      <c r="BRS7" s="397"/>
      <c r="BRT7" s="397"/>
      <c r="BRU7" s="397"/>
      <c r="BRV7" s="397"/>
      <c r="BRW7" s="397"/>
      <c r="BRX7" s="397"/>
      <c r="BRY7" s="397"/>
      <c r="BRZ7" s="397"/>
      <c r="BSA7" s="397"/>
      <c r="BSB7" s="397"/>
      <c r="BSC7" s="397"/>
      <c r="BSD7" s="397"/>
      <c r="BSE7" s="397"/>
      <c r="BSF7" s="397"/>
      <c r="BSG7" s="397"/>
      <c r="BSH7" s="397"/>
      <c r="BSI7" s="397"/>
      <c r="BSJ7" s="397"/>
      <c r="BSK7" s="397"/>
      <c r="BSL7" s="397"/>
      <c r="BSM7" s="397"/>
      <c r="BSN7" s="397"/>
      <c r="BSO7" s="397"/>
      <c r="BSP7" s="397"/>
      <c r="BSQ7" s="397"/>
      <c r="BSR7" s="397"/>
      <c r="BSS7" s="397"/>
      <c r="BST7" s="397"/>
      <c r="BSU7" s="397"/>
      <c r="BSV7" s="397"/>
      <c r="BSW7" s="397"/>
      <c r="BSX7" s="397"/>
      <c r="BSY7" s="397"/>
      <c r="BSZ7" s="397"/>
      <c r="BTA7" s="397"/>
      <c r="BTB7" s="397"/>
      <c r="BTC7" s="397"/>
      <c r="BTD7" s="397"/>
      <c r="BTE7" s="397"/>
      <c r="BTF7" s="397"/>
      <c r="BTG7" s="397"/>
      <c r="BTH7" s="397"/>
      <c r="BTI7" s="397"/>
      <c r="BTJ7" s="397"/>
      <c r="BTK7" s="397"/>
      <c r="BTL7" s="397"/>
      <c r="BTM7" s="397"/>
      <c r="BTN7" s="397"/>
      <c r="BTO7" s="397"/>
      <c r="BTP7" s="397"/>
      <c r="BTQ7" s="397"/>
      <c r="BTR7" s="397"/>
      <c r="BTS7" s="397"/>
      <c r="BTT7" s="397"/>
      <c r="BTU7" s="397"/>
      <c r="BTV7" s="397"/>
      <c r="BTW7" s="397"/>
      <c r="BTX7" s="397"/>
      <c r="BTY7" s="397"/>
      <c r="BTZ7" s="397"/>
      <c r="BUA7" s="397"/>
      <c r="BUB7" s="397"/>
      <c r="BUC7" s="397"/>
      <c r="BUD7" s="397"/>
      <c r="BUE7" s="397"/>
      <c r="BUF7" s="397"/>
      <c r="BUG7" s="397"/>
      <c r="BUH7" s="397"/>
      <c r="BUI7" s="397"/>
      <c r="BUJ7" s="397"/>
      <c r="BUK7" s="397"/>
      <c r="BUL7" s="397"/>
      <c r="BUM7" s="397"/>
      <c r="BUN7" s="397"/>
      <c r="BUO7" s="397"/>
      <c r="BUP7" s="397"/>
      <c r="BUQ7" s="397"/>
      <c r="BUR7" s="397"/>
      <c r="BUS7" s="397"/>
      <c r="BUT7" s="397"/>
      <c r="BUU7" s="397"/>
      <c r="BUV7" s="397"/>
      <c r="BUW7" s="397"/>
      <c r="BUX7" s="397"/>
      <c r="BUY7" s="397"/>
      <c r="BUZ7" s="397"/>
      <c r="BVA7" s="397"/>
      <c r="BVB7" s="397"/>
      <c r="BVC7" s="397"/>
      <c r="BVD7" s="397"/>
      <c r="BVE7" s="397"/>
      <c r="BVF7" s="397"/>
      <c r="BVG7" s="397"/>
      <c r="BVH7" s="397"/>
      <c r="BVI7" s="397"/>
      <c r="BVJ7" s="397"/>
      <c r="BVK7" s="397"/>
      <c r="BVL7" s="397"/>
      <c r="BVM7" s="397"/>
      <c r="BVN7" s="397"/>
      <c r="BVO7" s="397"/>
      <c r="BVP7" s="397"/>
      <c r="BVQ7" s="397"/>
      <c r="BVR7" s="397"/>
      <c r="BVS7" s="397"/>
      <c r="BVT7" s="397"/>
      <c r="BVU7" s="397"/>
      <c r="BVV7" s="397"/>
      <c r="BVW7" s="397"/>
      <c r="BVX7" s="397"/>
      <c r="BVY7" s="397"/>
      <c r="BVZ7" s="397"/>
      <c r="BWA7" s="397"/>
      <c r="BWB7" s="397"/>
      <c r="BWC7" s="397"/>
      <c r="BWD7" s="397"/>
      <c r="BWE7" s="397"/>
      <c r="BWF7" s="397"/>
      <c r="BWG7" s="397"/>
      <c r="BWH7" s="397"/>
      <c r="BWI7" s="397"/>
      <c r="BWJ7" s="397"/>
      <c r="BWK7" s="397"/>
      <c r="BWL7" s="397"/>
      <c r="BWM7" s="397"/>
      <c r="BWN7" s="397"/>
      <c r="BWO7" s="397"/>
      <c r="BWP7" s="397"/>
      <c r="BWQ7" s="397"/>
      <c r="BWR7" s="397"/>
      <c r="BWS7" s="397"/>
      <c r="BWT7" s="397"/>
      <c r="BWU7" s="397"/>
      <c r="BWV7" s="397"/>
      <c r="BWW7" s="397"/>
      <c r="BWX7" s="397"/>
      <c r="BWY7" s="397"/>
      <c r="BWZ7" s="397"/>
      <c r="BXA7" s="397"/>
      <c r="BXB7" s="397"/>
      <c r="BXC7" s="397"/>
      <c r="BXD7" s="397"/>
      <c r="BXE7" s="397"/>
      <c r="BXF7" s="397"/>
      <c r="BXG7" s="397"/>
      <c r="BXH7" s="397"/>
      <c r="BXI7" s="397"/>
      <c r="BXJ7" s="397"/>
      <c r="BXK7" s="397"/>
      <c r="BXL7" s="397"/>
      <c r="BXM7" s="397"/>
      <c r="BXN7" s="397"/>
      <c r="BXO7" s="397"/>
      <c r="BXP7" s="397"/>
      <c r="BXQ7" s="397"/>
      <c r="BXR7" s="397"/>
      <c r="BXS7" s="397"/>
      <c r="BXT7" s="397"/>
      <c r="BXU7" s="397"/>
      <c r="BXV7" s="397"/>
      <c r="BXW7" s="397"/>
      <c r="BXX7" s="397"/>
      <c r="BXY7" s="397"/>
      <c r="BXZ7" s="397"/>
      <c r="BYA7" s="397"/>
      <c r="BYB7" s="397"/>
      <c r="BYC7" s="397"/>
      <c r="BYD7" s="397"/>
      <c r="BYE7" s="397"/>
      <c r="BYF7" s="397"/>
      <c r="BYG7" s="397"/>
      <c r="BYH7" s="397"/>
      <c r="BYI7" s="397"/>
      <c r="BYJ7" s="397"/>
      <c r="BYK7" s="397"/>
      <c r="BYL7" s="397"/>
      <c r="BYM7" s="397"/>
      <c r="BYN7" s="397"/>
      <c r="BYO7" s="397"/>
      <c r="BYP7" s="397"/>
      <c r="BYQ7" s="397"/>
      <c r="BYR7" s="397"/>
      <c r="BYS7" s="397"/>
      <c r="BYT7" s="397"/>
      <c r="BYU7" s="397"/>
      <c r="BYV7" s="397"/>
      <c r="BYW7" s="397"/>
      <c r="BYX7" s="397"/>
      <c r="BYY7" s="397"/>
      <c r="BYZ7" s="397"/>
      <c r="BZA7" s="397"/>
      <c r="BZB7" s="397"/>
      <c r="BZC7" s="397"/>
      <c r="BZD7" s="397"/>
      <c r="BZE7" s="397"/>
      <c r="BZF7" s="397"/>
      <c r="BZG7" s="397"/>
      <c r="BZH7" s="397"/>
      <c r="BZI7" s="397"/>
      <c r="BZJ7" s="397"/>
      <c r="BZK7" s="397"/>
      <c r="BZL7" s="397"/>
      <c r="BZM7" s="397"/>
      <c r="BZN7" s="397"/>
      <c r="BZO7" s="397"/>
      <c r="BZP7" s="397"/>
      <c r="BZQ7" s="397"/>
      <c r="BZR7" s="397"/>
      <c r="BZS7" s="397"/>
      <c r="BZT7" s="397"/>
      <c r="BZU7" s="397"/>
      <c r="BZV7" s="397"/>
      <c r="BZW7" s="397"/>
      <c r="BZX7" s="397"/>
      <c r="BZY7" s="397"/>
      <c r="BZZ7" s="397"/>
      <c r="CAA7" s="397"/>
      <c r="CAB7" s="397"/>
      <c r="CAC7" s="397"/>
      <c r="CAD7" s="397"/>
      <c r="CAE7" s="397"/>
      <c r="CAF7" s="397"/>
      <c r="CAG7" s="397"/>
      <c r="CAH7" s="397"/>
      <c r="CAI7" s="397"/>
      <c r="CAJ7" s="397"/>
      <c r="CAK7" s="397"/>
      <c r="CAL7" s="397"/>
      <c r="CAM7" s="397"/>
      <c r="CAN7" s="397"/>
      <c r="CAO7" s="397"/>
      <c r="CAP7" s="397"/>
      <c r="CAQ7" s="397"/>
      <c r="CAR7" s="397"/>
      <c r="CAS7" s="397"/>
      <c r="CAT7" s="397"/>
      <c r="CAU7" s="397"/>
      <c r="CAV7" s="397"/>
      <c r="CAW7" s="397"/>
      <c r="CAX7" s="397"/>
      <c r="CAY7" s="397"/>
      <c r="CAZ7" s="397"/>
      <c r="CBA7" s="397"/>
      <c r="CBB7" s="397"/>
      <c r="CBC7" s="397"/>
      <c r="CBD7" s="397"/>
      <c r="CBE7" s="397"/>
      <c r="CBF7" s="397"/>
      <c r="CBG7" s="397"/>
      <c r="CBH7" s="397"/>
      <c r="CBI7" s="397"/>
      <c r="CBJ7" s="397"/>
      <c r="CBK7" s="397"/>
      <c r="CBL7" s="397"/>
      <c r="CBM7" s="397"/>
      <c r="CBN7" s="397"/>
      <c r="CBO7" s="397"/>
      <c r="CBP7" s="397"/>
      <c r="CBQ7" s="397"/>
      <c r="CBR7" s="397"/>
      <c r="CBS7" s="397"/>
      <c r="CBT7" s="397"/>
      <c r="CBU7" s="397"/>
      <c r="CBV7" s="397"/>
      <c r="CBW7" s="397"/>
      <c r="CBX7" s="397"/>
      <c r="CBY7" s="397"/>
      <c r="CBZ7" s="397"/>
      <c r="CCA7" s="397"/>
      <c r="CCB7" s="397"/>
      <c r="CCC7" s="397"/>
      <c r="CCD7" s="397"/>
      <c r="CCE7" s="397"/>
      <c r="CCF7" s="397"/>
      <c r="CCG7" s="397"/>
      <c r="CCH7" s="397"/>
      <c r="CCI7" s="397"/>
      <c r="CCJ7" s="397"/>
      <c r="CCK7" s="397"/>
      <c r="CCL7" s="397"/>
      <c r="CCM7" s="397"/>
      <c r="CCN7" s="397"/>
      <c r="CCO7" s="397"/>
      <c r="CCP7" s="397"/>
      <c r="CCQ7" s="397"/>
      <c r="CCR7" s="397"/>
      <c r="CCS7" s="397"/>
      <c r="CCT7" s="397"/>
      <c r="CCU7" s="397"/>
      <c r="CCV7" s="397"/>
      <c r="CCW7" s="397"/>
      <c r="CCX7" s="397"/>
      <c r="CCY7" s="397"/>
      <c r="CCZ7" s="397"/>
      <c r="CDA7" s="397"/>
      <c r="CDB7" s="397"/>
      <c r="CDC7" s="397"/>
      <c r="CDD7" s="397"/>
      <c r="CDE7" s="397"/>
      <c r="CDF7" s="397"/>
      <c r="CDG7" s="397"/>
      <c r="CDH7" s="397"/>
      <c r="CDI7" s="397"/>
      <c r="CDJ7" s="397"/>
      <c r="CDK7" s="397"/>
      <c r="CDL7" s="397"/>
      <c r="CDM7" s="397"/>
      <c r="CDN7" s="397"/>
      <c r="CDO7" s="397"/>
      <c r="CDP7" s="397"/>
      <c r="CDQ7" s="397"/>
      <c r="CDR7" s="397"/>
      <c r="CDS7" s="397"/>
      <c r="CDT7" s="397"/>
      <c r="CDU7" s="397"/>
      <c r="CDV7" s="397"/>
      <c r="CDW7" s="397"/>
      <c r="CDX7" s="397"/>
      <c r="CDY7" s="397"/>
      <c r="CDZ7" s="397"/>
      <c r="CEA7" s="397"/>
      <c r="CEB7" s="397"/>
      <c r="CEC7" s="397"/>
      <c r="CED7" s="397"/>
      <c r="CEE7" s="397"/>
      <c r="CEF7" s="397"/>
      <c r="CEG7" s="397"/>
      <c r="CEH7" s="397"/>
      <c r="CEI7" s="397"/>
      <c r="CEJ7" s="397"/>
      <c r="CEK7" s="397"/>
      <c r="CEL7" s="397"/>
      <c r="CEM7" s="397"/>
      <c r="CEN7" s="397"/>
      <c r="CEO7" s="397"/>
      <c r="CEP7" s="397"/>
      <c r="CEQ7" s="397"/>
      <c r="CER7" s="397"/>
      <c r="CES7" s="397"/>
      <c r="CET7" s="397"/>
      <c r="CEU7" s="397"/>
      <c r="CEV7" s="397"/>
      <c r="CEW7" s="397"/>
      <c r="CEX7" s="397"/>
      <c r="CEY7" s="397"/>
      <c r="CEZ7" s="397"/>
      <c r="CFA7" s="397"/>
      <c r="CFB7" s="397"/>
      <c r="CFC7" s="397"/>
      <c r="CFD7" s="397"/>
      <c r="CFE7" s="397"/>
      <c r="CFF7" s="397"/>
      <c r="CFG7" s="397"/>
      <c r="CFH7" s="397"/>
      <c r="CFI7" s="397"/>
      <c r="CFJ7" s="397"/>
      <c r="CFK7" s="397"/>
      <c r="CFL7" s="397"/>
      <c r="CFM7" s="397"/>
      <c r="CFN7" s="397"/>
      <c r="CFO7" s="397"/>
      <c r="CFP7" s="397"/>
      <c r="CFQ7" s="397"/>
      <c r="CFR7" s="397"/>
      <c r="CFS7" s="397"/>
      <c r="CFT7" s="397"/>
      <c r="CFU7" s="397"/>
      <c r="CFV7" s="397"/>
      <c r="CFW7" s="397"/>
      <c r="CFX7" s="397"/>
      <c r="CFY7" s="397"/>
      <c r="CFZ7" s="397"/>
      <c r="CGA7" s="397"/>
      <c r="CGB7" s="397"/>
      <c r="CGC7" s="397"/>
      <c r="CGD7" s="397"/>
      <c r="CGE7" s="397"/>
      <c r="CGF7" s="397"/>
      <c r="CGG7" s="397"/>
      <c r="CGH7" s="397"/>
      <c r="CGI7" s="397"/>
      <c r="CGJ7" s="397"/>
      <c r="CGK7" s="397"/>
      <c r="CGL7" s="397"/>
      <c r="CGM7" s="397"/>
      <c r="CGN7" s="397"/>
      <c r="CGO7" s="397"/>
      <c r="CGP7" s="397"/>
      <c r="CGQ7" s="397"/>
      <c r="CGR7" s="397"/>
      <c r="CGS7" s="397"/>
      <c r="CGT7" s="397"/>
      <c r="CGU7" s="397"/>
      <c r="CGV7" s="397"/>
      <c r="CGW7" s="397"/>
      <c r="CGX7" s="397"/>
      <c r="CGY7" s="397"/>
      <c r="CGZ7" s="397"/>
      <c r="CHA7" s="397"/>
      <c r="CHB7" s="397"/>
      <c r="CHC7" s="397"/>
      <c r="CHD7" s="397"/>
      <c r="CHE7" s="397"/>
      <c r="CHF7" s="397"/>
      <c r="CHG7" s="397"/>
      <c r="CHH7" s="397"/>
      <c r="CHI7" s="397"/>
      <c r="CHJ7" s="397"/>
      <c r="CHK7" s="397"/>
      <c r="CHL7" s="397"/>
      <c r="CHM7" s="397"/>
      <c r="CHN7" s="397"/>
      <c r="CHO7" s="397"/>
      <c r="CHP7" s="397"/>
      <c r="CHQ7" s="397"/>
      <c r="CHR7" s="397"/>
      <c r="CHS7" s="397"/>
      <c r="CHT7" s="397"/>
      <c r="CHU7" s="397"/>
      <c r="CHV7" s="397"/>
      <c r="CHW7" s="397"/>
      <c r="CHX7" s="397"/>
      <c r="CHY7" s="397"/>
      <c r="CHZ7" s="397"/>
      <c r="CIA7" s="397"/>
      <c r="CIB7" s="397"/>
      <c r="CIC7" s="397"/>
      <c r="CID7" s="397"/>
      <c r="CIE7" s="397"/>
      <c r="CIF7" s="397"/>
      <c r="CIG7" s="397"/>
      <c r="CIH7" s="397"/>
      <c r="CII7" s="397"/>
      <c r="CIJ7" s="397"/>
      <c r="CIK7" s="397"/>
      <c r="CIL7" s="397"/>
      <c r="CIM7" s="397"/>
      <c r="CIN7" s="397"/>
      <c r="CIO7" s="397"/>
      <c r="CIP7" s="397"/>
      <c r="CIQ7" s="397"/>
      <c r="CIR7" s="397"/>
      <c r="CIS7" s="397"/>
      <c r="CIT7" s="397"/>
      <c r="CIU7" s="397"/>
      <c r="CIV7" s="397"/>
      <c r="CIW7" s="397"/>
      <c r="CIX7" s="397"/>
      <c r="CIY7" s="397"/>
      <c r="CIZ7" s="397"/>
      <c r="CJA7" s="397"/>
      <c r="CJB7" s="397"/>
      <c r="CJC7" s="397"/>
      <c r="CJD7" s="397"/>
      <c r="CJE7" s="397"/>
      <c r="CJF7" s="397"/>
      <c r="CJG7" s="397"/>
      <c r="CJH7" s="397"/>
      <c r="CJI7" s="397"/>
      <c r="CJJ7" s="397"/>
      <c r="CJK7" s="397"/>
      <c r="CJL7" s="397"/>
      <c r="CJM7" s="397"/>
      <c r="CJN7" s="397"/>
      <c r="CJO7" s="397"/>
      <c r="CJP7" s="397"/>
      <c r="CJQ7" s="397"/>
      <c r="CJR7" s="397"/>
      <c r="CJS7" s="397"/>
      <c r="CJT7" s="397"/>
      <c r="CJU7" s="397"/>
      <c r="CJV7" s="397"/>
      <c r="CJW7" s="397"/>
      <c r="CJX7" s="397"/>
      <c r="CJY7" s="397"/>
      <c r="CJZ7" s="397"/>
      <c r="CKA7" s="397"/>
      <c r="CKB7" s="397"/>
      <c r="CKC7" s="397"/>
      <c r="CKD7" s="397"/>
      <c r="CKE7" s="397"/>
      <c r="CKF7" s="397"/>
      <c r="CKG7" s="397"/>
      <c r="CKH7" s="397"/>
      <c r="CKI7" s="397"/>
      <c r="CKJ7" s="397"/>
      <c r="CKK7" s="397"/>
      <c r="CKL7" s="397"/>
      <c r="CKM7" s="397"/>
      <c r="CKN7" s="397"/>
      <c r="CKO7" s="397"/>
      <c r="CKP7" s="397"/>
      <c r="CKQ7" s="397"/>
      <c r="CKR7" s="397"/>
      <c r="CKS7" s="397"/>
      <c r="CKT7" s="397"/>
      <c r="CKU7" s="397"/>
      <c r="CKV7" s="397"/>
      <c r="CKW7" s="397"/>
      <c r="CKX7" s="397"/>
      <c r="CKY7" s="397"/>
      <c r="CKZ7" s="397"/>
      <c r="CLA7" s="397"/>
      <c r="CLB7" s="397"/>
      <c r="CLC7" s="397"/>
      <c r="CLD7" s="397"/>
      <c r="CLE7" s="397"/>
      <c r="CLF7" s="397"/>
      <c r="CLG7" s="397"/>
      <c r="CLH7" s="397"/>
      <c r="CLI7" s="397"/>
      <c r="CLJ7" s="397"/>
      <c r="CLK7" s="397"/>
      <c r="CLL7" s="397"/>
      <c r="CLM7" s="397"/>
      <c r="CLN7" s="397"/>
      <c r="CLO7" s="397"/>
      <c r="CLP7" s="397"/>
      <c r="CLQ7" s="397"/>
      <c r="CLR7" s="397"/>
      <c r="CLS7" s="397"/>
      <c r="CLT7" s="397"/>
      <c r="CLU7" s="397"/>
      <c r="CLV7" s="397"/>
      <c r="CLW7" s="397"/>
      <c r="CLX7" s="397"/>
      <c r="CLY7" s="397"/>
      <c r="CLZ7" s="397"/>
      <c r="CMA7" s="397"/>
      <c r="CMB7" s="397"/>
      <c r="CMC7" s="397"/>
      <c r="CMD7" s="397"/>
      <c r="CME7" s="397"/>
      <c r="CMF7" s="397"/>
      <c r="CMG7" s="397"/>
      <c r="CMH7" s="397"/>
      <c r="CMI7" s="397"/>
      <c r="CMJ7" s="397"/>
      <c r="CMK7" s="397"/>
      <c r="CML7" s="397"/>
      <c r="CMM7" s="397"/>
      <c r="CMN7" s="397"/>
      <c r="CMO7" s="397"/>
      <c r="CMP7" s="397"/>
      <c r="CMQ7" s="397"/>
      <c r="CMR7" s="397"/>
      <c r="CMS7" s="397"/>
      <c r="CMT7" s="397"/>
      <c r="CMU7" s="397"/>
      <c r="CMV7" s="397"/>
      <c r="CMW7" s="397"/>
      <c r="CMX7" s="397"/>
      <c r="CMY7" s="397"/>
      <c r="CMZ7" s="397"/>
      <c r="CNA7" s="397"/>
      <c r="CNB7" s="397"/>
      <c r="CNC7" s="397"/>
      <c r="CND7" s="397"/>
      <c r="CNE7" s="397"/>
      <c r="CNF7" s="397"/>
      <c r="CNG7" s="397"/>
      <c r="CNH7" s="397"/>
      <c r="CNI7" s="397"/>
      <c r="CNJ7" s="397"/>
      <c r="CNK7" s="397"/>
      <c r="CNL7" s="397"/>
      <c r="CNM7" s="397"/>
      <c r="CNN7" s="397"/>
      <c r="CNO7" s="397"/>
      <c r="CNP7" s="397"/>
      <c r="CNQ7" s="397"/>
      <c r="CNR7" s="397"/>
      <c r="CNS7" s="397"/>
      <c r="CNT7" s="397"/>
      <c r="CNU7" s="397"/>
      <c r="CNV7" s="397"/>
      <c r="CNW7" s="397"/>
      <c r="CNX7" s="397"/>
      <c r="CNY7" s="397"/>
      <c r="CNZ7" s="397"/>
      <c r="COA7" s="397"/>
      <c r="COB7" s="397"/>
      <c r="COC7" s="397"/>
      <c r="COD7" s="397"/>
      <c r="COE7" s="397"/>
      <c r="COF7" s="397"/>
      <c r="COG7" s="397"/>
      <c r="COH7" s="397"/>
      <c r="COI7" s="397"/>
      <c r="COJ7" s="397"/>
      <c r="COK7" s="397"/>
      <c r="COL7" s="397"/>
      <c r="COM7" s="397"/>
      <c r="CON7" s="397"/>
      <c r="COO7" s="397"/>
      <c r="COP7" s="397"/>
      <c r="COQ7" s="397"/>
      <c r="COR7" s="397"/>
      <c r="COS7" s="397"/>
      <c r="COT7" s="397"/>
      <c r="COU7" s="397"/>
      <c r="COV7" s="397"/>
      <c r="COW7" s="397"/>
      <c r="COX7" s="397"/>
      <c r="COY7" s="397"/>
      <c r="COZ7" s="397"/>
      <c r="CPA7" s="397"/>
      <c r="CPB7" s="397"/>
      <c r="CPC7" s="397"/>
      <c r="CPD7" s="397"/>
      <c r="CPE7" s="397"/>
      <c r="CPF7" s="397"/>
      <c r="CPG7" s="397"/>
      <c r="CPH7" s="397"/>
      <c r="CPI7" s="397"/>
      <c r="CPJ7" s="397"/>
      <c r="CPK7" s="397"/>
      <c r="CPL7" s="397"/>
      <c r="CPM7" s="397"/>
      <c r="CPN7" s="397"/>
      <c r="CPO7" s="397"/>
      <c r="CPP7" s="397"/>
      <c r="CPQ7" s="397"/>
      <c r="CPR7" s="397"/>
      <c r="CPS7" s="397"/>
      <c r="CPT7" s="397"/>
      <c r="CPU7" s="397"/>
      <c r="CPV7" s="397"/>
      <c r="CPW7" s="397"/>
      <c r="CPX7" s="397"/>
      <c r="CPY7" s="397"/>
      <c r="CPZ7" s="397"/>
      <c r="CQA7" s="397"/>
      <c r="CQB7" s="397"/>
      <c r="CQC7" s="397"/>
      <c r="CQD7" s="397"/>
      <c r="CQE7" s="397"/>
      <c r="CQF7" s="397"/>
      <c r="CQG7" s="397"/>
      <c r="CQH7" s="397"/>
      <c r="CQI7" s="397"/>
      <c r="CQJ7" s="397"/>
      <c r="CQK7" s="397"/>
      <c r="CQL7" s="397"/>
      <c r="CQM7" s="397"/>
      <c r="CQN7" s="397"/>
      <c r="CQO7" s="397"/>
      <c r="CQP7" s="397"/>
      <c r="CQQ7" s="397"/>
      <c r="CQR7" s="397"/>
      <c r="CQS7" s="397"/>
      <c r="CQT7" s="397"/>
      <c r="CQU7" s="397"/>
      <c r="CQV7" s="397"/>
      <c r="CQW7" s="397"/>
      <c r="CQX7" s="397"/>
      <c r="CQY7" s="397"/>
      <c r="CQZ7" s="397"/>
      <c r="CRA7" s="397"/>
      <c r="CRB7" s="397"/>
      <c r="CRC7" s="397"/>
      <c r="CRD7" s="397"/>
      <c r="CRE7" s="397"/>
      <c r="CRF7" s="397"/>
      <c r="CRG7" s="397"/>
      <c r="CRH7" s="397"/>
      <c r="CRI7" s="397"/>
      <c r="CRJ7" s="397"/>
      <c r="CRK7" s="397"/>
      <c r="CRL7" s="397"/>
      <c r="CRM7" s="397"/>
      <c r="CRN7" s="397"/>
      <c r="CRO7" s="397"/>
      <c r="CRP7" s="397"/>
      <c r="CRQ7" s="397"/>
      <c r="CRR7" s="397"/>
      <c r="CRS7" s="397"/>
      <c r="CRT7" s="397"/>
      <c r="CRU7" s="397"/>
      <c r="CRV7" s="397"/>
      <c r="CRW7" s="397"/>
      <c r="CRX7" s="397"/>
      <c r="CRY7" s="397"/>
      <c r="CRZ7" s="397"/>
      <c r="CSA7" s="397"/>
      <c r="CSB7" s="397"/>
      <c r="CSC7" s="397"/>
      <c r="CSD7" s="397"/>
      <c r="CSE7" s="397"/>
      <c r="CSF7" s="397"/>
      <c r="CSG7" s="397"/>
      <c r="CSH7" s="397"/>
      <c r="CSI7" s="397"/>
      <c r="CSJ7" s="397"/>
      <c r="CSK7" s="397"/>
      <c r="CSL7" s="397"/>
      <c r="CSM7" s="397"/>
      <c r="CSN7" s="397"/>
      <c r="CSO7" s="397"/>
      <c r="CSP7" s="397"/>
      <c r="CSQ7" s="397"/>
      <c r="CSR7" s="397"/>
      <c r="CSS7" s="397"/>
      <c r="CST7" s="397"/>
      <c r="CSU7" s="397"/>
      <c r="CSV7" s="397"/>
      <c r="CSW7" s="397"/>
      <c r="CSX7" s="397"/>
      <c r="CSY7" s="397"/>
      <c r="CSZ7" s="397"/>
      <c r="CTA7" s="397"/>
      <c r="CTB7" s="397"/>
      <c r="CTC7" s="397"/>
      <c r="CTD7" s="397"/>
      <c r="CTE7" s="397"/>
      <c r="CTF7" s="397"/>
      <c r="CTG7" s="397"/>
      <c r="CTH7" s="397"/>
      <c r="CTI7" s="397"/>
      <c r="CTJ7" s="397"/>
      <c r="CTK7" s="397"/>
      <c r="CTL7" s="397"/>
      <c r="CTM7" s="397"/>
      <c r="CTN7" s="397"/>
      <c r="CTO7" s="397"/>
      <c r="CTP7" s="397"/>
      <c r="CTQ7" s="397"/>
      <c r="CTR7" s="397"/>
      <c r="CTS7" s="397"/>
      <c r="CTT7" s="397"/>
      <c r="CTU7" s="397"/>
      <c r="CTV7" s="397"/>
      <c r="CTW7" s="397"/>
      <c r="CTX7" s="397"/>
      <c r="CTY7" s="397"/>
      <c r="CTZ7" s="397"/>
      <c r="CUA7" s="397"/>
      <c r="CUB7" s="397"/>
      <c r="CUC7" s="397"/>
      <c r="CUD7" s="397"/>
      <c r="CUE7" s="397"/>
      <c r="CUF7" s="397"/>
      <c r="CUG7" s="397"/>
      <c r="CUH7" s="397"/>
      <c r="CUI7" s="397"/>
      <c r="CUJ7" s="397"/>
      <c r="CUK7" s="397"/>
      <c r="CUL7" s="397"/>
      <c r="CUM7" s="397"/>
      <c r="CUN7" s="397"/>
      <c r="CUO7" s="397"/>
      <c r="CUP7" s="397"/>
      <c r="CUQ7" s="397"/>
      <c r="CUR7" s="397"/>
      <c r="CUS7" s="397"/>
      <c r="CUT7" s="397"/>
      <c r="CUU7" s="397"/>
      <c r="CUV7" s="397"/>
      <c r="CUW7" s="397"/>
      <c r="CUX7" s="397"/>
      <c r="CUY7" s="397"/>
      <c r="CUZ7" s="397"/>
      <c r="CVA7" s="397"/>
      <c r="CVB7" s="397"/>
      <c r="CVC7" s="397"/>
      <c r="CVD7" s="397"/>
      <c r="CVE7" s="397"/>
      <c r="CVF7" s="397"/>
      <c r="CVG7" s="397"/>
      <c r="CVH7" s="397"/>
      <c r="CVI7" s="397"/>
      <c r="CVJ7" s="397"/>
      <c r="CVK7" s="397"/>
      <c r="CVL7" s="397"/>
      <c r="CVM7" s="397"/>
      <c r="CVN7" s="397"/>
      <c r="CVO7" s="397"/>
      <c r="CVP7" s="397"/>
      <c r="CVQ7" s="397"/>
      <c r="CVR7" s="397"/>
      <c r="CVS7" s="397"/>
      <c r="CVT7" s="397"/>
      <c r="CVU7" s="397"/>
      <c r="CVV7" s="397"/>
      <c r="CVW7" s="397"/>
      <c r="CVX7" s="397"/>
      <c r="CVY7" s="397"/>
      <c r="CVZ7" s="397"/>
      <c r="CWA7" s="397"/>
      <c r="CWB7" s="397"/>
      <c r="CWC7" s="397"/>
      <c r="CWD7" s="397"/>
      <c r="CWE7" s="397"/>
      <c r="CWF7" s="397"/>
      <c r="CWG7" s="397"/>
      <c r="CWH7" s="397"/>
      <c r="CWI7" s="397"/>
      <c r="CWJ7" s="397"/>
      <c r="CWK7" s="397"/>
      <c r="CWL7" s="397"/>
      <c r="CWM7" s="397"/>
      <c r="CWN7" s="397"/>
      <c r="CWO7" s="397"/>
      <c r="CWP7" s="397"/>
      <c r="CWQ7" s="397"/>
      <c r="CWR7" s="397"/>
      <c r="CWS7" s="397"/>
      <c r="CWT7" s="397"/>
      <c r="CWU7" s="397"/>
      <c r="CWV7" s="397"/>
      <c r="CWW7" s="397"/>
      <c r="CWX7" s="397"/>
      <c r="CWY7" s="397"/>
      <c r="CWZ7" s="397"/>
      <c r="CXA7" s="397"/>
      <c r="CXB7" s="397"/>
      <c r="CXC7" s="397"/>
      <c r="CXD7" s="397"/>
      <c r="CXE7" s="397"/>
      <c r="CXF7" s="397"/>
      <c r="CXG7" s="397"/>
      <c r="CXH7" s="397"/>
      <c r="CXI7" s="397"/>
      <c r="CXJ7" s="397"/>
      <c r="CXK7" s="397"/>
      <c r="CXL7" s="397"/>
      <c r="CXM7" s="397"/>
      <c r="CXN7" s="397"/>
      <c r="CXO7" s="397"/>
      <c r="CXP7" s="397"/>
      <c r="CXQ7" s="397"/>
      <c r="CXR7" s="397"/>
      <c r="CXS7" s="397"/>
      <c r="CXT7" s="397"/>
      <c r="CXU7" s="397"/>
      <c r="CXV7" s="397"/>
      <c r="CXW7" s="397"/>
      <c r="CXX7" s="397"/>
      <c r="CXY7" s="397"/>
      <c r="CXZ7" s="397"/>
      <c r="CYA7" s="397"/>
      <c r="CYB7" s="397"/>
      <c r="CYC7" s="397"/>
      <c r="CYD7" s="397"/>
      <c r="CYE7" s="397"/>
      <c r="CYF7" s="397"/>
      <c r="CYG7" s="397"/>
      <c r="CYH7" s="397"/>
      <c r="CYI7" s="397"/>
      <c r="CYJ7" s="397"/>
      <c r="CYK7" s="397"/>
      <c r="CYL7" s="397"/>
      <c r="CYM7" s="397"/>
      <c r="CYN7" s="397"/>
      <c r="CYO7" s="397"/>
      <c r="CYP7" s="397"/>
      <c r="CYQ7" s="397"/>
      <c r="CYR7" s="397"/>
      <c r="CYS7" s="397"/>
      <c r="CYT7" s="397"/>
      <c r="CYU7" s="397"/>
      <c r="CYV7" s="397"/>
      <c r="CYW7" s="397"/>
      <c r="CYX7" s="397"/>
      <c r="CYY7" s="397"/>
      <c r="CYZ7" s="397"/>
      <c r="CZA7" s="397"/>
      <c r="CZB7" s="397"/>
      <c r="CZC7" s="397"/>
      <c r="CZD7" s="397"/>
      <c r="CZE7" s="397"/>
      <c r="CZF7" s="397"/>
      <c r="CZG7" s="397"/>
      <c r="CZH7" s="397"/>
      <c r="CZI7" s="397"/>
      <c r="CZJ7" s="397"/>
      <c r="CZK7" s="397"/>
      <c r="CZL7" s="397"/>
      <c r="CZM7" s="397"/>
      <c r="CZN7" s="397"/>
      <c r="CZO7" s="397"/>
      <c r="CZP7" s="397"/>
      <c r="CZQ7" s="397"/>
      <c r="CZR7" s="397"/>
      <c r="CZS7" s="397"/>
      <c r="CZT7" s="397"/>
      <c r="CZU7" s="397"/>
      <c r="CZV7" s="397"/>
      <c r="CZW7" s="397"/>
      <c r="CZX7" s="397"/>
      <c r="CZY7" s="397"/>
      <c r="CZZ7" s="397"/>
      <c r="DAA7" s="397"/>
      <c r="DAB7" s="397"/>
      <c r="DAC7" s="397"/>
      <c r="DAD7" s="397"/>
      <c r="DAE7" s="397"/>
      <c r="DAF7" s="397"/>
      <c r="DAG7" s="397"/>
      <c r="DAH7" s="397"/>
      <c r="DAI7" s="397"/>
      <c r="DAJ7" s="397"/>
      <c r="DAK7" s="397"/>
      <c r="DAL7" s="397"/>
      <c r="DAM7" s="397"/>
      <c r="DAN7" s="397"/>
      <c r="DAO7" s="397"/>
      <c r="DAP7" s="397"/>
      <c r="DAQ7" s="397"/>
      <c r="DAR7" s="397"/>
      <c r="DAS7" s="397"/>
      <c r="DAT7" s="397"/>
      <c r="DAU7" s="397"/>
      <c r="DAV7" s="397"/>
      <c r="DAW7" s="397"/>
      <c r="DAX7" s="397"/>
      <c r="DAY7" s="397"/>
      <c r="DAZ7" s="397"/>
      <c r="DBA7" s="397"/>
      <c r="DBB7" s="397"/>
      <c r="DBC7" s="397"/>
      <c r="DBD7" s="397"/>
      <c r="DBE7" s="397"/>
      <c r="DBF7" s="397"/>
      <c r="DBG7" s="397"/>
      <c r="DBH7" s="397"/>
      <c r="DBI7" s="397"/>
      <c r="DBJ7" s="397"/>
      <c r="DBK7" s="397"/>
      <c r="DBL7" s="397"/>
      <c r="DBM7" s="397"/>
      <c r="DBN7" s="397"/>
      <c r="DBO7" s="397"/>
      <c r="DBP7" s="397"/>
      <c r="DBQ7" s="397"/>
      <c r="DBR7" s="397"/>
      <c r="DBS7" s="397"/>
      <c r="DBT7" s="397"/>
      <c r="DBU7" s="397"/>
      <c r="DBV7" s="397"/>
      <c r="DBW7" s="397"/>
      <c r="DBX7" s="397"/>
      <c r="DBY7" s="397"/>
      <c r="DBZ7" s="397"/>
      <c r="DCA7" s="397"/>
      <c r="DCB7" s="397"/>
      <c r="DCC7" s="397"/>
      <c r="DCD7" s="397"/>
      <c r="DCE7" s="397"/>
      <c r="DCF7" s="397"/>
      <c r="DCG7" s="397"/>
      <c r="DCH7" s="397"/>
      <c r="DCI7" s="397"/>
      <c r="DCJ7" s="397"/>
      <c r="DCK7" s="397"/>
      <c r="DCL7" s="397"/>
      <c r="DCM7" s="397"/>
      <c r="DCN7" s="397"/>
      <c r="DCO7" s="397"/>
      <c r="DCP7" s="397"/>
      <c r="DCQ7" s="397"/>
      <c r="DCR7" s="397"/>
      <c r="DCS7" s="397"/>
      <c r="DCT7" s="397"/>
      <c r="DCU7" s="397"/>
      <c r="DCV7" s="397"/>
      <c r="DCW7" s="397"/>
      <c r="DCX7" s="397"/>
      <c r="DCY7" s="397"/>
      <c r="DCZ7" s="397"/>
      <c r="DDA7" s="397"/>
      <c r="DDB7" s="397"/>
      <c r="DDC7" s="397"/>
      <c r="DDD7" s="397"/>
      <c r="DDE7" s="397"/>
      <c r="DDF7" s="397"/>
      <c r="DDG7" s="397"/>
      <c r="DDH7" s="397"/>
      <c r="DDI7" s="397"/>
      <c r="DDJ7" s="397"/>
      <c r="DDK7" s="397"/>
      <c r="DDL7" s="397"/>
      <c r="DDM7" s="397"/>
      <c r="DDN7" s="397"/>
      <c r="DDO7" s="397"/>
      <c r="DDP7" s="397"/>
      <c r="DDQ7" s="397"/>
      <c r="DDR7" s="397"/>
      <c r="DDS7" s="397"/>
      <c r="DDT7" s="397"/>
      <c r="DDU7" s="397"/>
      <c r="DDV7" s="397"/>
      <c r="DDW7" s="397"/>
      <c r="DDX7" s="397"/>
      <c r="DDY7" s="397"/>
      <c r="DDZ7" s="397"/>
      <c r="DEA7" s="397"/>
      <c r="DEB7" s="397"/>
      <c r="DEC7" s="397"/>
      <c r="DED7" s="397"/>
      <c r="DEE7" s="397"/>
      <c r="DEF7" s="397"/>
      <c r="DEG7" s="397"/>
      <c r="DEH7" s="397"/>
      <c r="DEI7" s="397"/>
      <c r="DEJ7" s="397"/>
      <c r="DEK7" s="397"/>
      <c r="DEL7" s="397"/>
      <c r="DEM7" s="397"/>
      <c r="DEN7" s="397"/>
      <c r="DEO7" s="397"/>
      <c r="DEP7" s="397"/>
      <c r="DEQ7" s="397"/>
      <c r="DER7" s="397"/>
      <c r="DES7" s="397"/>
      <c r="DET7" s="397"/>
      <c r="DEU7" s="397"/>
      <c r="DEV7" s="397"/>
      <c r="DEW7" s="397"/>
      <c r="DEX7" s="397"/>
      <c r="DEY7" s="397"/>
      <c r="DEZ7" s="397"/>
      <c r="DFA7" s="397"/>
      <c r="DFB7" s="397"/>
      <c r="DFC7" s="397"/>
      <c r="DFD7" s="397"/>
      <c r="DFE7" s="397"/>
      <c r="DFF7" s="397"/>
      <c r="DFG7" s="397"/>
      <c r="DFH7" s="397"/>
      <c r="DFI7" s="397"/>
      <c r="DFJ7" s="397"/>
      <c r="DFK7" s="397"/>
      <c r="DFL7" s="397"/>
      <c r="DFM7" s="397"/>
      <c r="DFN7" s="397"/>
      <c r="DFO7" s="397"/>
      <c r="DFP7" s="397"/>
      <c r="DFQ7" s="397"/>
      <c r="DFR7" s="397"/>
      <c r="DFS7" s="397"/>
      <c r="DFT7" s="397"/>
      <c r="DFU7" s="397"/>
      <c r="DFV7" s="397"/>
      <c r="DFW7" s="397"/>
      <c r="DFX7" s="397"/>
      <c r="DFY7" s="397"/>
      <c r="DFZ7" s="397"/>
      <c r="DGA7" s="397"/>
      <c r="DGB7" s="397"/>
      <c r="DGC7" s="397"/>
      <c r="DGD7" s="397"/>
      <c r="DGE7" s="397"/>
      <c r="DGF7" s="397"/>
      <c r="DGG7" s="397"/>
      <c r="DGH7" s="397"/>
      <c r="DGI7" s="397"/>
      <c r="DGJ7" s="397"/>
      <c r="DGK7" s="397"/>
      <c r="DGL7" s="397"/>
      <c r="DGM7" s="397"/>
      <c r="DGN7" s="397"/>
      <c r="DGO7" s="397"/>
      <c r="DGP7" s="397"/>
      <c r="DGQ7" s="397"/>
      <c r="DGR7" s="397"/>
      <c r="DGS7" s="397"/>
      <c r="DGT7" s="397"/>
      <c r="DGU7" s="397"/>
      <c r="DGV7" s="397"/>
      <c r="DGW7" s="397"/>
      <c r="DGX7" s="397"/>
      <c r="DGY7" s="397"/>
      <c r="DGZ7" s="397"/>
      <c r="DHA7" s="397"/>
      <c r="DHB7" s="397"/>
      <c r="DHC7" s="397"/>
      <c r="DHD7" s="397"/>
      <c r="DHE7" s="397"/>
      <c r="DHF7" s="397"/>
      <c r="DHG7" s="397"/>
      <c r="DHH7" s="397"/>
      <c r="DHI7" s="397"/>
      <c r="DHJ7" s="397"/>
      <c r="DHK7" s="397"/>
      <c r="DHL7" s="397"/>
      <c r="DHM7" s="397"/>
      <c r="DHN7" s="397"/>
      <c r="DHO7" s="397"/>
      <c r="DHP7" s="397"/>
      <c r="DHQ7" s="397"/>
      <c r="DHR7" s="397"/>
      <c r="DHS7" s="397"/>
      <c r="DHT7" s="397"/>
      <c r="DHU7" s="397"/>
      <c r="DHV7" s="397"/>
      <c r="DHW7" s="397"/>
      <c r="DHX7" s="397"/>
      <c r="DHY7" s="397"/>
      <c r="DHZ7" s="397"/>
      <c r="DIA7" s="397"/>
      <c r="DIB7" s="397"/>
      <c r="DIC7" s="397"/>
      <c r="DID7" s="397"/>
      <c r="DIE7" s="397"/>
      <c r="DIF7" s="397"/>
      <c r="DIG7" s="397"/>
      <c r="DIH7" s="397"/>
      <c r="DII7" s="397"/>
      <c r="DIJ7" s="397"/>
      <c r="DIK7" s="397"/>
      <c r="DIL7" s="397"/>
      <c r="DIM7" s="397"/>
      <c r="DIN7" s="397"/>
      <c r="DIO7" s="397"/>
      <c r="DIP7" s="397"/>
      <c r="DIQ7" s="397"/>
      <c r="DIR7" s="397"/>
      <c r="DIS7" s="397"/>
      <c r="DIT7" s="397"/>
      <c r="DIU7" s="397"/>
      <c r="DIV7" s="397"/>
      <c r="DIW7" s="397"/>
      <c r="DIX7" s="397"/>
      <c r="DIY7" s="397"/>
      <c r="DIZ7" s="397"/>
      <c r="DJA7" s="397"/>
      <c r="DJB7" s="397"/>
      <c r="DJC7" s="397"/>
      <c r="DJD7" s="397"/>
      <c r="DJE7" s="397"/>
      <c r="DJF7" s="397"/>
      <c r="DJG7" s="397"/>
      <c r="DJH7" s="397"/>
      <c r="DJI7" s="397"/>
      <c r="DJJ7" s="397"/>
      <c r="DJK7" s="397"/>
      <c r="DJL7" s="397"/>
      <c r="DJM7" s="397"/>
      <c r="DJN7" s="397"/>
      <c r="DJO7" s="397"/>
      <c r="DJP7" s="397"/>
      <c r="DJQ7" s="397"/>
      <c r="DJR7" s="397"/>
      <c r="DJS7" s="397"/>
      <c r="DJT7" s="397"/>
      <c r="DJU7" s="397"/>
      <c r="DJV7" s="397"/>
      <c r="DJW7" s="397"/>
      <c r="DJX7" s="397"/>
      <c r="DJY7" s="397"/>
      <c r="DJZ7" s="397"/>
      <c r="DKA7" s="397"/>
      <c r="DKB7" s="397"/>
      <c r="DKC7" s="397"/>
      <c r="DKD7" s="397"/>
      <c r="DKE7" s="397"/>
      <c r="DKF7" s="397"/>
      <c r="DKG7" s="397"/>
      <c r="DKH7" s="397"/>
      <c r="DKI7" s="397"/>
      <c r="DKJ7" s="397"/>
      <c r="DKK7" s="397"/>
      <c r="DKL7" s="397"/>
      <c r="DKM7" s="397"/>
      <c r="DKN7" s="397"/>
      <c r="DKO7" s="397"/>
      <c r="DKP7" s="397"/>
      <c r="DKQ7" s="397"/>
      <c r="DKR7" s="397"/>
      <c r="DKS7" s="397"/>
      <c r="DKT7" s="397"/>
      <c r="DKU7" s="397"/>
      <c r="DKV7" s="397"/>
      <c r="DKW7" s="397"/>
      <c r="DKX7" s="397"/>
      <c r="DKY7" s="397"/>
      <c r="DKZ7" s="397"/>
      <c r="DLA7" s="397"/>
      <c r="DLB7" s="397"/>
      <c r="DLC7" s="397"/>
      <c r="DLD7" s="397"/>
      <c r="DLE7" s="397"/>
      <c r="DLF7" s="397"/>
      <c r="DLG7" s="397"/>
      <c r="DLH7" s="397"/>
      <c r="DLI7" s="397"/>
      <c r="DLJ7" s="397"/>
      <c r="DLK7" s="397"/>
      <c r="DLL7" s="397"/>
      <c r="DLM7" s="397"/>
      <c r="DLN7" s="397"/>
      <c r="DLO7" s="397"/>
      <c r="DLP7" s="397"/>
      <c r="DLQ7" s="397"/>
      <c r="DLR7" s="397"/>
      <c r="DLS7" s="397"/>
      <c r="DLT7" s="397"/>
      <c r="DLU7" s="397"/>
      <c r="DLV7" s="397"/>
      <c r="DLW7" s="397"/>
      <c r="DLX7" s="397"/>
      <c r="DLY7" s="397"/>
      <c r="DLZ7" s="397"/>
      <c r="DMA7" s="397"/>
      <c r="DMB7" s="397"/>
      <c r="DMC7" s="397"/>
      <c r="DMD7" s="397"/>
      <c r="DME7" s="397"/>
      <c r="DMF7" s="397"/>
      <c r="DMG7" s="397"/>
      <c r="DMH7" s="397"/>
      <c r="DMI7" s="397"/>
      <c r="DMJ7" s="397"/>
      <c r="DMK7" s="397"/>
      <c r="DML7" s="397"/>
      <c r="DMM7" s="397"/>
      <c r="DMN7" s="397"/>
      <c r="DMO7" s="397"/>
      <c r="DMP7" s="397"/>
      <c r="DMQ7" s="397"/>
      <c r="DMR7" s="397"/>
      <c r="DMS7" s="397"/>
      <c r="DMT7" s="397"/>
      <c r="DMU7" s="397"/>
      <c r="DMV7" s="397"/>
      <c r="DMW7" s="397"/>
      <c r="DMX7" s="397"/>
      <c r="DMY7" s="397"/>
      <c r="DMZ7" s="397"/>
      <c r="DNA7" s="397"/>
      <c r="DNB7" s="397"/>
      <c r="DNC7" s="397"/>
      <c r="DND7" s="397"/>
      <c r="DNE7" s="397"/>
      <c r="DNF7" s="397"/>
      <c r="DNG7" s="397"/>
      <c r="DNH7" s="397"/>
      <c r="DNI7" s="397"/>
      <c r="DNJ7" s="397"/>
      <c r="DNK7" s="397"/>
      <c r="DNL7" s="397"/>
      <c r="DNM7" s="397"/>
      <c r="DNN7" s="397"/>
      <c r="DNO7" s="397"/>
      <c r="DNP7" s="397"/>
      <c r="DNQ7" s="397"/>
      <c r="DNR7" s="397"/>
      <c r="DNS7" s="397"/>
      <c r="DNT7" s="397"/>
      <c r="DNU7" s="397"/>
      <c r="DNV7" s="397"/>
      <c r="DNW7" s="397"/>
      <c r="DNX7" s="397"/>
      <c r="DNY7" s="397"/>
      <c r="DNZ7" s="397"/>
      <c r="DOA7" s="397"/>
      <c r="DOB7" s="397"/>
      <c r="DOC7" s="397"/>
      <c r="DOD7" s="397"/>
      <c r="DOE7" s="397"/>
      <c r="DOF7" s="397"/>
      <c r="DOG7" s="397"/>
      <c r="DOH7" s="397"/>
      <c r="DOI7" s="397"/>
      <c r="DOJ7" s="397"/>
      <c r="DOK7" s="397"/>
      <c r="DOL7" s="397"/>
      <c r="DOM7" s="397"/>
      <c r="DON7" s="397"/>
      <c r="DOO7" s="397"/>
      <c r="DOP7" s="397"/>
      <c r="DOQ7" s="397"/>
      <c r="DOR7" s="397"/>
      <c r="DOS7" s="397"/>
      <c r="DOT7" s="397"/>
      <c r="DOU7" s="397"/>
      <c r="DOV7" s="397"/>
      <c r="DOW7" s="397"/>
      <c r="DOX7" s="397"/>
      <c r="DOY7" s="397"/>
      <c r="DOZ7" s="397"/>
      <c r="DPA7" s="397"/>
      <c r="DPB7" s="397"/>
      <c r="DPC7" s="397"/>
      <c r="DPD7" s="397"/>
      <c r="DPE7" s="397"/>
      <c r="DPF7" s="397"/>
      <c r="DPG7" s="397"/>
      <c r="DPH7" s="397"/>
      <c r="DPI7" s="397"/>
      <c r="DPJ7" s="397"/>
      <c r="DPK7" s="397"/>
      <c r="DPL7" s="397"/>
      <c r="DPM7" s="397"/>
      <c r="DPN7" s="397"/>
      <c r="DPO7" s="397"/>
      <c r="DPP7" s="397"/>
      <c r="DPQ7" s="397"/>
      <c r="DPR7" s="397"/>
      <c r="DPS7" s="397"/>
      <c r="DPT7" s="397"/>
      <c r="DPU7" s="397"/>
      <c r="DPV7" s="397"/>
      <c r="DPW7" s="397"/>
      <c r="DPX7" s="397"/>
      <c r="DPY7" s="397"/>
      <c r="DPZ7" s="397"/>
      <c r="DQA7" s="397"/>
      <c r="DQB7" s="397"/>
      <c r="DQC7" s="397"/>
      <c r="DQD7" s="397"/>
      <c r="DQE7" s="397"/>
      <c r="DQF7" s="397"/>
      <c r="DQG7" s="397"/>
      <c r="DQH7" s="397"/>
      <c r="DQI7" s="397"/>
      <c r="DQJ7" s="397"/>
      <c r="DQK7" s="397"/>
      <c r="DQL7" s="397"/>
      <c r="DQM7" s="397"/>
      <c r="DQN7" s="397"/>
      <c r="DQO7" s="397"/>
      <c r="DQP7" s="397"/>
      <c r="DQQ7" s="397"/>
      <c r="DQR7" s="397"/>
      <c r="DQS7" s="397"/>
      <c r="DQT7" s="397"/>
      <c r="DQU7" s="397"/>
      <c r="DQV7" s="397"/>
      <c r="DQW7" s="397"/>
      <c r="DQX7" s="397"/>
      <c r="DQY7" s="397"/>
      <c r="DQZ7" s="397"/>
      <c r="DRA7" s="397"/>
      <c r="DRB7" s="397"/>
      <c r="DRC7" s="397"/>
      <c r="DRD7" s="397"/>
      <c r="DRE7" s="397"/>
      <c r="DRF7" s="397"/>
      <c r="DRG7" s="397"/>
      <c r="DRH7" s="397"/>
      <c r="DRI7" s="397"/>
      <c r="DRJ7" s="397"/>
      <c r="DRK7" s="397"/>
      <c r="DRL7" s="397"/>
      <c r="DRM7" s="397"/>
      <c r="DRN7" s="397"/>
      <c r="DRO7" s="397"/>
      <c r="DRP7" s="397"/>
      <c r="DRQ7" s="397"/>
      <c r="DRR7" s="397"/>
      <c r="DRS7" s="397"/>
      <c r="DRT7" s="397"/>
      <c r="DRU7" s="397"/>
      <c r="DRV7" s="397"/>
      <c r="DRW7" s="397"/>
      <c r="DRX7" s="397"/>
      <c r="DRY7" s="397"/>
      <c r="DRZ7" s="397"/>
      <c r="DSA7" s="397"/>
      <c r="DSB7" s="397"/>
      <c r="DSC7" s="397"/>
      <c r="DSD7" s="397"/>
      <c r="DSE7" s="397"/>
      <c r="DSF7" s="397"/>
      <c r="DSG7" s="397"/>
      <c r="DSH7" s="397"/>
      <c r="DSI7" s="397"/>
      <c r="DSJ7" s="397"/>
      <c r="DSK7" s="397"/>
      <c r="DSL7" s="397"/>
      <c r="DSM7" s="397"/>
      <c r="DSN7" s="397"/>
      <c r="DSO7" s="397"/>
      <c r="DSP7" s="397"/>
      <c r="DSQ7" s="397"/>
      <c r="DSR7" s="397"/>
      <c r="DSS7" s="397"/>
      <c r="DST7" s="397"/>
      <c r="DSU7" s="397"/>
      <c r="DSV7" s="397"/>
      <c r="DSW7" s="397"/>
      <c r="DSX7" s="397"/>
      <c r="DSY7" s="397"/>
      <c r="DSZ7" s="397"/>
      <c r="DTA7" s="397"/>
      <c r="DTB7" s="397"/>
      <c r="DTC7" s="397"/>
      <c r="DTD7" s="397"/>
      <c r="DTE7" s="397"/>
      <c r="DTF7" s="397"/>
      <c r="DTG7" s="397"/>
      <c r="DTH7" s="397"/>
      <c r="DTI7" s="397"/>
      <c r="DTJ7" s="397"/>
      <c r="DTK7" s="397"/>
      <c r="DTL7" s="397"/>
      <c r="DTM7" s="397"/>
      <c r="DTN7" s="397"/>
      <c r="DTO7" s="397"/>
      <c r="DTP7" s="397"/>
      <c r="DTQ7" s="397"/>
      <c r="DTR7" s="397"/>
      <c r="DTS7" s="397"/>
      <c r="DTT7" s="397"/>
      <c r="DTU7" s="397"/>
      <c r="DTV7" s="397"/>
      <c r="DTW7" s="397"/>
      <c r="DTX7" s="397"/>
      <c r="DTY7" s="397"/>
      <c r="DTZ7" s="397"/>
      <c r="DUA7" s="397"/>
      <c r="DUB7" s="397"/>
      <c r="DUC7" s="397"/>
      <c r="DUD7" s="397"/>
      <c r="DUE7" s="397"/>
      <c r="DUF7" s="397"/>
      <c r="DUG7" s="397"/>
      <c r="DUH7" s="397"/>
      <c r="DUI7" s="397"/>
      <c r="DUJ7" s="397"/>
      <c r="DUK7" s="397"/>
      <c r="DUL7" s="397"/>
      <c r="DUM7" s="397"/>
      <c r="DUN7" s="397"/>
      <c r="DUO7" s="397"/>
      <c r="DUP7" s="397"/>
      <c r="DUQ7" s="397"/>
      <c r="DUR7" s="397"/>
      <c r="DUS7" s="397"/>
      <c r="DUT7" s="397"/>
      <c r="DUU7" s="397"/>
      <c r="DUV7" s="397"/>
      <c r="DUW7" s="397"/>
      <c r="DUX7" s="397"/>
      <c r="DUY7" s="397"/>
      <c r="DUZ7" s="397"/>
      <c r="DVA7" s="397"/>
      <c r="DVB7" s="397"/>
      <c r="DVC7" s="397"/>
      <c r="DVD7" s="397"/>
      <c r="DVE7" s="397"/>
      <c r="DVF7" s="397"/>
      <c r="DVG7" s="397"/>
      <c r="DVH7" s="397"/>
      <c r="DVI7" s="397"/>
      <c r="DVJ7" s="397"/>
      <c r="DVK7" s="397"/>
      <c r="DVL7" s="397"/>
      <c r="DVM7" s="397"/>
      <c r="DVN7" s="397"/>
      <c r="DVO7" s="397"/>
      <c r="DVP7" s="397"/>
      <c r="DVQ7" s="397"/>
      <c r="DVR7" s="397"/>
      <c r="DVS7" s="397"/>
      <c r="DVT7" s="397"/>
      <c r="DVU7" s="397"/>
      <c r="DVV7" s="397"/>
      <c r="DVW7" s="397"/>
      <c r="DVX7" s="397"/>
      <c r="DVY7" s="397"/>
      <c r="DVZ7" s="397"/>
      <c r="DWA7" s="397"/>
      <c r="DWB7" s="397"/>
      <c r="DWC7" s="397"/>
      <c r="DWD7" s="397"/>
      <c r="DWE7" s="397"/>
      <c r="DWF7" s="397"/>
      <c r="DWG7" s="397"/>
      <c r="DWH7" s="397"/>
      <c r="DWI7" s="397"/>
      <c r="DWJ7" s="397"/>
      <c r="DWK7" s="397"/>
      <c r="DWL7" s="397"/>
      <c r="DWM7" s="397"/>
      <c r="DWN7" s="397"/>
      <c r="DWO7" s="397"/>
      <c r="DWP7" s="397"/>
      <c r="DWQ7" s="397"/>
      <c r="DWR7" s="397"/>
      <c r="DWS7" s="397"/>
      <c r="DWT7" s="397"/>
      <c r="DWU7" s="397"/>
      <c r="DWV7" s="397"/>
      <c r="DWW7" s="397"/>
      <c r="DWX7" s="397"/>
      <c r="DWY7" s="397"/>
      <c r="DWZ7" s="397"/>
      <c r="DXA7" s="397"/>
      <c r="DXB7" s="397"/>
      <c r="DXC7" s="397"/>
      <c r="DXD7" s="397"/>
      <c r="DXE7" s="397"/>
      <c r="DXF7" s="397"/>
      <c r="DXG7" s="397"/>
      <c r="DXH7" s="397"/>
      <c r="DXI7" s="397"/>
      <c r="DXJ7" s="397"/>
      <c r="DXK7" s="397"/>
      <c r="DXL7" s="397"/>
      <c r="DXM7" s="397"/>
      <c r="DXN7" s="397"/>
      <c r="DXO7" s="397"/>
      <c r="DXP7" s="397"/>
      <c r="DXQ7" s="397"/>
      <c r="DXR7" s="397"/>
      <c r="DXS7" s="397"/>
      <c r="DXT7" s="397"/>
      <c r="DXU7" s="397"/>
      <c r="DXV7" s="397"/>
      <c r="DXW7" s="397"/>
      <c r="DXX7" s="397"/>
      <c r="DXY7" s="397"/>
      <c r="DXZ7" s="397"/>
      <c r="DYA7" s="397"/>
      <c r="DYB7" s="397"/>
      <c r="DYC7" s="397"/>
      <c r="DYD7" s="397"/>
      <c r="DYE7" s="397"/>
      <c r="DYF7" s="397"/>
      <c r="DYG7" s="397"/>
      <c r="DYH7" s="397"/>
      <c r="DYI7" s="397"/>
      <c r="DYJ7" s="397"/>
      <c r="DYK7" s="397"/>
      <c r="DYL7" s="397"/>
      <c r="DYM7" s="397"/>
      <c r="DYN7" s="397"/>
      <c r="DYO7" s="397"/>
      <c r="DYP7" s="397"/>
      <c r="DYQ7" s="397"/>
      <c r="DYR7" s="397"/>
      <c r="DYS7" s="397"/>
      <c r="DYT7" s="397"/>
      <c r="DYU7" s="397"/>
      <c r="DYV7" s="397"/>
      <c r="DYW7" s="397"/>
      <c r="DYX7" s="397"/>
      <c r="DYY7" s="397"/>
      <c r="DYZ7" s="397"/>
      <c r="DZA7" s="397"/>
      <c r="DZB7" s="397"/>
      <c r="DZC7" s="397"/>
      <c r="DZD7" s="397"/>
      <c r="DZE7" s="397"/>
      <c r="DZF7" s="397"/>
      <c r="DZG7" s="397"/>
      <c r="DZH7" s="397"/>
      <c r="DZI7" s="397"/>
      <c r="DZJ7" s="397"/>
      <c r="DZK7" s="397"/>
      <c r="DZL7" s="397"/>
      <c r="DZM7" s="397"/>
      <c r="DZN7" s="397"/>
      <c r="DZO7" s="397"/>
      <c r="DZP7" s="397"/>
      <c r="DZQ7" s="397"/>
      <c r="DZR7" s="397"/>
      <c r="DZS7" s="397"/>
      <c r="DZT7" s="397"/>
      <c r="DZU7" s="397"/>
      <c r="DZV7" s="397"/>
      <c r="DZW7" s="397"/>
      <c r="DZX7" s="397"/>
      <c r="DZY7" s="397"/>
      <c r="DZZ7" s="397"/>
      <c r="EAA7" s="397"/>
      <c r="EAB7" s="397"/>
      <c r="EAC7" s="397"/>
      <c r="EAD7" s="397"/>
      <c r="EAE7" s="397"/>
      <c r="EAF7" s="397"/>
      <c r="EAG7" s="397"/>
      <c r="EAH7" s="397"/>
      <c r="EAI7" s="397"/>
      <c r="EAJ7" s="397"/>
      <c r="EAK7" s="397"/>
      <c r="EAL7" s="397"/>
      <c r="EAM7" s="397"/>
      <c r="EAN7" s="397"/>
      <c r="EAO7" s="397"/>
      <c r="EAP7" s="397"/>
      <c r="EAQ7" s="397"/>
      <c r="EAR7" s="397"/>
      <c r="EAS7" s="397"/>
      <c r="EAT7" s="397"/>
      <c r="EAU7" s="397"/>
      <c r="EAV7" s="397"/>
      <c r="EAW7" s="397"/>
      <c r="EAX7" s="397"/>
      <c r="EAY7" s="397"/>
      <c r="EAZ7" s="397"/>
      <c r="EBA7" s="397"/>
      <c r="EBB7" s="397"/>
      <c r="EBC7" s="397"/>
      <c r="EBD7" s="397"/>
      <c r="EBE7" s="397"/>
      <c r="EBF7" s="397"/>
      <c r="EBG7" s="397"/>
      <c r="EBH7" s="397"/>
      <c r="EBI7" s="397"/>
      <c r="EBJ7" s="397"/>
      <c r="EBK7" s="397"/>
      <c r="EBL7" s="397"/>
      <c r="EBM7" s="397"/>
      <c r="EBN7" s="397"/>
      <c r="EBO7" s="397"/>
      <c r="EBP7" s="397"/>
      <c r="EBQ7" s="397"/>
      <c r="EBR7" s="397"/>
      <c r="EBS7" s="397"/>
      <c r="EBT7" s="397"/>
      <c r="EBU7" s="397"/>
      <c r="EBV7" s="397"/>
      <c r="EBW7" s="397"/>
      <c r="EBX7" s="397"/>
      <c r="EBY7" s="397"/>
      <c r="EBZ7" s="397"/>
      <c r="ECA7" s="397"/>
      <c r="ECB7" s="397"/>
      <c r="ECC7" s="397"/>
      <c r="ECD7" s="397"/>
      <c r="ECE7" s="397"/>
      <c r="ECF7" s="397"/>
      <c r="ECG7" s="397"/>
      <c r="ECH7" s="397"/>
      <c r="ECI7" s="397"/>
      <c r="ECJ7" s="397"/>
      <c r="ECK7" s="397"/>
      <c r="ECL7" s="397"/>
      <c r="ECM7" s="397"/>
      <c r="ECN7" s="397"/>
      <c r="ECO7" s="397"/>
      <c r="ECP7" s="397"/>
      <c r="ECQ7" s="397"/>
      <c r="ECR7" s="397"/>
      <c r="ECS7" s="397"/>
      <c r="ECT7" s="397"/>
      <c r="ECU7" s="397"/>
      <c r="ECV7" s="397"/>
      <c r="ECW7" s="397"/>
      <c r="ECX7" s="397"/>
      <c r="ECY7" s="397"/>
      <c r="ECZ7" s="397"/>
      <c r="EDA7" s="397"/>
      <c r="EDB7" s="397"/>
      <c r="EDC7" s="397"/>
      <c r="EDD7" s="397"/>
      <c r="EDE7" s="397"/>
      <c r="EDF7" s="397"/>
      <c r="EDG7" s="397"/>
      <c r="EDH7" s="397"/>
      <c r="EDI7" s="397"/>
      <c r="EDJ7" s="397"/>
      <c r="EDK7" s="397"/>
      <c r="EDL7" s="397"/>
      <c r="EDM7" s="397"/>
      <c r="EDN7" s="397"/>
      <c r="EDO7" s="397"/>
      <c r="EDP7" s="397"/>
      <c r="EDQ7" s="397"/>
      <c r="EDR7" s="397"/>
      <c r="EDS7" s="397"/>
      <c r="EDT7" s="397"/>
      <c r="EDU7" s="397"/>
      <c r="EDV7" s="397"/>
      <c r="EDW7" s="397"/>
      <c r="EDX7" s="397"/>
      <c r="EDY7" s="397"/>
      <c r="EDZ7" s="397"/>
      <c r="EEA7" s="397"/>
      <c r="EEB7" s="397"/>
      <c r="EEC7" s="397"/>
      <c r="EED7" s="397"/>
      <c r="EEE7" s="397"/>
      <c r="EEF7" s="397"/>
      <c r="EEG7" s="397"/>
      <c r="EEH7" s="397"/>
      <c r="EEI7" s="397"/>
      <c r="EEJ7" s="397"/>
      <c r="EEK7" s="397"/>
      <c r="EEL7" s="397"/>
      <c r="EEM7" s="397"/>
      <c r="EEN7" s="397"/>
      <c r="EEO7" s="397"/>
      <c r="EEP7" s="397"/>
      <c r="EEQ7" s="397"/>
      <c r="EER7" s="397"/>
      <c r="EES7" s="397"/>
      <c r="EET7" s="397"/>
      <c r="EEU7" s="397"/>
      <c r="EEV7" s="397"/>
      <c r="EEW7" s="397"/>
      <c r="EEX7" s="397"/>
      <c r="EEY7" s="397"/>
      <c r="EEZ7" s="397"/>
      <c r="EFA7" s="397"/>
      <c r="EFB7" s="397"/>
      <c r="EFC7" s="397"/>
      <c r="EFD7" s="397"/>
      <c r="EFE7" s="397"/>
      <c r="EFF7" s="397"/>
      <c r="EFG7" s="397"/>
      <c r="EFH7" s="397"/>
      <c r="EFI7" s="397"/>
      <c r="EFJ7" s="397"/>
      <c r="EFK7" s="397"/>
      <c r="EFL7" s="397"/>
      <c r="EFM7" s="397"/>
      <c r="EFN7" s="397"/>
      <c r="EFO7" s="397"/>
      <c r="EFP7" s="397"/>
      <c r="EFQ7" s="397"/>
      <c r="EFR7" s="397"/>
      <c r="EFS7" s="397"/>
      <c r="EFT7" s="397"/>
      <c r="EFU7" s="397"/>
      <c r="EFV7" s="397"/>
      <c r="EFW7" s="397"/>
      <c r="EFX7" s="397"/>
      <c r="EFY7" s="397"/>
      <c r="EFZ7" s="397"/>
      <c r="EGA7" s="397"/>
      <c r="EGB7" s="397"/>
      <c r="EGC7" s="397"/>
      <c r="EGD7" s="397"/>
      <c r="EGE7" s="397"/>
      <c r="EGF7" s="397"/>
      <c r="EGG7" s="397"/>
      <c r="EGH7" s="397"/>
      <c r="EGI7" s="397"/>
      <c r="EGJ7" s="397"/>
      <c r="EGK7" s="397"/>
      <c r="EGL7" s="397"/>
      <c r="EGM7" s="397"/>
      <c r="EGN7" s="397"/>
      <c r="EGO7" s="397"/>
      <c r="EGP7" s="397"/>
      <c r="EGQ7" s="397"/>
      <c r="EGR7" s="397"/>
      <c r="EGS7" s="397"/>
      <c r="EGT7" s="397"/>
      <c r="EGU7" s="397"/>
      <c r="EGV7" s="397"/>
      <c r="EGW7" s="397"/>
      <c r="EGX7" s="397"/>
      <c r="EGY7" s="397"/>
      <c r="EGZ7" s="397"/>
      <c r="EHA7" s="397"/>
      <c r="EHB7" s="397"/>
      <c r="EHC7" s="397"/>
      <c r="EHD7" s="397"/>
      <c r="EHE7" s="397"/>
      <c r="EHF7" s="397"/>
      <c r="EHG7" s="397"/>
      <c r="EHH7" s="397"/>
      <c r="EHI7" s="397"/>
      <c r="EHJ7" s="397"/>
      <c r="EHK7" s="397"/>
      <c r="EHL7" s="397"/>
      <c r="EHM7" s="397"/>
      <c r="EHN7" s="397"/>
      <c r="EHO7" s="397"/>
      <c r="EHP7" s="397"/>
      <c r="EHQ7" s="397"/>
      <c r="EHR7" s="397"/>
      <c r="EHS7" s="397"/>
      <c r="EHT7" s="397"/>
      <c r="EHU7" s="397"/>
      <c r="EHV7" s="397"/>
      <c r="EHW7" s="397"/>
      <c r="EHX7" s="397"/>
      <c r="EHY7" s="397"/>
      <c r="EHZ7" s="397"/>
      <c r="EIA7" s="397"/>
      <c r="EIB7" s="397"/>
      <c r="EIC7" s="397"/>
      <c r="EID7" s="397"/>
      <c r="EIE7" s="397"/>
      <c r="EIF7" s="397"/>
      <c r="EIG7" s="397"/>
      <c r="EIH7" s="397"/>
      <c r="EII7" s="397"/>
      <c r="EIJ7" s="397"/>
      <c r="EIK7" s="397"/>
      <c r="EIL7" s="397"/>
      <c r="EIM7" s="397"/>
      <c r="EIN7" s="397"/>
      <c r="EIO7" s="397"/>
      <c r="EIP7" s="397"/>
      <c r="EIQ7" s="397"/>
      <c r="EIR7" s="397"/>
      <c r="EIS7" s="397"/>
      <c r="EIT7" s="397"/>
      <c r="EIU7" s="397"/>
      <c r="EIV7" s="397"/>
      <c r="EIW7" s="397"/>
      <c r="EIX7" s="397"/>
      <c r="EIY7" s="397"/>
      <c r="EIZ7" s="397"/>
      <c r="EJA7" s="397"/>
      <c r="EJB7" s="397"/>
      <c r="EJC7" s="397"/>
      <c r="EJD7" s="397"/>
      <c r="EJE7" s="397"/>
      <c r="EJF7" s="397"/>
      <c r="EJG7" s="397"/>
      <c r="EJH7" s="397"/>
      <c r="EJI7" s="397"/>
      <c r="EJJ7" s="397"/>
      <c r="EJK7" s="397"/>
      <c r="EJL7" s="397"/>
      <c r="EJM7" s="397"/>
      <c r="EJN7" s="397"/>
      <c r="EJO7" s="397"/>
      <c r="EJP7" s="397"/>
      <c r="EJQ7" s="397"/>
      <c r="EJR7" s="397"/>
      <c r="EJS7" s="397"/>
      <c r="EJT7" s="397"/>
      <c r="EJU7" s="397"/>
      <c r="EJV7" s="397"/>
      <c r="EJW7" s="397"/>
      <c r="EJX7" s="397"/>
      <c r="EJY7" s="397"/>
      <c r="EJZ7" s="397"/>
      <c r="EKA7" s="397"/>
      <c r="EKB7" s="397"/>
      <c r="EKC7" s="397"/>
      <c r="EKD7" s="397"/>
      <c r="EKE7" s="397"/>
      <c r="EKF7" s="397"/>
      <c r="EKG7" s="397"/>
      <c r="EKH7" s="397"/>
      <c r="EKI7" s="397"/>
      <c r="EKJ7" s="397"/>
      <c r="EKK7" s="397"/>
      <c r="EKL7" s="397"/>
      <c r="EKM7" s="397"/>
      <c r="EKN7" s="397"/>
      <c r="EKO7" s="397"/>
      <c r="EKP7" s="397"/>
      <c r="EKQ7" s="397"/>
      <c r="EKR7" s="397"/>
      <c r="EKS7" s="397"/>
      <c r="EKT7" s="397"/>
      <c r="EKU7" s="397"/>
      <c r="EKV7" s="397"/>
      <c r="EKW7" s="397"/>
      <c r="EKX7" s="397"/>
      <c r="EKY7" s="397"/>
      <c r="EKZ7" s="397"/>
      <c r="ELA7" s="397"/>
      <c r="ELB7" s="397"/>
      <c r="ELC7" s="397"/>
      <c r="ELD7" s="397"/>
      <c r="ELE7" s="397"/>
      <c r="ELF7" s="397"/>
      <c r="ELG7" s="397"/>
      <c r="ELH7" s="397"/>
      <c r="ELI7" s="397"/>
      <c r="ELJ7" s="397"/>
      <c r="ELK7" s="397"/>
      <c r="ELL7" s="397"/>
      <c r="ELM7" s="397"/>
      <c r="ELN7" s="397"/>
      <c r="ELO7" s="397"/>
      <c r="ELP7" s="397"/>
      <c r="ELQ7" s="397"/>
      <c r="ELR7" s="397"/>
      <c r="ELS7" s="397"/>
      <c r="ELT7" s="397"/>
      <c r="ELU7" s="397"/>
      <c r="ELV7" s="397"/>
      <c r="ELW7" s="397"/>
      <c r="ELX7" s="397"/>
      <c r="ELY7" s="397"/>
      <c r="ELZ7" s="397"/>
      <c r="EMA7" s="397"/>
      <c r="EMB7" s="397"/>
      <c r="EMC7" s="397"/>
      <c r="EMD7" s="397"/>
      <c r="EME7" s="397"/>
      <c r="EMF7" s="397"/>
      <c r="EMG7" s="397"/>
      <c r="EMH7" s="397"/>
      <c r="EMI7" s="397"/>
      <c r="EMJ7" s="397"/>
      <c r="EMK7" s="397"/>
      <c r="EML7" s="397"/>
      <c r="EMM7" s="397"/>
      <c r="EMN7" s="397"/>
      <c r="EMO7" s="397"/>
      <c r="EMP7" s="397"/>
      <c r="EMQ7" s="397"/>
      <c r="EMR7" s="397"/>
      <c r="EMS7" s="397"/>
      <c r="EMT7" s="397"/>
      <c r="EMU7" s="397"/>
      <c r="EMV7" s="397"/>
      <c r="EMW7" s="397"/>
      <c r="EMX7" s="397"/>
      <c r="EMY7" s="397"/>
      <c r="EMZ7" s="397"/>
      <c r="ENA7" s="397"/>
      <c r="ENB7" s="397"/>
      <c r="ENC7" s="397"/>
      <c r="END7" s="397"/>
      <c r="ENE7" s="397"/>
      <c r="ENF7" s="397"/>
      <c r="ENG7" s="397"/>
      <c r="ENH7" s="397"/>
      <c r="ENI7" s="397"/>
      <c r="ENJ7" s="397"/>
      <c r="ENK7" s="397"/>
      <c r="ENL7" s="397"/>
      <c r="ENM7" s="397"/>
      <c r="ENN7" s="397"/>
      <c r="ENO7" s="397"/>
      <c r="ENP7" s="397"/>
      <c r="ENQ7" s="397"/>
      <c r="ENR7" s="397"/>
      <c r="ENS7" s="397"/>
      <c r="ENT7" s="397"/>
      <c r="ENU7" s="397"/>
      <c r="ENV7" s="397"/>
      <c r="ENW7" s="397"/>
      <c r="ENX7" s="397"/>
      <c r="ENY7" s="397"/>
      <c r="ENZ7" s="397"/>
      <c r="EOA7" s="397"/>
      <c r="EOB7" s="397"/>
      <c r="EOC7" s="397"/>
      <c r="EOD7" s="397"/>
      <c r="EOE7" s="397"/>
      <c r="EOF7" s="397"/>
      <c r="EOG7" s="397"/>
      <c r="EOH7" s="397"/>
      <c r="EOI7" s="397"/>
      <c r="EOJ7" s="397"/>
      <c r="EOK7" s="397"/>
      <c r="EOL7" s="397"/>
      <c r="EOM7" s="397"/>
      <c r="EON7" s="397"/>
      <c r="EOO7" s="397"/>
      <c r="EOP7" s="397"/>
      <c r="EOQ7" s="397"/>
      <c r="EOR7" s="397"/>
      <c r="EOS7" s="397"/>
      <c r="EOT7" s="397"/>
      <c r="EOU7" s="397"/>
      <c r="EOV7" s="397"/>
      <c r="EOW7" s="397"/>
      <c r="EOX7" s="397"/>
      <c r="EOY7" s="397"/>
      <c r="EOZ7" s="397"/>
      <c r="EPA7" s="397"/>
      <c r="EPB7" s="397"/>
      <c r="EPC7" s="397"/>
      <c r="EPD7" s="397"/>
      <c r="EPE7" s="397"/>
      <c r="EPF7" s="397"/>
      <c r="EPG7" s="397"/>
      <c r="EPH7" s="397"/>
      <c r="EPI7" s="397"/>
      <c r="EPJ7" s="397"/>
      <c r="EPK7" s="397"/>
      <c r="EPL7" s="397"/>
      <c r="EPM7" s="397"/>
      <c r="EPN7" s="397"/>
      <c r="EPO7" s="397"/>
      <c r="EPP7" s="397"/>
      <c r="EPQ7" s="397"/>
      <c r="EPR7" s="397"/>
      <c r="EPS7" s="397"/>
      <c r="EPT7" s="397"/>
      <c r="EPU7" s="397"/>
      <c r="EPV7" s="397"/>
      <c r="EPW7" s="397"/>
      <c r="EPX7" s="397"/>
      <c r="EPY7" s="397"/>
      <c r="EPZ7" s="397"/>
      <c r="EQA7" s="397"/>
      <c r="EQB7" s="397"/>
      <c r="EQC7" s="397"/>
      <c r="EQD7" s="397"/>
      <c r="EQE7" s="397"/>
      <c r="EQF7" s="397"/>
      <c r="EQG7" s="397"/>
      <c r="EQH7" s="397"/>
      <c r="EQI7" s="397"/>
      <c r="EQJ7" s="397"/>
      <c r="EQK7" s="397"/>
      <c r="EQL7" s="397"/>
      <c r="EQM7" s="397"/>
      <c r="EQN7" s="397"/>
      <c r="EQO7" s="397"/>
      <c r="EQP7" s="397"/>
      <c r="EQQ7" s="397"/>
      <c r="EQR7" s="397"/>
      <c r="EQS7" s="397"/>
      <c r="EQT7" s="397"/>
      <c r="EQU7" s="397"/>
      <c r="EQV7" s="397"/>
      <c r="EQW7" s="397"/>
      <c r="EQX7" s="397"/>
      <c r="EQY7" s="397"/>
      <c r="EQZ7" s="397"/>
      <c r="ERA7" s="397"/>
      <c r="ERB7" s="397"/>
      <c r="ERC7" s="397"/>
      <c r="ERD7" s="397"/>
      <c r="ERE7" s="397"/>
      <c r="ERF7" s="397"/>
      <c r="ERG7" s="397"/>
      <c r="ERH7" s="397"/>
      <c r="ERI7" s="397"/>
      <c r="ERJ7" s="397"/>
      <c r="ERK7" s="397"/>
      <c r="ERL7" s="397"/>
      <c r="ERM7" s="397"/>
      <c r="ERN7" s="397"/>
      <c r="ERO7" s="397"/>
      <c r="ERP7" s="397"/>
      <c r="ERQ7" s="397"/>
      <c r="ERR7" s="397"/>
      <c r="ERS7" s="397"/>
      <c r="ERT7" s="397"/>
      <c r="ERU7" s="397"/>
      <c r="ERV7" s="397"/>
      <c r="ERW7" s="397"/>
      <c r="ERX7" s="397"/>
      <c r="ERY7" s="397"/>
      <c r="ERZ7" s="397"/>
      <c r="ESA7" s="397"/>
      <c r="ESB7" s="397"/>
      <c r="ESC7" s="397"/>
      <c r="ESD7" s="397"/>
      <c r="ESE7" s="397"/>
      <c r="ESF7" s="397"/>
      <c r="ESG7" s="397"/>
      <c r="ESH7" s="397"/>
      <c r="ESI7" s="397"/>
      <c r="ESJ7" s="397"/>
      <c r="ESK7" s="397"/>
      <c r="ESL7" s="397"/>
      <c r="ESM7" s="397"/>
      <c r="ESN7" s="397"/>
      <c r="ESO7" s="397"/>
      <c r="ESP7" s="397"/>
      <c r="ESQ7" s="397"/>
      <c r="ESR7" s="397"/>
      <c r="ESS7" s="397"/>
      <c r="EST7" s="397"/>
      <c r="ESU7" s="397"/>
      <c r="ESV7" s="397"/>
      <c r="ESW7" s="397"/>
      <c r="ESX7" s="397"/>
      <c r="ESY7" s="397"/>
      <c r="ESZ7" s="397"/>
      <c r="ETA7" s="397"/>
      <c r="ETB7" s="397"/>
      <c r="ETC7" s="397"/>
      <c r="ETD7" s="397"/>
      <c r="ETE7" s="397"/>
      <c r="ETF7" s="397"/>
      <c r="ETG7" s="397"/>
      <c r="ETH7" s="397"/>
      <c r="ETI7" s="397"/>
      <c r="ETJ7" s="397"/>
      <c r="ETK7" s="397"/>
      <c r="ETL7" s="397"/>
      <c r="ETM7" s="397"/>
      <c r="ETN7" s="397"/>
      <c r="ETO7" s="397"/>
      <c r="ETP7" s="397"/>
      <c r="ETQ7" s="397"/>
      <c r="ETR7" s="397"/>
      <c r="ETS7" s="397"/>
      <c r="ETT7" s="397"/>
      <c r="ETU7" s="397"/>
      <c r="ETV7" s="397"/>
      <c r="ETW7" s="397"/>
      <c r="ETX7" s="397"/>
      <c r="ETY7" s="397"/>
      <c r="ETZ7" s="397"/>
      <c r="EUA7" s="397"/>
      <c r="EUB7" s="397"/>
      <c r="EUC7" s="397"/>
      <c r="EUD7" s="397"/>
      <c r="EUE7" s="397"/>
      <c r="EUF7" s="397"/>
      <c r="EUG7" s="397"/>
      <c r="EUH7" s="397"/>
      <c r="EUI7" s="397"/>
      <c r="EUJ7" s="397"/>
      <c r="EUK7" s="397"/>
      <c r="EUL7" s="397"/>
      <c r="EUM7" s="397"/>
      <c r="EUN7" s="397"/>
      <c r="EUO7" s="397"/>
      <c r="EUP7" s="397"/>
      <c r="EUQ7" s="397"/>
      <c r="EUR7" s="397"/>
      <c r="EUS7" s="397"/>
      <c r="EUT7" s="397"/>
      <c r="EUU7" s="397"/>
      <c r="EUV7" s="397"/>
      <c r="EUW7" s="397"/>
      <c r="EUX7" s="397"/>
      <c r="EUY7" s="397"/>
      <c r="EUZ7" s="397"/>
      <c r="EVA7" s="397"/>
      <c r="EVB7" s="397"/>
      <c r="EVC7" s="397"/>
      <c r="EVD7" s="397"/>
      <c r="EVE7" s="397"/>
      <c r="EVF7" s="397"/>
      <c r="EVG7" s="397"/>
      <c r="EVH7" s="397"/>
      <c r="EVI7" s="397"/>
      <c r="EVJ7" s="397"/>
      <c r="EVK7" s="397"/>
      <c r="EVL7" s="397"/>
      <c r="EVM7" s="397"/>
      <c r="EVN7" s="397"/>
      <c r="EVO7" s="397"/>
      <c r="EVP7" s="397"/>
      <c r="EVQ7" s="397"/>
      <c r="EVR7" s="397"/>
      <c r="EVS7" s="397"/>
      <c r="EVT7" s="397"/>
      <c r="EVU7" s="397"/>
      <c r="EVV7" s="397"/>
      <c r="EVW7" s="397"/>
      <c r="EVX7" s="397"/>
      <c r="EVY7" s="397"/>
      <c r="EVZ7" s="397"/>
      <c r="EWA7" s="397"/>
      <c r="EWB7" s="397"/>
      <c r="EWC7" s="397"/>
      <c r="EWD7" s="397"/>
      <c r="EWE7" s="397"/>
      <c r="EWF7" s="397"/>
      <c r="EWG7" s="397"/>
      <c r="EWH7" s="397"/>
      <c r="EWI7" s="397"/>
      <c r="EWJ7" s="397"/>
      <c r="EWK7" s="397"/>
      <c r="EWL7" s="397"/>
      <c r="EWM7" s="397"/>
      <c r="EWN7" s="397"/>
      <c r="EWO7" s="397"/>
      <c r="EWP7" s="397"/>
      <c r="EWQ7" s="397"/>
      <c r="EWR7" s="397"/>
      <c r="EWS7" s="397"/>
      <c r="EWT7" s="397"/>
      <c r="EWU7" s="397"/>
      <c r="EWV7" s="397"/>
      <c r="EWW7" s="397"/>
      <c r="EWX7" s="397"/>
      <c r="EWY7" s="397"/>
      <c r="EWZ7" s="397"/>
      <c r="EXA7" s="397"/>
      <c r="EXB7" s="397"/>
      <c r="EXC7" s="397"/>
      <c r="EXD7" s="397"/>
      <c r="EXE7" s="397"/>
      <c r="EXF7" s="397"/>
      <c r="EXG7" s="397"/>
      <c r="EXH7" s="397"/>
      <c r="EXI7" s="397"/>
      <c r="EXJ7" s="397"/>
      <c r="EXK7" s="397"/>
      <c r="EXL7" s="397"/>
      <c r="EXM7" s="397"/>
      <c r="EXN7" s="397"/>
      <c r="EXO7" s="397"/>
      <c r="EXP7" s="397"/>
      <c r="EXQ7" s="397"/>
      <c r="EXR7" s="397"/>
      <c r="EXS7" s="397"/>
      <c r="EXT7" s="397"/>
      <c r="EXU7" s="397"/>
      <c r="EXV7" s="397"/>
      <c r="EXW7" s="397"/>
      <c r="EXX7" s="397"/>
      <c r="EXY7" s="397"/>
      <c r="EXZ7" s="397"/>
      <c r="EYA7" s="397"/>
      <c r="EYB7" s="397"/>
      <c r="EYC7" s="397"/>
      <c r="EYD7" s="397"/>
      <c r="EYE7" s="397"/>
      <c r="EYF7" s="397"/>
      <c r="EYG7" s="397"/>
      <c r="EYH7" s="397"/>
      <c r="EYI7" s="397"/>
      <c r="EYJ7" s="397"/>
      <c r="EYK7" s="397"/>
      <c r="EYL7" s="397"/>
      <c r="EYM7" s="397"/>
      <c r="EYN7" s="397"/>
      <c r="EYO7" s="397"/>
      <c r="EYP7" s="397"/>
      <c r="EYQ7" s="397"/>
      <c r="EYR7" s="397"/>
      <c r="EYS7" s="397"/>
      <c r="EYT7" s="397"/>
      <c r="EYU7" s="397"/>
      <c r="EYV7" s="397"/>
      <c r="EYW7" s="397"/>
      <c r="EYX7" s="397"/>
      <c r="EYY7" s="397"/>
      <c r="EYZ7" s="397"/>
      <c r="EZA7" s="397"/>
      <c r="EZB7" s="397"/>
      <c r="EZC7" s="397"/>
      <c r="EZD7" s="397"/>
      <c r="EZE7" s="397"/>
      <c r="EZF7" s="397"/>
      <c r="EZG7" s="397"/>
      <c r="EZH7" s="397"/>
      <c r="EZI7" s="397"/>
      <c r="EZJ7" s="397"/>
      <c r="EZK7" s="397"/>
      <c r="EZL7" s="397"/>
      <c r="EZM7" s="397"/>
      <c r="EZN7" s="397"/>
      <c r="EZO7" s="397"/>
      <c r="EZP7" s="397"/>
      <c r="EZQ7" s="397"/>
      <c r="EZR7" s="397"/>
      <c r="EZS7" s="397"/>
      <c r="EZT7" s="397"/>
      <c r="EZU7" s="397"/>
      <c r="EZV7" s="397"/>
      <c r="EZW7" s="397"/>
      <c r="EZX7" s="397"/>
      <c r="EZY7" s="397"/>
      <c r="EZZ7" s="397"/>
      <c r="FAA7" s="397"/>
      <c r="FAB7" s="397"/>
      <c r="FAC7" s="397"/>
      <c r="FAD7" s="397"/>
      <c r="FAE7" s="397"/>
      <c r="FAF7" s="397"/>
      <c r="FAG7" s="397"/>
      <c r="FAH7" s="397"/>
      <c r="FAI7" s="397"/>
      <c r="FAJ7" s="397"/>
      <c r="FAK7" s="397"/>
      <c r="FAL7" s="397"/>
      <c r="FAM7" s="397"/>
      <c r="FAN7" s="397"/>
      <c r="FAO7" s="397"/>
      <c r="FAP7" s="397"/>
      <c r="FAQ7" s="397"/>
      <c r="FAR7" s="397"/>
      <c r="FAS7" s="397"/>
      <c r="FAT7" s="397"/>
      <c r="FAU7" s="397"/>
      <c r="FAV7" s="397"/>
      <c r="FAW7" s="397"/>
      <c r="FAX7" s="397"/>
      <c r="FAY7" s="397"/>
      <c r="FAZ7" s="397"/>
      <c r="FBA7" s="397"/>
      <c r="FBB7" s="397"/>
      <c r="FBC7" s="397"/>
      <c r="FBD7" s="397"/>
      <c r="FBE7" s="397"/>
      <c r="FBF7" s="397"/>
      <c r="FBG7" s="397"/>
      <c r="FBH7" s="397"/>
      <c r="FBI7" s="397"/>
      <c r="FBJ7" s="397"/>
      <c r="FBK7" s="397"/>
      <c r="FBL7" s="397"/>
      <c r="FBM7" s="397"/>
      <c r="FBN7" s="397"/>
      <c r="FBO7" s="397"/>
      <c r="FBP7" s="397"/>
      <c r="FBQ7" s="397"/>
      <c r="FBR7" s="397"/>
      <c r="FBS7" s="397"/>
      <c r="FBT7" s="397"/>
      <c r="FBU7" s="397"/>
      <c r="FBV7" s="397"/>
      <c r="FBW7" s="397"/>
      <c r="FBX7" s="397"/>
      <c r="FBY7" s="397"/>
      <c r="FBZ7" s="397"/>
      <c r="FCA7" s="397"/>
      <c r="FCB7" s="397"/>
      <c r="FCC7" s="397"/>
      <c r="FCD7" s="397"/>
      <c r="FCE7" s="397"/>
      <c r="FCF7" s="397"/>
      <c r="FCG7" s="397"/>
      <c r="FCH7" s="397"/>
      <c r="FCI7" s="397"/>
      <c r="FCJ7" s="397"/>
      <c r="FCK7" s="397"/>
      <c r="FCL7" s="397"/>
      <c r="FCM7" s="397"/>
      <c r="FCN7" s="397"/>
      <c r="FCO7" s="397"/>
      <c r="FCP7" s="397"/>
      <c r="FCQ7" s="397"/>
      <c r="FCR7" s="397"/>
      <c r="FCS7" s="397"/>
      <c r="FCT7" s="397"/>
      <c r="FCU7" s="397"/>
      <c r="FCV7" s="397"/>
      <c r="FCW7" s="397"/>
      <c r="FCX7" s="397"/>
      <c r="FCY7" s="397"/>
      <c r="FCZ7" s="397"/>
      <c r="FDA7" s="397"/>
      <c r="FDB7" s="397"/>
      <c r="FDC7" s="397"/>
      <c r="FDD7" s="397"/>
      <c r="FDE7" s="397"/>
      <c r="FDF7" s="397"/>
      <c r="FDG7" s="397"/>
      <c r="FDH7" s="397"/>
      <c r="FDI7" s="397"/>
      <c r="FDJ7" s="397"/>
      <c r="FDK7" s="397"/>
      <c r="FDL7" s="397"/>
      <c r="FDM7" s="397"/>
      <c r="FDN7" s="397"/>
      <c r="FDO7" s="397"/>
      <c r="FDP7" s="397"/>
      <c r="FDQ7" s="397"/>
      <c r="FDR7" s="397"/>
      <c r="FDS7" s="397"/>
      <c r="FDT7" s="397"/>
      <c r="FDU7" s="397"/>
      <c r="FDV7" s="397"/>
      <c r="FDW7" s="397"/>
      <c r="FDX7" s="397"/>
      <c r="FDY7" s="397"/>
      <c r="FDZ7" s="397"/>
      <c r="FEA7" s="397"/>
      <c r="FEB7" s="397"/>
      <c r="FEC7" s="397"/>
      <c r="FED7" s="397"/>
      <c r="FEE7" s="397"/>
      <c r="FEF7" s="397"/>
      <c r="FEG7" s="397"/>
      <c r="FEH7" s="397"/>
      <c r="FEI7" s="397"/>
      <c r="FEJ7" s="397"/>
      <c r="FEK7" s="397"/>
      <c r="FEL7" s="397"/>
      <c r="FEM7" s="397"/>
      <c r="FEN7" s="397"/>
      <c r="FEO7" s="397"/>
      <c r="FEP7" s="397"/>
      <c r="FEQ7" s="397"/>
      <c r="FER7" s="397"/>
      <c r="FES7" s="397"/>
      <c r="FET7" s="397"/>
      <c r="FEU7" s="397"/>
      <c r="FEV7" s="397"/>
      <c r="FEW7" s="397"/>
      <c r="FEX7" s="397"/>
      <c r="FEY7" s="397"/>
      <c r="FEZ7" s="397"/>
      <c r="FFA7" s="397"/>
      <c r="FFB7" s="397"/>
      <c r="FFC7" s="397"/>
      <c r="FFD7" s="397"/>
      <c r="FFE7" s="397"/>
      <c r="FFF7" s="397"/>
      <c r="FFG7" s="397"/>
      <c r="FFH7" s="397"/>
      <c r="FFI7" s="397"/>
      <c r="FFJ7" s="397"/>
      <c r="FFK7" s="397"/>
      <c r="FFL7" s="397"/>
      <c r="FFM7" s="397"/>
      <c r="FFN7" s="397"/>
      <c r="FFO7" s="397"/>
      <c r="FFP7" s="397"/>
      <c r="FFQ7" s="397"/>
      <c r="FFR7" s="397"/>
      <c r="FFS7" s="397"/>
      <c r="FFT7" s="397"/>
      <c r="FFU7" s="397"/>
      <c r="FFV7" s="397"/>
      <c r="FFW7" s="397"/>
      <c r="FFX7" s="397"/>
      <c r="FFY7" s="397"/>
      <c r="FFZ7" s="397"/>
      <c r="FGA7" s="397"/>
      <c r="FGB7" s="397"/>
      <c r="FGC7" s="397"/>
      <c r="FGD7" s="397"/>
      <c r="FGE7" s="397"/>
      <c r="FGF7" s="397"/>
      <c r="FGG7" s="397"/>
      <c r="FGH7" s="397"/>
      <c r="FGI7" s="397"/>
      <c r="FGJ7" s="397"/>
      <c r="FGK7" s="397"/>
      <c r="FGL7" s="397"/>
      <c r="FGM7" s="397"/>
      <c r="FGN7" s="397"/>
      <c r="FGO7" s="397"/>
      <c r="FGP7" s="397"/>
      <c r="FGQ7" s="397"/>
      <c r="FGR7" s="397"/>
      <c r="FGS7" s="397"/>
      <c r="FGT7" s="397"/>
      <c r="FGU7" s="397"/>
      <c r="FGV7" s="397"/>
      <c r="FGW7" s="397"/>
      <c r="FGX7" s="397"/>
      <c r="FGY7" s="397"/>
      <c r="FGZ7" s="397"/>
      <c r="FHA7" s="397"/>
      <c r="FHB7" s="397"/>
      <c r="FHC7" s="397"/>
      <c r="FHD7" s="397"/>
      <c r="FHE7" s="397"/>
      <c r="FHF7" s="397"/>
      <c r="FHG7" s="397"/>
      <c r="FHH7" s="397"/>
      <c r="FHI7" s="397"/>
      <c r="FHJ7" s="397"/>
      <c r="FHK7" s="397"/>
      <c r="FHL7" s="397"/>
      <c r="FHM7" s="397"/>
      <c r="FHN7" s="397"/>
      <c r="FHO7" s="397"/>
      <c r="FHP7" s="397"/>
      <c r="FHQ7" s="397"/>
      <c r="FHR7" s="397"/>
      <c r="FHS7" s="397"/>
      <c r="FHT7" s="397"/>
      <c r="FHU7" s="397"/>
      <c r="FHV7" s="397"/>
      <c r="FHW7" s="397"/>
      <c r="FHX7" s="397"/>
      <c r="FHY7" s="397"/>
      <c r="FHZ7" s="397"/>
      <c r="FIA7" s="397"/>
      <c r="FIB7" s="397"/>
      <c r="FIC7" s="397"/>
      <c r="FID7" s="397"/>
      <c r="FIE7" s="397"/>
      <c r="FIF7" s="397"/>
      <c r="FIG7" s="397"/>
      <c r="FIH7" s="397"/>
      <c r="FII7" s="397"/>
      <c r="FIJ7" s="397"/>
      <c r="FIK7" s="397"/>
      <c r="FIL7" s="397"/>
      <c r="FIM7" s="397"/>
      <c r="FIN7" s="397"/>
      <c r="FIO7" s="397"/>
      <c r="FIP7" s="397"/>
      <c r="FIQ7" s="397"/>
      <c r="FIR7" s="397"/>
      <c r="FIS7" s="397"/>
      <c r="FIT7" s="397"/>
      <c r="FIU7" s="397"/>
      <c r="FIV7" s="397"/>
      <c r="FIW7" s="397"/>
      <c r="FIX7" s="397"/>
      <c r="FIY7" s="397"/>
      <c r="FIZ7" s="397"/>
      <c r="FJA7" s="397"/>
      <c r="FJB7" s="397"/>
      <c r="FJC7" s="397"/>
      <c r="FJD7" s="397"/>
      <c r="FJE7" s="397"/>
      <c r="FJF7" s="397"/>
      <c r="FJG7" s="397"/>
      <c r="FJH7" s="397"/>
      <c r="FJI7" s="397"/>
      <c r="FJJ7" s="397"/>
      <c r="FJK7" s="397"/>
      <c r="FJL7" s="397"/>
      <c r="FJM7" s="397"/>
      <c r="FJN7" s="397"/>
      <c r="FJO7" s="397"/>
      <c r="FJP7" s="397"/>
      <c r="FJQ7" s="397"/>
      <c r="FJR7" s="397"/>
      <c r="FJS7" s="397"/>
      <c r="FJT7" s="397"/>
      <c r="FJU7" s="397"/>
      <c r="FJV7" s="397"/>
      <c r="FJW7" s="397"/>
      <c r="FJX7" s="397"/>
      <c r="FJY7" s="397"/>
      <c r="FJZ7" s="397"/>
      <c r="FKA7" s="397"/>
      <c r="FKB7" s="397"/>
      <c r="FKC7" s="397"/>
      <c r="FKD7" s="397"/>
      <c r="FKE7" s="397"/>
      <c r="FKF7" s="397"/>
      <c r="FKG7" s="397"/>
      <c r="FKH7" s="397"/>
      <c r="FKI7" s="397"/>
      <c r="FKJ7" s="397"/>
      <c r="FKK7" s="397"/>
      <c r="FKL7" s="397"/>
      <c r="FKM7" s="397"/>
      <c r="FKN7" s="397"/>
      <c r="FKO7" s="397"/>
      <c r="FKP7" s="397"/>
      <c r="FKQ7" s="397"/>
      <c r="FKR7" s="397"/>
      <c r="FKS7" s="397"/>
      <c r="FKT7" s="397"/>
      <c r="FKU7" s="397"/>
      <c r="FKV7" s="397"/>
      <c r="FKW7" s="397"/>
      <c r="FKX7" s="397"/>
      <c r="FKY7" s="397"/>
      <c r="FKZ7" s="397"/>
      <c r="FLA7" s="397"/>
      <c r="FLB7" s="397"/>
      <c r="FLC7" s="397"/>
      <c r="FLD7" s="397"/>
      <c r="FLE7" s="397"/>
      <c r="FLF7" s="397"/>
      <c r="FLG7" s="397"/>
      <c r="FLH7" s="397"/>
      <c r="FLI7" s="397"/>
      <c r="FLJ7" s="397"/>
      <c r="FLK7" s="397"/>
      <c r="FLL7" s="397"/>
      <c r="FLM7" s="397"/>
      <c r="FLN7" s="397"/>
      <c r="FLO7" s="397"/>
      <c r="FLP7" s="397"/>
      <c r="FLQ7" s="397"/>
      <c r="FLR7" s="397"/>
      <c r="FLS7" s="397"/>
      <c r="FLT7" s="397"/>
      <c r="FLU7" s="397"/>
      <c r="FLV7" s="397"/>
      <c r="FLW7" s="397"/>
      <c r="FLX7" s="397"/>
      <c r="FLY7" s="397"/>
      <c r="FLZ7" s="397"/>
      <c r="FMA7" s="397"/>
      <c r="FMB7" s="397"/>
      <c r="FMC7" s="397"/>
      <c r="FMD7" s="397"/>
      <c r="FME7" s="397"/>
      <c r="FMF7" s="397"/>
      <c r="FMG7" s="397"/>
      <c r="FMH7" s="397"/>
      <c r="FMI7" s="397"/>
      <c r="FMJ7" s="397"/>
      <c r="FMK7" s="397"/>
      <c r="FML7" s="397"/>
      <c r="FMM7" s="397"/>
      <c r="FMN7" s="397"/>
      <c r="FMO7" s="397"/>
      <c r="FMP7" s="397"/>
      <c r="FMQ7" s="397"/>
      <c r="FMR7" s="397"/>
      <c r="FMS7" s="397"/>
      <c r="FMT7" s="397"/>
      <c r="FMU7" s="397"/>
      <c r="FMV7" s="397"/>
      <c r="FMW7" s="397"/>
      <c r="FMX7" s="397"/>
      <c r="FMY7" s="397"/>
      <c r="FMZ7" s="397"/>
      <c r="FNA7" s="397"/>
      <c r="FNB7" s="397"/>
      <c r="FNC7" s="397"/>
      <c r="FND7" s="397"/>
      <c r="FNE7" s="397"/>
      <c r="FNF7" s="397"/>
      <c r="FNG7" s="397"/>
      <c r="FNH7" s="397"/>
      <c r="FNI7" s="397"/>
      <c r="FNJ7" s="397"/>
      <c r="FNK7" s="397"/>
      <c r="FNL7" s="397"/>
      <c r="FNM7" s="397"/>
      <c r="FNN7" s="397"/>
      <c r="FNO7" s="397"/>
      <c r="FNP7" s="397"/>
      <c r="FNQ7" s="397"/>
      <c r="FNR7" s="397"/>
      <c r="FNS7" s="397"/>
      <c r="FNT7" s="397"/>
      <c r="FNU7" s="397"/>
      <c r="FNV7" s="397"/>
      <c r="FNW7" s="397"/>
      <c r="FNX7" s="397"/>
      <c r="FNY7" s="397"/>
      <c r="FNZ7" s="397"/>
      <c r="FOA7" s="397"/>
      <c r="FOB7" s="397"/>
      <c r="FOC7" s="397"/>
      <c r="FOD7" s="397"/>
      <c r="FOE7" s="397"/>
      <c r="FOF7" s="397"/>
      <c r="FOG7" s="397"/>
      <c r="FOH7" s="397"/>
      <c r="FOI7" s="397"/>
      <c r="FOJ7" s="397"/>
      <c r="FOK7" s="397"/>
      <c r="FOL7" s="397"/>
      <c r="FOM7" s="397"/>
      <c r="FON7" s="397"/>
      <c r="FOO7" s="397"/>
      <c r="FOP7" s="397"/>
      <c r="FOQ7" s="397"/>
      <c r="FOR7" s="397"/>
      <c r="FOS7" s="397"/>
      <c r="FOT7" s="397"/>
      <c r="FOU7" s="397"/>
      <c r="FOV7" s="397"/>
      <c r="FOW7" s="397"/>
      <c r="FOX7" s="397"/>
      <c r="FOY7" s="397"/>
      <c r="FOZ7" s="397"/>
      <c r="FPA7" s="397"/>
      <c r="FPB7" s="397"/>
      <c r="FPC7" s="397"/>
      <c r="FPD7" s="397"/>
      <c r="FPE7" s="397"/>
      <c r="FPF7" s="397"/>
      <c r="FPG7" s="397"/>
      <c r="FPH7" s="397"/>
      <c r="FPI7" s="397"/>
      <c r="FPJ7" s="397"/>
      <c r="FPK7" s="397"/>
      <c r="FPL7" s="397"/>
      <c r="FPM7" s="397"/>
      <c r="FPN7" s="397"/>
      <c r="FPO7" s="397"/>
      <c r="FPP7" s="397"/>
      <c r="FPQ7" s="397"/>
      <c r="FPR7" s="397"/>
      <c r="FPS7" s="397"/>
      <c r="FPT7" s="397"/>
      <c r="FPU7" s="397"/>
      <c r="FPV7" s="397"/>
      <c r="FPW7" s="397"/>
      <c r="FPX7" s="397"/>
      <c r="FPY7" s="397"/>
      <c r="FPZ7" s="397"/>
      <c r="FQA7" s="397"/>
      <c r="FQB7" s="397"/>
      <c r="FQC7" s="397"/>
      <c r="FQD7" s="397"/>
      <c r="FQE7" s="397"/>
      <c r="FQF7" s="397"/>
      <c r="FQG7" s="397"/>
      <c r="FQH7" s="397"/>
      <c r="FQI7" s="397"/>
      <c r="FQJ7" s="397"/>
      <c r="FQK7" s="397"/>
      <c r="FQL7" s="397"/>
      <c r="FQM7" s="397"/>
      <c r="FQN7" s="397"/>
      <c r="FQO7" s="397"/>
      <c r="FQP7" s="397"/>
      <c r="FQQ7" s="397"/>
      <c r="FQR7" s="397"/>
      <c r="FQS7" s="397"/>
      <c r="FQT7" s="397"/>
      <c r="FQU7" s="397"/>
      <c r="FQV7" s="397"/>
      <c r="FQW7" s="397"/>
      <c r="FQX7" s="397"/>
      <c r="FQY7" s="397"/>
      <c r="FQZ7" s="397"/>
      <c r="FRA7" s="397"/>
      <c r="FRB7" s="397"/>
      <c r="FRC7" s="397"/>
      <c r="FRD7" s="397"/>
      <c r="FRE7" s="397"/>
      <c r="FRF7" s="397"/>
      <c r="FRG7" s="397"/>
      <c r="FRH7" s="397"/>
      <c r="FRI7" s="397"/>
      <c r="FRJ7" s="397"/>
      <c r="FRK7" s="397"/>
      <c r="FRL7" s="397"/>
      <c r="FRM7" s="397"/>
      <c r="FRN7" s="397"/>
      <c r="FRO7" s="397"/>
      <c r="FRP7" s="397"/>
      <c r="FRQ7" s="397"/>
      <c r="FRR7" s="397"/>
      <c r="FRS7" s="397"/>
      <c r="FRT7" s="397"/>
      <c r="FRU7" s="397"/>
      <c r="FRV7" s="397"/>
      <c r="FRW7" s="397"/>
      <c r="FRX7" s="397"/>
      <c r="FRY7" s="397"/>
      <c r="FRZ7" s="397"/>
      <c r="FSA7" s="397"/>
      <c r="FSB7" s="397"/>
      <c r="FSC7" s="397"/>
      <c r="FSD7" s="397"/>
      <c r="FSE7" s="397"/>
      <c r="FSF7" s="397"/>
      <c r="FSG7" s="397"/>
      <c r="FSH7" s="397"/>
      <c r="FSI7" s="397"/>
      <c r="FSJ7" s="397"/>
      <c r="FSK7" s="397"/>
      <c r="FSL7" s="397"/>
      <c r="FSM7" s="397"/>
      <c r="FSN7" s="397"/>
      <c r="FSO7" s="397"/>
      <c r="FSP7" s="397"/>
      <c r="FSQ7" s="397"/>
      <c r="FSR7" s="397"/>
      <c r="FSS7" s="397"/>
      <c r="FST7" s="397"/>
      <c r="FSU7" s="397"/>
      <c r="FSV7" s="397"/>
      <c r="FSW7" s="397"/>
      <c r="FSX7" s="397"/>
      <c r="FSY7" s="397"/>
      <c r="FSZ7" s="397"/>
      <c r="FTA7" s="397"/>
      <c r="FTB7" s="397"/>
      <c r="FTC7" s="397"/>
      <c r="FTD7" s="397"/>
      <c r="FTE7" s="397"/>
      <c r="FTF7" s="397"/>
      <c r="FTG7" s="397"/>
      <c r="FTH7" s="397"/>
      <c r="FTI7" s="397"/>
      <c r="FTJ7" s="397"/>
      <c r="FTK7" s="397"/>
      <c r="FTL7" s="397"/>
      <c r="FTM7" s="397"/>
      <c r="FTN7" s="397"/>
      <c r="FTO7" s="397"/>
      <c r="FTP7" s="397"/>
      <c r="FTQ7" s="397"/>
      <c r="FTR7" s="397"/>
      <c r="FTS7" s="397"/>
      <c r="FTT7" s="397"/>
      <c r="FTU7" s="397"/>
      <c r="FTV7" s="397"/>
      <c r="FTW7" s="397"/>
      <c r="FTX7" s="397"/>
      <c r="FTY7" s="397"/>
      <c r="FTZ7" s="397"/>
      <c r="FUA7" s="397"/>
      <c r="FUB7" s="397"/>
      <c r="FUC7" s="397"/>
      <c r="FUD7" s="397"/>
      <c r="FUE7" s="397"/>
      <c r="FUF7" s="397"/>
      <c r="FUG7" s="397"/>
      <c r="FUH7" s="397"/>
      <c r="FUI7" s="397"/>
      <c r="FUJ7" s="397"/>
      <c r="FUK7" s="397"/>
      <c r="FUL7" s="397"/>
      <c r="FUM7" s="397"/>
      <c r="FUN7" s="397"/>
      <c r="FUO7" s="397"/>
      <c r="FUP7" s="397"/>
      <c r="FUQ7" s="397"/>
      <c r="FUR7" s="397"/>
      <c r="FUS7" s="397"/>
      <c r="FUT7" s="397"/>
      <c r="FUU7" s="397"/>
      <c r="FUV7" s="397"/>
      <c r="FUW7" s="397"/>
      <c r="FUX7" s="397"/>
      <c r="FUY7" s="397"/>
      <c r="FUZ7" s="397"/>
      <c r="FVA7" s="397"/>
      <c r="FVB7" s="397"/>
      <c r="FVC7" s="397"/>
      <c r="FVD7" s="397"/>
      <c r="FVE7" s="397"/>
      <c r="FVF7" s="397"/>
      <c r="FVG7" s="397"/>
      <c r="FVH7" s="397"/>
      <c r="FVI7" s="397"/>
      <c r="FVJ7" s="397"/>
      <c r="FVK7" s="397"/>
      <c r="FVL7" s="397"/>
      <c r="FVM7" s="397"/>
      <c r="FVN7" s="397"/>
      <c r="FVO7" s="397"/>
      <c r="FVP7" s="397"/>
      <c r="FVQ7" s="397"/>
      <c r="FVR7" s="397"/>
      <c r="FVS7" s="397"/>
      <c r="FVT7" s="397"/>
      <c r="FVU7" s="397"/>
      <c r="FVV7" s="397"/>
      <c r="FVW7" s="397"/>
      <c r="FVX7" s="397"/>
      <c r="FVY7" s="397"/>
      <c r="FVZ7" s="397"/>
      <c r="FWA7" s="397"/>
      <c r="FWB7" s="397"/>
      <c r="FWC7" s="397"/>
      <c r="FWD7" s="397"/>
      <c r="FWE7" s="397"/>
      <c r="FWF7" s="397"/>
      <c r="FWG7" s="397"/>
      <c r="FWH7" s="397"/>
      <c r="FWI7" s="397"/>
      <c r="FWJ7" s="397"/>
      <c r="FWK7" s="397"/>
      <c r="FWL7" s="397"/>
      <c r="FWM7" s="397"/>
      <c r="FWN7" s="397"/>
      <c r="FWO7" s="397"/>
      <c r="FWP7" s="397"/>
      <c r="FWQ7" s="397"/>
      <c r="FWR7" s="397"/>
      <c r="FWS7" s="397"/>
      <c r="FWT7" s="397"/>
      <c r="FWU7" s="397"/>
      <c r="FWV7" s="397"/>
      <c r="FWW7" s="397"/>
      <c r="FWX7" s="397"/>
      <c r="FWY7" s="397"/>
      <c r="FWZ7" s="397"/>
      <c r="FXA7" s="397"/>
      <c r="FXB7" s="397"/>
      <c r="FXC7" s="397"/>
      <c r="FXD7" s="397"/>
      <c r="FXE7" s="397"/>
      <c r="FXF7" s="397"/>
      <c r="FXG7" s="397"/>
      <c r="FXH7" s="397"/>
      <c r="FXI7" s="397"/>
      <c r="FXJ7" s="397"/>
      <c r="FXK7" s="397"/>
      <c r="FXL7" s="397"/>
      <c r="FXM7" s="397"/>
      <c r="FXN7" s="397"/>
      <c r="FXO7" s="397"/>
      <c r="FXP7" s="397"/>
      <c r="FXQ7" s="397"/>
      <c r="FXR7" s="397"/>
      <c r="FXS7" s="397"/>
      <c r="FXT7" s="397"/>
      <c r="FXU7" s="397"/>
      <c r="FXV7" s="397"/>
      <c r="FXW7" s="397"/>
      <c r="FXX7" s="397"/>
      <c r="FXY7" s="397"/>
      <c r="FXZ7" s="397"/>
      <c r="FYA7" s="397"/>
      <c r="FYB7" s="397"/>
      <c r="FYC7" s="397"/>
      <c r="FYD7" s="397"/>
      <c r="FYE7" s="397"/>
      <c r="FYF7" s="397"/>
      <c r="FYG7" s="397"/>
      <c r="FYH7" s="397"/>
      <c r="FYI7" s="397"/>
      <c r="FYJ7" s="397"/>
      <c r="FYK7" s="397"/>
      <c r="FYL7" s="397"/>
      <c r="FYM7" s="397"/>
      <c r="FYN7" s="397"/>
      <c r="FYO7" s="397"/>
      <c r="FYP7" s="397"/>
      <c r="FYQ7" s="397"/>
      <c r="FYR7" s="397"/>
      <c r="FYS7" s="397"/>
      <c r="FYT7" s="397"/>
      <c r="FYU7" s="397"/>
      <c r="FYV7" s="397"/>
      <c r="FYW7" s="397"/>
      <c r="FYX7" s="397"/>
      <c r="FYY7" s="397"/>
      <c r="FYZ7" s="397"/>
      <c r="FZA7" s="397"/>
      <c r="FZB7" s="397"/>
      <c r="FZC7" s="397"/>
      <c r="FZD7" s="397"/>
      <c r="FZE7" s="397"/>
      <c r="FZF7" s="397"/>
      <c r="FZG7" s="397"/>
      <c r="FZH7" s="397"/>
      <c r="FZI7" s="397"/>
      <c r="FZJ7" s="397"/>
      <c r="FZK7" s="397"/>
      <c r="FZL7" s="397"/>
      <c r="FZM7" s="397"/>
      <c r="FZN7" s="397"/>
      <c r="FZO7" s="397"/>
      <c r="FZP7" s="397"/>
      <c r="FZQ7" s="397"/>
      <c r="FZR7" s="397"/>
      <c r="FZS7" s="397"/>
      <c r="FZT7" s="397"/>
      <c r="FZU7" s="397"/>
      <c r="FZV7" s="397"/>
      <c r="FZW7" s="397"/>
      <c r="FZX7" s="397"/>
      <c r="FZY7" s="397"/>
      <c r="FZZ7" s="397"/>
      <c r="GAA7" s="397"/>
      <c r="GAB7" s="397"/>
      <c r="GAC7" s="397"/>
      <c r="GAD7" s="397"/>
      <c r="GAE7" s="397"/>
      <c r="GAF7" s="397"/>
      <c r="GAG7" s="397"/>
      <c r="GAH7" s="397"/>
      <c r="GAI7" s="397"/>
      <c r="GAJ7" s="397"/>
      <c r="GAK7" s="397"/>
      <c r="GAL7" s="397"/>
      <c r="GAM7" s="397"/>
      <c r="GAN7" s="397"/>
      <c r="GAO7" s="397"/>
      <c r="GAP7" s="397"/>
      <c r="GAQ7" s="397"/>
      <c r="GAR7" s="397"/>
      <c r="GAS7" s="397"/>
      <c r="GAT7" s="397"/>
      <c r="GAU7" s="397"/>
      <c r="GAV7" s="397"/>
      <c r="GAW7" s="397"/>
      <c r="GAX7" s="397"/>
      <c r="GAY7" s="397"/>
      <c r="GAZ7" s="397"/>
      <c r="GBA7" s="397"/>
      <c r="GBB7" s="397"/>
      <c r="GBC7" s="397"/>
      <c r="GBD7" s="397"/>
      <c r="GBE7" s="397"/>
      <c r="GBF7" s="397"/>
      <c r="GBG7" s="397"/>
      <c r="GBH7" s="397"/>
      <c r="GBI7" s="397"/>
      <c r="GBJ7" s="397"/>
      <c r="GBK7" s="397"/>
      <c r="GBL7" s="397"/>
      <c r="GBM7" s="397"/>
      <c r="GBN7" s="397"/>
      <c r="GBO7" s="397"/>
      <c r="GBP7" s="397"/>
      <c r="GBQ7" s="397"/>
      <c r="GBR7" s="397"/>
      <c r="GBS7" s="397"/>
      <c r="GBT7" s="397"/>
      <c r="GBU7" s="397"/>
      <c r="GBV7" s="397"/>
      <c r="GBW7" s="397"/>
      <c r="GBX7" s="397"/>
      <c r="GBY7" s="397"/>
      <c r="GBZ7" s="397"/>
      <c r="GCA7" s="397"/>
      <c r="GCB7" s="397"/>
      <c r="GCC7" s="397"/>
      <c r="GCD7" s="397"/>
      <c r="GCE7" s="397"/>
      <c r="GCF7" s="397"/>
      <c r="GCG7" s="397"/>
      <c r="GCH7" s="397"/>
      <c r="GCI7" s="397"/>
      <c r="GCJ7" s="397"/>
      <c r="GCK7" s="397"/>
      <c r="GCL7" s="397"/>
      <c r="GCM7" s="397"/>
      <c r="GCN7" s="397"/>
      <c r="GCO7" s="397"/>
      <c r="GCP7" s="397"/>
      <c r="GCQ7" s="397"/>
      <c r="GCR7" s="397"/>
      <c r="GCS7" s="397"/>
      <c r="GCT7" s="397"/>
      <c r="GCU7" s="397"/>
      <c r="GCV7" s="397"/>
      <c r="GCW7" s="397"/>
      <c r="GCX7" s="397"/>
      <c r="GCY7" s="397"/>
      <c r="GCZ7" s="397"/>
      <c r="GDA7" s="397"/>
      <c r="GDB7" s="397"/>
      <c r="GDC7" s="397"/>
      <c r="GDD7" s="397"/>
      <c r="GDE7" s="397"/>
      <c r="GDF7" s="397"/>
      <c r="GDG7" s="397"/>
      <c r="GDH7" s="397"/>
      <c r="GDI7" s="397"/>
      <c r="GDJ7" s="397"/>
      <c r="GDK7" s="397"/>
      <c r="GDL7" s="397"/>
      <c r="GDM7" s="397"/>
      <c r="GDN7" s="397"/>
      <c r="GDO7" s="397"/>
      <c r="GDP7" s="397"/>
      <c r="GDQ7" s="397"/>
      <c r="GDR7" s="397"/>
      <c r="GDS7" s="397"/>
      <c r="GDT7" s="397"/>
      <c r="GDU7" s="397"/>
      <c r="GDV7" s="397"/>
      <c r="GDW7" s="397"/>
      <c r="GDX7" s="397"/>
      <c r="GDY7" s="397"/>
      <c r="GDZ7" s="397"/>
      <c r="GEA7" s="397"/>
      <c r="GEB7" s="397"/>
      <c r="GEC7" s="397"/>
      <c r="GED7" s="397"/>
      <c r="GEE7" s="397"/>
      <c r="GEF7" s="397"/>
      <c r="GEG7" s="397"/>
      <c r="GEH7" s="397"/>
      <c r="GEI7" s="397"/>
      <c r="GEJ7" s="397"/>
      <c r="GEK7" s="397"/>
      <c r="GEL7" s="397"/>
      <c r="GEM7" s="397"/>
      <c r="GEN7" s="397"/>
      <c r="GEO7" s="397"/>
      <c r="GEP7" s="397"/>
      <c r="GEQ7" s="397"/>
      <c r="GER7" s="397"/>
      <c r="GES7" s="397"/>
      <c r="GET7" s="397"/>
      <c r="GEU7" s="397"/>
      <c r="GEV7" s="397"/>
      <c r="GEW7" s="397"/>
      <c r="GEX7" s="397"/>
      <c r="GEY7" s="397"/>
      <c r="GEZ7" s="397"/>
      <c r="GFA7" s="397"/>
      <c r="GFB7" s="397"/>
      <c r="GFC7" s="397"/>
      <c r="GFD7" s="397"/>
      <c r="GFE7" s="397"/>
      <c r="GFF7" s="397"/>
      <c r="GFG7" s="397"/>
      <c r="GFH7" s="397"/>
      <c r="GFI7" s="397"/>
      <c r="GFJ7" s="397"/>
      <c r="GFK7" s="397"/>
      <c r="GFL7" s="397"/>
      <c r="GFM7" s="397"/>
      <c r="GFN7" s="397"/>
      <c r="GFO7" s="397"/>
      <c r="GFP7" s="397"/>
      <c r="GFQ7" s="397"/>
      <c r="GFR7" s="397"/>
      <c r="GFS7" s="397"/>
      <c r="GFT7" s="397"/>
      <c r="GFU7" s="397"/>
      <c r="GFV7" s="397"/>
      <c r="GFW7" s="397"/>
      <c r="GFX7" s="397"/>
      <c r="GFY7" s="397"/>
      <c r="GFZ7" s="397"/>
      <c r="GGA7" s="397"/>
      <c r="GGB7" s="397"/>
      <c r="GGC7" s="397"/>
      <c r="GGD7" s="397"/>
      <c r="GGE7" s="397"/>
      <c r="GGF7" s="397"/>
      <c r="GGG7" s="397"/>
      <c r="GGH7" s="397"/>
      <c r="GGI7" s="397"/>
      <c r="GGJ7" s="397"/>
      <c r="GGK7" s="397"/>
      <c r="GGL7" s="397"/>
      <c r="GGM7" s="397"/>
      <c r="GGN7" s="397"/>
      <c r="GGO7" s="397"/>
      <c r="GGP7" s="397"/>
      <c r="GGQ7" s="397"/>
      <c r="GGR7" s="397"/>
      <c r="GGS7" s="397"/>
      <c r="GGT7" s="397"/>
      <c r="GGU7" s="397"/>
      <c r="GGV7" s="397"/>
      <c r="GGW7" s="397"/>
      <c r="GGX7" s="397"/>
      <c r="GGY7" s="397"/>
      <c r="GGZ7" s="397"/>
      <c r="GHA7" s="397"/>
      <c r="GHB7" s="397"/>
      <c r="GHC7" s="397"/>
      <c r="GHD7" s="397"/>
      <c r="GHE7" s="397"/>
      <c r="GHF7" s="397"/>
      <c r="GHG7" s="397"/>
      <c r="GHH7" s="397"/>
      <c r="GHI7" s="397"/>
      <c r="GHJ7" s="397"/>
      <c r="GHK7" s="397"/>
      <c r="GHL7" s="397"/>
      <c r="GHM7" s="397"/>
      <c r="GHN7" s="397"/>
      <c r="GHO7" s="397"/>
      <c r="GHP7" s="397"/>
      <c r="GHQ7" s="397"/>
      <c r="GHR7" s="397"/>
      <c r="GHS7" s="397"/>
      <c r="GHT7" s="397"/>
      <c r="GHU7" s="397"/>
      <c r="GHV7" s="397"/>
      <c r="GHW7" s="397"/>
      <c r="GHX7" s="397"/>
      <c r="GHY7" s="397"/>
      <c r="GHZ7" s="397"/>
      <c r="GIA7" s="397"/>
      <c r="GIB7" s="397"/>
      <c r="GIC7" s="397"/>
      <c r="GID7" s="397"/>
      <c r="GIE7" s="397"/>
      <c r="GIF7" s="397"/>
      <c r="GIG7" s="397"/>
      <c r="GIH7" s="397"/>
      <c r="GII7" s="397"/>
      <c r="GIJ7" s="397"/>
      <c r="GIK7" s="397"/>
      <c r="GIL7" s="397"/>
      <c r="GIM7" s="397"/>
      <c r="GIN7" s="397"/>
      <c r="GIO7" s="397"/>
      <c r="GIP7" s="397"/>
      <c r="GIQ7" s="397"/>
      <c r="GIR7" s="397"/>
      <c r="GIS7" s="397"/>
      <c r="GIT7" s="397"/>
      <c r="GIU7" s="397"/>
      <c r="GIV7" s="397"/>
      <c r="GIW7" s="397"/>
      <c r="GIX7" s="397"/>
      <c r="GIY7" s="397"/>
      <c r="GIZ7" s="397"/>
      <c r="GJA7" s="397"/>
      <c r="GJB7" s="397"/>
      <c r="GJC7" s="397"/>
      <c r="GJD7" s="397"/>
      <c r="GJE7" s="397"/>
      <c r="GJF7" s="397"/>
      <c r="GJG7" s="397"/>
      <c r="GJH7" s="397"/>
      <c r="GJI7" s="397"/>
      <c r="GJJ7" s="397"/>
      <c r="GJK7" s="397"/>
      <c r="GJL7" s="397"/>
      <c r="GJM7" s="397"/>
      <c r="GJN7" s="397"/>
      <c r="GJO7" s="397"/>
      <c r="GJP7" s="397"/>
      <c r="GJQ7" s="397"/>
      <c r="GJR7" s="397"/>
      <c r="GJS7" s="397"/>
      <c r="GJT7" s="397"/>
      <c r="GJU7" s="397"/>
      <c r="GJV7" s="397"/>
      <c r="GJW7" s="397"/>
      <c r="GJX7" s="397"/>
      <c r="GJY7" s="397"/>
      <c r="GJZ7" s="397"/>
      <c r="GKA7" s="397"/>
      <c r="GKB7" s="397"/>
      <c r="GKC7" s="397"/>
      <c r="GKD7" s="397"/>
      <c r="GKE7" s="397"/>
      <c r="GKF7" s="397"/>
      <c r="GKG7" s="397"/>
      <c r="GKH7" s="397"/>
      <c r="GKI7" s="397"/>
      <c r="GKJ7" s="397"/>
      <c r="GKK7" s="397"/>
      <c r="GKL7" s="397"/>
      <c r="GKM7" s="397"/>
      <c r="GKN7" s="397"/>
      <c r="GKO7" s="397"/>
      <c r="GKP7" s="397"/>
      <c r="GKQ7" s="397"/>
      <c r="GKR7" s="397"/>
      <c r="GKS7" s="397"/>
      <c r="GKT7" s="397"/>
      <c r="GKU7" s="397"/>
      <c r="GKV7" s="397"/>
      <c r="GKW7" s="397"/>
      <c r="GKX7" s="397"/>
      <c r="GKY7" s="397"/>
      <c r="GKZ7" s="397"/>
      <c r="GLA7" s="397"/>
      <c r="GLB7" s="397"/>
      <c r="GLC7" s="397"/>
      <c r="GLD7" s="397"/>
      <c r="GLE7" s="397"/>
      <c r="GLF7" s="397"/>
      <c r="GLG7" s="397"/>
      <c r="GLH7" s="397"/>
      <c r="GLI7" s="397"/>
      <c r="GLJ7" s="397"/>
      <c r="GLK7" s="397"/>
      <c r="GLL7" s="397"/>
      <c r="GLM7" s="397"/>
      <c r="GLN7" s="397"/>
      <c r="GLO7" s="397"/>
      <c r="GLP7" s="397"/>
      <c r="GLQ7" s="397"/>
      <c r="GLR7" s="397"/>
      <c r="GLS7" s="397"/>
      <c r="GLT7" s="397"/>
      <c r="GLU7" s="397"/>
      <c r="GLV7" s="397"/>
      <c r="GLW7" s="397"/>
      <c r="GLX7" s="397"/>
      <c r="GLY7" s="397"/>
      <c r="GLZ7" s="397"/>
      <c r="GMA7" s="397"/>
      <c r="GMB7" s="397"/>
      <c r="GMC7" s="397"/>
      <c r="GMD7" s="397"/>
      <c r="GME7" s="397"/>
      <c r="GMF7" s="397"/>
      <c r="GMG7" s="397"/>
      <c r="GMH7" s="397"/>
      <c r="GMI7" s="397"/>
      <c r="GMJ7" s="397"/>
      <c r="GMK7" s="397"/>
      <c r="GML7" s="397"/>
      <c r="GMM7" s="397"/>
      <c r="GMN7" s="397"/>
      <c r="GMO7" s="397"/>
      <c r="GMP7" s="397"/>
      <c r="GMQ7" s="397"/>
      <c r="GMR7" s="397"/>
      <c r="GMS7" s="397"/>
      <c r="GMT7" s="397"/>
      <c r="GMU7" s="397"/>
      <c r="GMV7" s="397"/>
      <c r="GMW7" s="397"/>
      <c r="GMX7" s="397"/>
      <c r="GMY7" s="397"/>
      <c r="GMZ7" s="397"/>
      <c r="GNA7" s="397"/>
      <c r="GNB7" s="397"/>
      <c r="GNC7" s="397"/>
      <c r="GND7" s="397"/>
      <c r="GNE7" s="397"/>
      <c r="GNF7" s="397"/>
      <c r="GNG7" s="397"/>
      <c r="GNH7" s="397"/>
      <c r="GNI7" s="397"/>
      <c r="GNJ7" s="397"/>
      <c r="GNK7" s="397"/>
      <c r="GNL7" s="397"/>
      <c r="GNM7" s="397"/>
      <c r="GNN7" s="397"/>
      <c r="GNO7" s="397"/>
      <c r="GNP7" s="397"/>
      <c r="GNQ7" s="397"/>
      <c r="GNR7" s="397"/>
      <c r="GNS7" s="397"/>
      <c r="GNT7" s="397"/>
      <c r="GNU7" s="397"/>
      <c r="GNV7" s="397"/>
      <c r="GNW7" s="397"/>
      <c r="GNX7" s="397"/>
      <c r="GNY7" s="397"/>
      <c r="GNZ7" s="397"/>
      <c r="GOA7" s="397"/>
      <c r="GOB7" s="397"/>
      <c r="GOC7" s="397"/>
      <c r="GOD7" s="397"/>
      <c r="GOE7" s="397"/>
      <c r="GOF7" s="397"/>
      <c r="GOG7" s="397"/>
      <c r="GOH7" s="397"/>
      <c r="GOI7" s="397"/>
      <c r="GOJ7" s="397"/>
      <c r="GOK7" s="397"/>
      <c r="GOL7" s="397"/>
      <c r="GOM7" s="397"/>
      <c r="GON7" s="397"/>
      <c r="GOO7" s="397"/>
      <c r="GOP7" s="397"/>
      <c r="GOQ7" s="397"/>
      <c r="GOR7" s="397"/>
      <c r="GOS7" s="397"/>
      <c r="GOT7" s="397"/>
      <c r="GOU7" s="397"/>
      <c r="GOV7" s="397"/>
      <c r="GOW7" s="397"/>
      <c r="GOX7" s="397"/>
      <c r="GOY7" s="397"/>
      <c r="GOZ7" s="397"/>
      <c r="GPA7" s="397"/>
      <c r="GPB7" s="397"/>
      <c r="GPC7" s="397"/>
      <c r="GPD7" s="397"/>
      <c r="GPE7" s="397"/>
      <c r="GPF7" s="397"/>
      <c r="GPG7" s="397"/>
      <c r="GPH7" s="397"/>
      <c r="GPI7" s="397"/>
      <c r="GPJ7" s="397"/>
      <c r="GPK7" s="397"/>
      <c r="GPL7" s="397"/>
      <c r="GPM7" s="397"/>
      <c r="GPN7" s="397"/>
      <c r="GPO7" s="397"/>
      <c r="GPP7" s="397"/>
      <c r="GPQ7" s="397"/>
      <c r="GPR7" s="397"/>
      <c r="GPS7" s="397"/>
      <c r="GPT7" s="397"/>
      <c r="GPU7" s="397"/>
      <c r="GPV7" s="397"/>
      <c r="GPW7" s="397"/>
      <c r="GPX7" s="397"/>
      <c r="GPY7" s="397"/>
      <c r="GPZ7" s="397"/>
      <c r="GQA7" s="397"/>
      <c r="GQB7" s="397"/>
      <c r="GQC7" s="397"/>
      <c r="GQD7" s="397"/>
      <c r="GQE7" s="397"/>
      <c r="GQF7" s="397"/>
      <c r="GQG7" s="397"/>
      <c r="GQH7" s="397"/>
      <c r="GQI7" s="397"/>
      <c r="GQJ7" s="397"/>
      <c r="GQK7" s="397"/>
      <c r="GQL7" s="397"/>
      <c r="GQM7" s="397"/>
      <c r="GQN7" s="397"/>
      <c r="GQO7" s="397"/>
      <c r="GQP7" s="397"/>
      <c r="GQQ7" s="397"/>
      <c r="GQR7" s="397"/>
      <c r="GQS7" s="397"/>
      <c r="GQT7" s="397"/>
      <c r="GQU7" s="397"/>
      <c r="GQV7" s="397"/>
      <c r="GQW7" s="397"/>
      <c r="GQX7" s="397"/>
      <c r="GQY7" s="397"/>
      <c r="GQZ7" s="397"/>
      <c r="GRA7" s="397"/>
      <c r="GRB7" s="397"/>
      <c r="GRC7" s="397"/>
      <c r="GRD7" s="397"/>
      <c r="GRE7" s="397"/>
      <c r="GRF7" s="397"/>
      <c r="GRG7" s="397"/>
      <c r="GRH7" s="397"/>
      <c r="GRI7" s="397"/>
      <c r="GRJ7" s="397"/>
      <c r="GRK7" s="397"/>
      <c r="GRL7" s="397"/>
      <c r="GRM7" s="397"/>
      <c r="GRN7" s="397"/>
      <c r="GRO7" s="397"/>
      <c r="GRP7" s="397"/>
      <c r="GRQ7" s="397"/>
      <c r="GRR7" s="397"/>
      <c r="GRS7" s="397"/>
      <c r="GRT7" s="397"/>
      <c r="GRU7" s="397"/>
      <c r="GRV7" s="397"/>
      <c r="GRW7" s="397"/>
      <c r="GRX7" s="397"/>
      <c r="GRY7" s="397"/>
      <c r="GRZ7" s="397"/>
      <c r="GSA7" s="397"/>
      <c r="GSB7" s="397"/>
      <c r="GSC7" s="397"/>
      <c r="GSD7" s="397"/>
      <c r="GSE7" s="397"/>
      <c r="GSF7" s="397"/>
      <c r="GSG7" s="397"/>
      <c r="GSH7" s="397"/>
      <c r="GSI7" s="397"/>
      <c r="GSJ7" s="397"/>
      <c r="GSK7" s="397"/>
      <c r="GSL7" s="397"/>
      <c r="GSM7" s="397"/>
      <c r="GSN7" s="397"/>
      <c r="GSO7" s="397"/>
      <c r="GSP7" s="397"/>
      <c r="GSQ7" s="397"/>
      <c r="GSR7" s="397"/>
      <c r="GSS7" s="397"/>
      <c r="GST7" s="397"/>
      <c r="GSU7" s="397"/>
      <c r="GSV7" s="397"/>
      <c r="GSW7" s="397"/>
      <c r="GSX7" s="397"/>
      <c r="GSY7" s="397"/>
      <c r="GSZ7" s="397"/>
      <c r="GTA7" s="397"/>
      <c r="GTB7" s="397"/>
      <c r="GTC7" s="397"/>
      <c r="GTD7" s="397"/>
      <c r="GTE7" s="397"/>
      <c r="GTF7" s="397"/>
      <c r="GTG7" s="397"/>
      <c r="GTH7" s="397"/>
      <c r="GTI7" s="397"/>
      <c r="GTJ7" s="397"/>
      <c r="GTK7" s="397"/>
      <c r="GTL7" s="397"/>
      <c r="GTM7" s="397"/>
      <c r="GTN7" s="397"/>
      <c r="GTO7" s="397"/>
      <c r="GTP7" s="397"/>
      <c r="GTQ7" s="397"/>
      <c r="GTR7" s="397"/>
      <c r="GTS7" s="397"/>
      <c r="GTT7" s="397"/>
      <c r="GTU7" s="397"/>
      <c r="GTV7" s="397"/>
      <c r="GTW7" s="397"/>
      <c r="GTX7" s="397"/>
      <c r="GTY7" s="397"/>
      <c r="GTZ7" s="397"/>
      <c r="GUA7" s="397"/>
      <c r="GUB7" s="397"/>
      <c r="GUC7" s="397"/>
      <c r="GUD7" s="397"/>
      <c r="GUE7" s="397"/>
      <c r="GUF7" s="397"/>
      <c r="GUG7" s="397"/>
      <c r="GUH7" s="397"/>
      <c r="GUI7" s="397"/>
      <c r="GUJ7" s="397"/>
      <c r="GUK7" s="397"/>
      <c r="GUL7" s="397"/>
      <c r="GUM7" s="397"/>
      <c r="GUN7" s="397"/>
      <c r="GUO7" s="397"/>
      <c r="GUP7" s="397"/>
      <c r="GUQ7" s="397"/>
      <c r="GUR7" s="397"/>
      <c r="GUS7" s="397"/>
      <c r="GUT7" s="397"/>
      <c r="GUU7" s="397"/>
      <c r="GUV7" s="397"/>
      <c r="GUW7" s="397"/>
      <c r="GUX7" s="397"/>
      <c r="GUY7" s="397"/>
      <c r="GUZ7" s="397"/>
      <c r="GVA7" s="397"/>
      <c r="GVB7" s="397"/>
      <c r="GVC7" s="397"/>
      <c r="GVD7" s="397"/>
      <c r="GVE7" s="397"/>
      <c r="GVF7" s="397"/>
      <c r="GVG7" s="397"/>
      <c r="GVH7" s="397"/>
      <c r="GVI7" s="397"/>
      <c r="GVJ7" s="397"/>
      <c r="GVK7" s="397"/>
      <c r="GVL7" s="397"/>
      <c r="GVM7" s="397"/>
      <c r="GVN7" s="397"/>
      <c r="GVO7" s="397"/>
      <c r="GVP7" s="397"/>
      <c r="GVQ7" s="397"/>
      <c r="GVR7" s="397"/>
      <c r="GVS7" s="397"/>
      <c r="GVT7" s="397"/>
      <c r="GVU7" s="397"/>
      <c r="GVV7" s="397"/>
      <c r="GVW7" s="397"/>
      <c r="GVX7" s="397"/>
      <c r="GVY7" s="397"/>
      <c r="GVZ7" s="397"/>
      <c r="GWA7" s="397"/>
      <c r="GWB7" s="397"/>
      <c r="GWC7" s="397"/>
      <c r="GWD7" s="397"/>
      <c r="GWE7" s="397"/>
      <c r="GWF7" s="397"/>
      <c r="GWG7" s="397"/>
      <c r="GWH7" s="397"/>
      <c r="GWI7" s="397"/>
      <c r="GWJ7" s="397"/>
      <c r="GWK7" s="397"/>
      <c r="GWL7" s="397"/>
      <c r="GWM7" s="397"/>
      <c r="GWN7" s="397"/>
      <c r="GWO7" s="397"/>
      <c r="GWP7" s="397"/>
      <c r="GWQ7" s="397"/>
      <c r="GWR7" s="397"/>
      <c r="GWS7" s="397"/>
      <c r="GWT7" s="397"/>
      <c r="GWU7" s="397"/>
      <c r="GWV7" s="397"/>
      <c r="GWW7" s="397"/>
      <c r="GWX7" s="397"/>
      <c r="GWY7" s="397"/>
      <c r="GWZ7" s="397"/>
      <c r="GXA7" s="397"/>
      <c r="GXB7" s="397"/>
      <c r="GXC7" s="397"/>
      <c r="GXD7" s="397"/>
      <c r="GXE7" s="397"/>
      <c r="GXF7" s="397"/>
      <c r="GXG7" s="397"/>
      <c r="GXH7" s="397"/>
      <c r="GXI7" s="397"/>
      <c r="GXJ7" s="397"/>
      <c r="GXK7" s="397"/>
      <c r="GXL7" s="397"/>
      <c r="GXM7" s="397"/>
      <c r="GXN7" s="397"/>
      <c r="GXO7" s="397"/>
      <c r="GXP7" s="397"/>
      <c r="GXQ7" s="397"/>
      <c r="GXR7" s="397"/>
      <c r="GXS7" s="397"/>
      <c r="GXT7" s="397"/>
      <c r="GXU7" s="397"/>
      <c r="GXV7" s="397"/>
      <c r="GXW7" s="397"/>
      <c r="GXX7" s="397"/>
      <c r="GXY7" s="397"/>
      <c r="GXZ7" s="397"/>
      <c r="GYA7" s="397"/>
      <c r="GYB7" s="397"/>
      <c r="GYC7" s="397"/>
      <c r="GYD7" s="397"/>
      <c r="GYE7" s="397"/>
      <c r="GYF7" s="397"/>
      <c r="GYG7" s="397"/>
      <c r="GYH7" s="397"/>
      <c r="GYI7" s="397"/>
      <c r="GYJ7" s="397"/>
      <c r="GYK7" s="397"/>
      <c r="GYL7" s="397"/>
      <c r="GYM7" s="397"/>
      <c r="GYN7" s="397"/>
      <c r="GYO7" s="397"/>
      <c r="GYP7" s="397"/>
      <c r="GYQ7" s="397"/>
      <c r="GYR7" s="397"/>
      <c r="GYS7" s="397"/>
      <c r="GYT7" s="397"/>
      <c r="GYU7" s="397"/>
      <c r="GYV7" s="397"/>
      <c r="GYW7" s="397"/>
      <c r="GYX7" s="397"/>
      <c r="GYY7" s="397"/>
      <c r="GYZ7" s="397"/>
      <c r="GZA7" s="397"/>
      <c r="GZB7" s="397"/>
      <c r="GZC7" s="397"/>
      <c r="GZD7" s="397"/>
      <c r="GZE7" s="397"/>
      <c r="GZF7" s="397"/>
      <c r="GZG7" s="397"/>
      <c r="GZH7" s="397"/>
      <c r="GZI7" s="397"/>
      <c r="GZJ7" s="397"/>
      <c r="GZK7" s="397"/>
      <c r="GZL7" s="397"/>
      <c r="GZM7" s="397"/>
      <c r="GZN7" s="397"/>
      <c r="GZO7" s="397"/>
      <c r="GZP7" s="397"/>
      <c r="GZQ7" s="397"/>
      <c r="GZR7" s="397"/>
      <c r="GZS7" s="397"/>
      <c r="GZT7" s="397"/>
      <c r="GZU7" s="397"/>
      <c r="GZV7" s="397"/>
      <c r="GZW7" s="397"/>
      <c r="GZX7" s="397"/>
      <c r="GZY7" s="397"/>
      <c r="GZZ7" s="397"/>
      <c r="HAA7" s="397"/>
      <c r="HAB7" s="397"/>
      <c r="HAC7" s="397"/>
      <c r="HAD7" s="397"/>
      <c r="HAE7" s="397"/>
      <c r="HAF7" s="397"/>
      <c r="HAG7" s="397"/>
      <c r="HAH7" s="397"/>
      <c r="HAI7" s="397"/>
      <c r="HAJ7" s="397"/>
      <c r="HAK7" s="397"/>
      <c r="HAL7" s="397"/>
      <c r="HAM7" s="397"/>
      <c r="HAN7" s="397"/>
      <c r="HAO7" s="397"/>
      <c r="HAP7" s="397"/>
      <c r="HAQ7" s="397"/>
      <c r="HAR7" s="397"/>
      <c r="HAS7" s="397"/>
      <c r="HAT7" s="397"/>
      <c r="HAU7" s="397"/>
      <c r="HAV7" s="397"/>
      <c r="HAW7" s="397"/>
      <c r="HAX7" s="397"/>
      <c r="HAY7" s="397"/>
      <c r="HAZ7" s="397"/>
      <c r="HBA7" s="397"/>
      <c r="HBB7" s="397"/>
      <c r="HBC7" s="397"/>
      <c r="HBD7" s="397"/>
      <c r="HBE7" s="397"/>
      <c r="HBF7" s="397"/>
      <c r="HBG7" s="397"/>
      <c r="HBH7" s="397"/>
      <c r="HBI7" s="397"/>
      <c r="HBJ7" s="397"/>
      <c r="HBK7" s="397"/>
      <c r="HBL7" s="397"/>
      <c r="HBM7" s="397"/>
      <c r="HBN7" s="397"/>
      <c r="HBO7" s="397"/>
      <c r="HBP7" s="397"/>
      <c r="HBQ7" s="397"/>
      <c r="HBR7" s="397"/>
      <c r="HBS7" s="397"/>
      <c r="HBT7" s="397"/>
      <c r="HBU7" s="397"/>
      <c r="HBV7" s="397"/>
      <c r="HBW7" s="397"/>
      <c r="HBX7" s="397"/>
      <c r="HBY7" s="397"/>
      <c r="HBZ7" s="397"/>
      <c r="HCA7" s="397"/>
      <c r="HCB7" s="397"/>
      <c r="HCC7" s="397"/>
      <c r="HCD7" s="397"/>
      <c r="HCE7" s="397"/>
      <c r="HCF7" s="397"/>
      <c r="HCG7" s="397"/>
      <c r="HCH7" s="397"/>
      <c r="HCI7" s="397"/>
      <c r="HCJ7" s="397"/>
      <c r="HCK7" s="397"/>
      <c r="HCL7" s="397"/>
      <c r="HCM7" s="397"/>
      <c r="HCN7" s="397"/>
      <c r="HCO7" s="397"/>
      <c r="HCP7" s="397"/>
      <c r="HCQ7" s="397"/>
      <c r="HCR7" s="397"/>
      <c r="HCS7" s="397"/>
      <c r="HCT7" s="397"/>
      <c r="HCU7" s="397"/>
      <c r="HCV7" s="397"/>
      <c r="HCW7" s="397"/>
      <c r="HCX7" s="397"/>
      <c r="HCY7" s="397"/>
      <c r="HCZ7" s="397"/>
      <c r="HDA7" s="397"/>
      <c r="HDB7" s="397"/>
      <c r="HDC7" s="397"/>
      <c r="HDD7" s="397"/>
      <c r="HDE7" s="397"/>
      <c r="HDF7" s="397"/>
      <c r="HDG7" s="397"/>
      <c r="HDH7" s="397"/>
      <c r="HDI7" s="397"/>
      <c r="HDJ7" s="397"/>
      <c r="HDK7" s="397"/>
      <c r="HDL7" s="397"/>
      <c r="HDM7" s="397"/>
      <c r="HDN7" s="397"/>
      <c r="HDO7" s="397"/>
      <c r="HDP7" s="397"/>
      <c r="HDQ7" s="397"/>
      <c r="HDR7" s="397"/>
      <c r="HDS7" s="397"/>
      <c r="HDT7" s="397"/>
      <c r="HDU7" s="397"/>
      <c r="HDV7" s="397"/>
      <c r="HDW7" s="397"/>
      <c r="HDX7" s="397"/>
      <c r="HDY7" s="397"/>
      <c r="HDZ7" s="397"/>
      <c r="HEA7" s="397"/>
      <c r="HEB7" s="397"/>
      <c r="HEC7" s="397"/>
      <c r="HED7" s="397"/>
      <c r="HEE7" s="397"/>
      <c r="HEF7" s="397"/>
      <c r="HEG7" s="397"/>
      <c r="HEH7" s="397"/>
      <c r="HEI7" s="397"/>
      <c r="HEJ7" s="397"/>
      <c r="HEK7" s="397"/>
      <c r="HEL7" s="397"/>
      <c r="HEM7" s="397"/>
      <c r="HEN7" s="397"/>
      <c r="HEO7" s="397"/>
      <c r="HEP7" s="397"/>
      <c r="HEQ7" s="397"/>
      <c r="HER7" s="397"/>
      <c r="HES7" s="397"/>
      <c r="HET7" s="397"/>
      <c r="HEU7" s="397"/>
      <c r="HEV7" s="397"/>
      <c r="HEW7" s="397"/>
      <c r="HEX7" s="397"/>
      <c r="HEY7" s="397"/>
      <c r="HEZ7" s="397"/>
      <c r="HFA7" s="397"/>
      <c r="HFB7" s="397"/>
      <c r="HFC7" s="397"/>
      <c r="HFD7" s="397"/>
      <c r="HFE7" s="397"/>
      <c r="HFF7" s="397"/>
      <c r="HFG7" s="397"/>
      <c r="HFH7" s="397"/>
      <c r="HFI7" s="397"/>
      <c r="HFJ7" s="397"/>
      <c r="HFK7" s="397"/>
      <c r="HFL7" s="397"/>
      <c r="HFM7" s="397"/>
      <c r="HFN7" s="397"/>
      <c r="HFO7" s="397"/>
      <c r="HFP7" s="397"/>
      <c r="HFQ7" s="397"/>
      <c r="HFR7" s="397"/>
      <c r="HFS7" s="397"/>
      <c r="HFT7" s="397"/>
      <c r="HFU7" s="397"/>
      <c r="HFV7" s="397"/>
      <c r="HFW7" s="397"/>
      <c r="HFX7" s="397"/>
      <c r="HFY7" s="397"/>
      <c r="HFZ7" s="397"/>
      <c r="HGA7" s="397"/>
      <c r="HGB7" s="397"/>
      <c r="HGC7" s="397"/>
      <c r="HGD7" s="397"/>
      <c r="HGE7" s="397"/>
      <c r="HGF7" s="397"/>
      <c r="HGG7" s="397"/>
      <c r="HGH7" s="397"/>
      <c r="HGI7" s="397"/>
      <c r="HGJ7" s="397"/>
      <c r="HGK7" s="397"/>
      <c r="HGL7" s="397"/>
      <c r="HGM7" s="397"/>
      <c r="HGN7" s="397"/>
      <c r="HGO7" s="397"/>
      <c r="HGP7" s="397"/>
      <c r="HGQ7" s="397"/>
      <c r="HGR7" s="397"/>
      <c r="HGS7" s="397"/>
      <c r="HGT7" s="397"/>
      <c r="HGU7" s="397"/>
      <c r="HGV7" s="397"/>
      <c r="HGW7" s="397"/>
      <c r="HGX7" s="397"/>
      <c r="HGY7" s="397"/>
      <c r="HGZ7" s="397"/>
      <c r="HHA7" s="397"/>
      <c r="HHB7" s="397"/>
      <c r="HHC7" s="397"/>
      <c r="HHD7" s="397"/>
      <c r="HHE7" s="397"/>
      <c r="HHF7" s="397"/>
      <c r="HHG7" s="397"/>
      <c r="HHH7" s="397"/>
      <c r="HHI7" s="397"/>
      <c r="HHJ7" s="397"/>
      <c r="HHK7" s="397"/>
      <c r="HHL7" s="397"/>
      <c r="HHM7" s="397"/>
      <c r="HHN7" s="397"/>
      <c r="HHO7" s="397"/>
      <c r="HHP7" s="397"/>
      <c r="HHQ7" s="397"/>
      <c r="HHR7" s="397"/>
      <c r="HHS7" s="397"/>
      <c r="HHT7" s="397"/>
      <c r="HHU7" s="397"/>
      <c r="HHV7" s="397"/>
      <c r="HHW7" s="397"/>
      <c r="HHX7" s="397"/>
      <c r="HHY7" s="397"/>
      <c r="HHZ7" s="397"/>
      <c r="HIA7" s="397"/>
      <c r="HIB7" s="397"/>
      <c r="HIC7" s="397"/>
      <c r="HID7" s="397"/>
      <c r="HIE7" s="397"/>
      <c r="HIF7" s="397"/>
      <c r="HIG7" s="397"/>
      <c r="HIH7" s="397"/>
      <c r="HII7" s="397"/>
      <c r="HIJ7" s="397"/>
      <c r="HIK7" s="397"/>
      <c r="HIL7" s="397"/>
      <c r="HIM7" s="397"/>
      <c r="HIN7" s="397"/>
      <c r="HIO7" s="397"/>
      <c r="HIP7" s="397"/>
      <c r="HIQ7" s="397"/>
      <c r="HIR7" s="397"/>
      <c r="HIS7" s="397"/>
      <c r="HIT7" s="397"/>
      <c r="HIU7" s="397"/>
      <c r="HIV7" s="397"/>
      <c r="HIW7" s="397"/>
      <c r="HIX7" s="397"/>
      <c r="HIY7" s="397"/>
      <c r="HIZ7" s="397"/>
      <c r="HJA7" s="397"/>
      <c r="HJB7" s="397"/>
      <c r="HJC7" s="397"/>
      <c r="HJD7" s="397"/>
      <c r="HJE7" s="397"/>
      <c r="HJF7" s="397"/>
      <c r="HJG7" s="397"/>
      <c r="HJH7" s="397"/>
      <c r="HJI7" s="397"/>
      <c r="HJJ7" s="397"/>
      <c r="HJK7" s="397"/>
      <c r="HJL7" s="397"/>
      <c r="HJM7" s="397"/>
      <c r="HJN7" s="397"/>
      <c r="HJO7" s="397"/>
      <c r="HJP7" s="397"/>
      <c r="HJQ7" s="397"/>
      <c r="HJR7" s="397"/>
      <c r="HJS7" s="397"/>
      <c r="HJT7" s="397"/>
      <c r="HJU7" s="397"/>
      <c r="HJV7" s="397"/>
      <c r="HJW7" s="397"/>
      <c r="HJX7" s="397"/>
      <c r="HJY7" s="397"/>
      <c r="HJZ7" s="397"/>
      <c r="HKA7" s="397"/>
      <c r="HKB7" s="397"/>
      <c r="HKC7" s="397"/>
      <c r="HKD7" s="397"/>
      <c r="HKE7" s="397"/>
      <c r="HKF7" s="397"/>
      <c r="HKG7" s="397"/>
      <c r="HKH7" s="397"/>
      <c r="HKI7" s="397"/>
      <c r="HKJ7" s="397"/>
      <c r="HKK7" s="397"/>
      <c r="HKL7" s="397"/>
      <c r="HKM7" s="397"/>
      <c r="HKN7" s="397"/>
      <c r="HKO7" s="397"/>
      <c r="HKP7" s="397"/>
      <c r="HKQ7" s="397"/>
      <c r="HKR7" s="397"/>
      <c r="HKS7" s="397"/>
      <c r="HKT7" s="397"/>
      <c r="HKU7" s="397"/>
      <c r="HKV7" s="397"/>
      <c r="HKW7" s="397"/>
      <c r="HKX7" s="397"/>
      <c r="HKY7" s="397"/>
      <c r="HKZ7" s="397"/>
      <c r="HLA7" s="397"/>
      <c r="HLB7" s="397"/>
      <c r="HLC7" s="397"/>
      <c r="HLD7" s="397"/>
      <c r="HLE7" s="397"/>
      <c r="HLF7" s="397"/>
      <c r="HLG7" s="397"/>
      <c r="HLH7" s="397"/>
      <c r="HLI7" s="397"/>
      <c r="HLJ7" s="397"/>
      <c r="HLK7" s="397"/>
      <c r="HLL7" s="397"/>
      <c r="HLM7" s="397"/>
      <c r="HLN7" s="397"/>
      <c r="HLO7" s="397"/>
      <c r="HLP7" s="397"/>
      <c r="HLQ7" s="397"/>
      <c r="HLR7" s="397"/>
      <c r="HLS7" s="397"/>
      <c r="HLT7" s="397"/>
      <c r="HLU7" s="397"/>
      <c r="HLV7" s="397"/>
      <c r="HLW7" s="397"/>
      <c r="HLX7" s="397"/>
      <c r="HLY7" s="397"/>
      <c r="HLZ7" s="397"/>
      <c r="HMA7" s="397"/>
      <c r="HMB7" s="397"/>
      <c r="HMC7" s="397"/>
      <c r="HMD7" s="397"/>
      <c r="HME7" s="397"/>
      <c r="HMF7" s="397"/>
      <c r="HMG7" s="397"/>
      <c r="HMH7" s="397"/>
      <c r="HMI7" s="397"/>
      <c r="HMJ7" s="397"/>
      <c r="HMK7" s="397"/>
      <c r="HML7" s="397"/>
      <c r="HMM7" s="397"/>
      <c r="HMN7" s="397"/>
      <c r="HMO7" s="397"/>
      <c r="HMP7" s="397"/>
      <c r="HMQ7" s="397"/>
      <c r="HMR7" s="397"/>
      <c r="HMS7" s="397"/>
      <c r="HMT7" s="397"/>
      <c r="HMU7" s="397"/>
      <c r="HMV7" s="397"/>
      <c r="HMW7" s="397"/>
      <c r="HMX7" s="397"/>
      <c r="HMY7" s="397"/>
      <c r="HMZ7" s="397"/>
      <c r="HNA7" s="397"/>
      <c r="HNB7" s="397"/>
      <c r="HNC7" s="397"/>
      <c r="HND7" s="397"/>
      <c r="HNE7" s="397"/>
      <c r="HNF7" s="397"/>
      <c r="HNG7" s="397"/>
      <c r="HNH7" s="397"/>
      <c r="HNI7" s="397"/>
      <c r="HNJ7" s="397"/>
      <c r="HNK7" s="397"/>
      <c r="HNL7" s="397"/>
      <c r="HNM7" s="397"/>
      <c r="HNN7" s="397"/>
      <c r="HNO7" s="397"/>
      <c r="HNP7" s="397"/>
      <c r="HNQ7" s="397"/>
      <c r="HNR7" s="397"/>
      <c r="HNS7" s="397"/>
      <c r="HNT7" s="397"/>
      <c r="HNU7" s="397"/>
      <c r="HNV7" s="397"/>
      <c r="HNW7" s="397"/>
      <c r="HNX7" s="397"/>
      <c r="HNY7" s="397"/>
      <c r="HNZ7" s="397"/>
      <c r="HOA7" s="397"/>
      <c r="HOB7" s="397"/>
      <c r="HOC7" s="397"/>
      <c r="HOD7" s="397"/>
      <c r="HOE7" s="397"/>
      <c r="HOF7" s="397"/>
      <c r="HOG7" s="397"/>
      <c r="HOH7" s="397"/>
      <c r="HOI7" s="397"/>
      <c r="HOJ7" s="397"/>
      <c r="HOK7" s="397"/>
      <c r="HOL7" s="397"/>
      <c r="HOM7" s="397"/>
      <c r="HON7" s="397"/>
      <c r="HOO7" s="397"/>
      <c r="HOP7" s="397"/>
      <c r="HOQ7" s="397"/>
      <c r="HOR7" s="397"/>
      <c r="HOS7" s="397"/>
      <c r="HOT7" s="397"/>
      <c r="HOU7" s="397"/>
      <c r="HOV7" s="397"/>
      <c r="HOW7" s="397"/>
      <c r="HOX7" s="397"/>
      <c r="HOY7" s="397"/>
      <c r="HOZ7" s="397"/>
      <c r="HPA7" s="397"/>
      <c r="HPB7" s="397"/>
      <c r="HPC7" s="397"/>
      <c r="HPD7" s="397"/>
      <c r="HPE7" s="397"/>
      <c r="HPF7" s="397"/>
      <c r="HPG7" s="397"/>
      <c r="HPH7" s="397"/>
      <c r="HPI7" s="397"/>
      <c r="HPJ7" s="397"/>
      <c r="HPK7" s="397"/>
      <c r="HPL7" s="397"/>
      <c r="HPM7" s="397"/>
      <c r="HPN7" s="397"/>
      <c r="HPO7" s="397"/>
      <c r="HPP7" s="397"/>
      <c r="HPQ7" s="397"/>
      <c r="HPR7" s="397"/>
      <c r="HPS7" s="397"/>
      <c r="HPT7" s="397"/>
      <c r="HPU7" s="397"/>
      <c r="HPV7" s="397"/>
      <c r="HPW7" s="397"/>
      <c r="HPX7" s="397"/>
      <c r="HPY7" s="397"/>
      <c r="HPZ7" s="397"/>
      <c r="HQA7" s="397"/>
      <c r="HQB7" s="397"/>
      <c r="HQC7" s="397"/>
      <c r="HQD7" s="397"/>
      <c r="HQE7" s="397"/>
      <c r="HQF7" s="397"/>
      <c r="HQG7" s="397"/>
      <c r="HQH7" s="397"/>
      <c r="HQI7" s="397"/>
      <c r="HQJ7" s="397"/>
      <c r="HQK7" s="397"/>
      <c r="HQL7" s="397"/>
      <c r="HQM7" s="397"/>
      <c r="HQN7" s="397"/>
      <c r="HQO7" s="397"/>
      <c r="HQP7" s="397"/>
      <c r="HQQ7" s="397"/>
      <c r="HQR7" s="397"/>
      <c r="HQS7" s="397"/>
      <c r="HQT7" s="397"/>
      <c r="HQU7" s="397"/>
      <c r="HQV7" s="397"/>
      <c r="HQW7" s="397"/>
      <c r="HQX7" s="397"/>
      <c r="HQY7" s="397"/>
      <c r="HQZ7" s="397"/>
      <c r="HRA7" s="397"/>
      <c r="HRB7" s="397"/>
      <c r="HRC7" s="397"/>
      <c r="HRD7" s="397"/>
      <c r="HRE7" s="397"/>
      <c r="HRF7" s="397"/>
      <c r="HRG7" s="397"/>
      <c r="HRH7" s="397"/>
      <c r="HRI7" s="397"/>
      <c r="HRJ7" s="397"/>
      <c r="HRK7" s="397"/>
      <c r="HRL7" s="397"/>
      <c r="HRM7" s="397"/>
      <c r="HRN7" s="397"/>
      <c r="HRO7" s="397"/>
      <c r="HRP7" s="397"/>
      <c r="HRQ7" s="397"/>
      <c r="HRR7" s="397"/>
      <c r="HRS7" s="397"/>
      <c r="HRT7" s="397"/>
      <c r="HRU7" s="397"/>
      <c r="HRV7" s="397"/>
      <c r="HRW7" s="397"/>
      <c r="HRX7" s="397"/>
      <c r="HRY7" s="397"/>
      <c r="HRZ7" s="397"/>
      <c r="HSA7" s="397"/>
      <c r="HSB7" s="397"/>
      <c r="HSC7" s="397"/>
      <c r="HSD7" s="397"/>
      <c r="HSE7" s="397"/>
      <c r="HSF7" s="397"/>
      <c r="HSG7" s="397"/>
      <c r="HSH7" s="397"/>
      <c r="HSI7" s="397"/>
      <c r="HSJ7" s="397"/>
      <c r="HSK7" s="397"/>
      <c r="HSL7" s="397"/>
      <c r="HSM7" s="397"/>
      <c r="HSN7" s="397"/>
      <c r="HSO7" s="397"/>
      <c r="HSP7" s="397"/>
      <c r="HSQ7" s="397"/>
      <c r="HSR7" s="397"/>
      <c r="HSS7" s="397"/>
      <c r="HST7" s="397"/>
      <c r="HSU7" s="397"/>
      <c r="HSV7" s="397"/>
      <c r="HSW7" s="397"/>
      <c r="HSX7" s="397"/>
      <c r="HSY7" s="397"/>
      <c r="HSZ7" s="397"/>
      <c r="HTA7" s="397"/>
      <c r="HTB7" s="397"/>
      <c r="HTC7" s="397"/>
      <c r="HTD7" s="397"/>
      <c r="HTE7" s="397"/>
      <c r="HTF7" s="397"/>
      <c r="HTG7" s="397"/>
      <c r="HTH7" s="397"/>
      <c r="HTI7" s="397"/>
      <c r="HTJ7" s="397"/>
      <c r="HTK7" s="397"/>
      <c r="HTL7" s="397"/>
      <c r="HTM7" s="397"/>
      <c r="HTN7" s="397"/>
      <c r="HTO7" s="397"/>
      <c r="HTP7" s="397"/>
      <c r="HTQ7" s="397"/>
      <c r="HTR7" s="397"/>
      <c r="HTS7" s="397"/>
      <c r="HTT7" s="397"/>
      <c r="HTU7" s="397"/>
      <c r="HTV7" s="397"/>
      <c r="HTW7" s="397"/>
      <c r="HTX7" s="397"/>
      <c r="HTY7" s="397"/>
      <c r="HTZ7" s="397"/>
      <c r="HUA7" s="397"/>
      <c r="HUB7" s="397"/>
      <c r="HUC7" s="397"/>
      <c r="HUD7" s="397"/>
      <c r="HUE7" s="397"/>
      <c r="HUF7" s="397"/>
      <c r="HUG7" s="397"/>
      <c r="HUH7" s="397"/>
      <c r="HUI7" s="397"/>
      <c r="HUJ7" s="397"/>
      <c r="HUK7" s="397"/>
      <c r="HUL7" s="397"/>
      <c r="HUM7" s="397"/>
      <c r="HUN7" s="397"/>
      <c r="HUO7" s="397"/>
      <c r="HUP7" s="397"/>
      <c r="HUQ7" s="397"/>
      <c r="HUR7" s="397"/>
      <c r="HUS7" s="397"/>
      <c r="HUT7" s="397"/>
      <c r="HUU7" s="397"/>
      <c r="HUV7" s="397"/>
      <c r="HUW7" s="397"/>
      <c r="HUX7" s="397"/>
      <c r="HUY7" s="397"/>
      <c r="HUZ7" s="397"/>
      <c r="HVA7" s="397"/>
      <c r="HVB7" s="397"/>
      <c r="HVC7" s="397"/>
      <c r="HVD7" s="397"/>
      <c r="HVE7" s="397"/>
      <c r="HVF7" s="397"/>
      <c r="HVG7" s="397"/>
      <c r="HVH7" s="397"/>
      <c r="HVI7" s="397"/>
      <c r="HVJ7" s="397"/>
      <c r="HVK7" s="397"/>
      <c r="HVL7" s="397"/>
      <c r="HVM7" s="397"/>
      <c r="HVN7" s="397"/>
      <c r="HVO7" s="397"/>
      <c r="HVP7" s="397"/>
      <c r="HVQ7" s="397"/>
      <c r="HVR7" s="397"/>
      <c r="HVS7" s="397"/>
      <c r="HVT7" s="397"/>
      <c r="HVU7" s="397"/>
      <c r="HVV7" s="397"/>
      <c r="HVW7" s="397"/>
      <c r="HVX7" s="397"/>
      <c r="HVY7" s="397"/>
      <c r="HVZ7" s="397"/>
      <c r="HWA7" s="397"/>
      <c r="HWB7" s="397"/>
      <c r="HWC7" s="397"/>
      <c r="HWD7" s="397"/>
      <c r="HWE7" s="397"/>
      <c r="HWF7" s="397"/>
      <c r="HWG7" s="397"/>
      <c r="HWH7" s="397"/>
      <c r="HWI7" s="397"/>
      <c r="HWJ7" s="397"/>
      <c r="HWK7" s="397"/>
      <c r="HWL7" s="397"/>
      <c r="HWM7" s="397"/>
      <c r="HWN7" s="397"/>
      <c r="HWO7" s="397"/>
      <c r="HWP7" s="397"/>
      <c r="HWQ7" s="397"/>
      <c r="HWR7" s="397"/>
      <c r="HWS7" s="397"/>
      <c r="HWT7" s="397"/>
      <c r="HWU7" s="397"/>
      <c r="HWV7" s="397"/>
      <c r="HWW7" s="397"/>
      <c r="HWX7" s="397"/>
      <c r="HWY7" s="397"/>
      <c r="HWZ7" s="397"/>
      <c r="HXA7" s="397"/>
      <c r="HXB7" s="397"/>
      <c r="HXC7" s="397"/>
      <c r="HXD7" s="397"/>
      <c r="HXE7" s="397"/>
      <c r="HXF7" s="397"/>
      <c r="HXG7" s="397"/>
      <c r="HXH7" s="397"/>
      <c r="HXI7" s="397"/>
      <c r="HXJ7" s="397"/>
      <c r="HXK7" s="397"/>
      <c r="HXL7" s="397"/>
      <c r="HXM7" s="397"/>
      <c r="HXN7" s="397"/>
      <c r="HXO7" s="397"/>
      <c r="HXP7" s="397"/>
      <c r="HXQ7" s="397"/>
      <c r="HXR7" s="397"/>
      <c r="HXS7" s="397"/>
      <c r="HXT7" s="397"/>
      <c r="HXU7" s="397"/>
      <c r="HXV7" s="397"/>
      <c r="HXW7" s="397"/>
      <c r="HXX7" s="397"/>
      <c r="HXY7" s="397"/>
      <c r="HXZ7" s="397"/>
      <c r="HYA7" s="397"/>
      <c r="HYB7" s="397"/>
      <c r="HYC7" s="397"/>
      <c r="HYD7" s="397"/>
      <c r="HYE7" s="397"/>
      <c r="HYF7" s="397"/>
      <c r="HYG7" s="397"/>
      <c r="HYH7" s="397"/>
      <c r="HYI7" s="397"/>
      <c r="HYJ7" s="397"/>
      <c r="HYK7" s="397"/>
      <c r="HYL7" s="397"/>
      <c r="HYM7" s="397"/>
      <c r="HYN7" s="397"/>
      <c r="HYO7" s="397"/>
      <c r="HYP7" s="397"/>
      <c r="HYQ7" s="397"/>
      <c r="HYR7" s="397"/>
      <c r="HYS7" s="397"/>
      <c r="HYT7" s="397"/>
      <c r="HYU7" s="397"/>
      <c r="HYV7" s="397"/>
      <c r="HYW7" s="397"/>
      <c r="HYX7" s="397"/>
      <c r="HYY7" s="397"/>
      <c r="HYZ7" s="397"/>
      <c r="HZA7" s="397"/>
      <c r="HZB7" s="397"/>
      <c r="HZC7" s="397"/>
      <c r="HZD7" s="397"/>
      <c r="HZE7" s="397"/>
      <c r="HZF7" s="397"/>
      <c r="HZG7" s="397"/>
      <c r="HZH7" s="397"/>
      <c r="HZI7" s="397"/>
      <c r="HZJ7" s="397"/>
      <c r="HZK7" s="397"/>
      <c r="HZL7" s="397"/>
      <c r="HZM7" s="397"/>
      <c r="HZN7" s="397"/>
      <c r="HZO7" s="397"/>
      <c r="HZP7" s="397"/>
      <c r="HZQ7" s="397"/>
      <c r="HZR7" s="397"/>
      <c r="HZS7" s="397"/>
      <c r="HZT7" s="397"/>
      <c r="HZU7" s="397"/>
      <c r="HZV7" s="397"/>
      <c r="HZW7" s="397"/>
      <c r="HZX7" s="397"/>
      <c r="HZY7" s="397"/>
      <c r="HZZ7" s="397"/>
      <c r="IAA7" s="397"/>
      <c r="IAB7" s="397"/>
      <c r="IAC7" s="397"/>
      <c r="IAD7" s="397"/>
      <c r="IAE7" s="397"/>
      <c r="IAF7" s="397"/>
      <c r="IAG7" s="397"/>
      <c r="IAH7" s="397"/>
      <c r="IAI7" s="397"/>
      <c r="IAJ7" s="397"/>
      <c r="IAK7" s="397"/>
      <c r="IAL7" s="397"/>
      <c r="IAM7" s="397"/>
      <c r="IAN7" s="397"/>
      <c r="IAO7" s="397"/>
      <c r="IAP7" s="397"/>
      <c r="IAQ7" s="397"/>
      <c r="IAR7" s="397"/>
      <c r="IAS7" s="397"/>
      <c r="IAT7" s="397"/>
      <c r="IAU7" s="397"/>
      <c r="IAV7" s="397"/>
      <c r="IAW7" s="397"/>
      <c r="IAX7" s="397"/>
      <c r="IAY7" s="397"/>
      <c r="IAZ7" s="397"/>
      <c r="IBA7" s="397"/>
      <c r="IBB7" s="397"/>
      <c r="IBC7" s="397"/>
      <c r="IBD7" s="397"/>
      <c r="IBE7" s="397"/>
      <c r="IBF7" s="397"/>
      <c r="IBG7" s="397"/>
      <c r="IBH7" s="397"/>
      <c r="IBI7" s="397"/>
      <c r="IBJ7" s="397"/>
      <c r="IBK7" s="397"/>
      <c r="IBL7" s="397"/>
      <c r="IBM7" s="397"/>
      <c r="IBN7" s="397"/>
      <c r="IBO7" s="397"/>
      <c r="IBP7" s="397"/>
      <c r="IBQ7" s="397"/>
      <c r="IBR7" s="397"/>
      <c r="IBS7" s="397"/>
      <c r="IBT7" s="397"/>
      <c r="IBU7" s="397"/>
      <c r="IBV7" s="397"/>
      <c r="IBW7" s="397"/>
      <c r="IBX7" s="397"/>
      <c r="IBY7" s="397"/>
      <c r="IBZ7" s="397"/>
      <c r="ICA7" s="397"/>
      <c r="ICB7" s="397"/>
      <c r="ICC7" s="397"/>
      <c r="ICD7" s="397"/>
      <c r="ICE7" s="397"/>
      <c r="ICF7" s="397"/>
      <c r="ICG7" s="397"/>
      <c r="ICH7" s="397"/>
      <c r="ICI7" s="397"/>
      <c r="ICJ7" s="397"/>
      <c r="ICK7" s="397"/>
      <c r="ICL7" s="397"/>
      <c r="ICM7" s="397"/>
      <c r="ICN7" s="397"/>
      <c r="ICO7" s="397"/>
      <c r="ICP7" s="397"/>
      <c r="ICQ7" s="397"/>
      <c r="ICR7" s="397"/>
      <c r="ICS7" s="397"/>
      <c r="ICT7" s="397"/>
      <c r="ICU7" s="397"/>
      <c r="ICV7" s="397"/>
      <c r="ICW7" s="397"/>
      <c r="ICX7" s="397"/>
      <c r="ICY7" s="397"/>
      <c r="ICZ7" s="397"/>
      <c r="IDA7" s="397"/>
      <c r="IDB7" s="397"/>
      <c r="IDC7" s="397"/>
      <c r="IDD7" s="397"/>
      <c r="IDE7" s="397"/>
      <c r="IDF7" s="397"/>
      <c r="IDG7" s="397"/>
      <c r="IDH7" s="397"/>
      <c r="IDI7" s="397"/>
      <c r="IDJ7" s="397"/>
      <c r="IDK7" s="397"/>
      <c r="IDL7" s="397"/>
      <c r="IDM7" s="397"/>
      <c r="IDN7" s="397"/>
      <c r="IDO7" s="397"/>
      <c r="IDP7" s="397"/>
      <c r="IDQ7" s="397"/>
      <c r="IDR7" s="397"/>
      <c r="IDS7" s="397"/>
      <c r="IDT7" s="397"/>
      <c r="IDU7" s="397"/>
      <c r="IDV7" s="397"/>
      <c r="IDW7" s="397"/>
      <c r="IDX7" s="397"/>
      <c r="IDY7" s="397"/>
      <c r="IDZ7" s="397"/>
      <c r="IEA7" s="397"/>
      <c r="IEB7" s="397"/>
      <c r="IEC7" s="397"/>
      <c r="IED7" s="397"/>
      <c r="IEE7" s="397"/>
      <c r="IEF7" s="397"/>
      <c r="IEG7" s="397"/>
      <c r="IEH7" s="397"/>
      <c r="IEI7" s="397"/>
      <c r="IEJ7" s="397"/>
      <c r="IEK7" s="397"/>
      <c r="IEL7" s="397"/>
      <c r="IEM7" s="397"/>
      <c r="IEN7" s="397"/>
      <c r="IEO7" s="397"/>
      <c r="IEP7" s="397"/>
      <c r="IEQ7" s="397"/>
      <c r="IER7" s="397"/>
      <c r="IES7" s="397"/>
      <c r="IET7" s="397"/>
      <c r="IEU7" s="397"/>
      <c r="IEV7" s="397"/>
      <c r="IEW7" s="397"/>
      <c r="IEX7" s="397"/>
      <c r="IEY7" s="397"/>
      <c r="IEZ7" s="397"/>
      <c r="IFA7" s="397"/>
      <c r="IFB7" s="397"/>
      <c r="IFC7" s="397"/>
      <c r="IFD7" s="397"/>
      <c r="IFE7" s="397"/>
      <c r="IFF7" s="397"/>
      <c r="IFG7" s="397"/>
      <c r="IFH7" s="397"/>
      <c r="IFI7" s="397"/>
      <c r="IFJ7" s="397"/>
      <c r="IFK7" s="397"/>
      <c r="IFL7" s="397"/>
      <c r="IFM7" s="397"/>
      <c r="IFN7" s="397"/>
      <c r="IFO7" s="397"/>
      <c r="IFP7" s="397"/>
      <c r="IFQ7" s="397"/>
      <c r="IFR7" s="397"/>
      <c r="IFS7" s="397"/>
      <c r="IFT7" s="397"/>
      <c r="IFU7" s="397"/>
      <c r="IFV7" s="397"/>
      <c r="IFW7" s="397"/>
      <c r="IFX7" s="397"/>
      <c r="IFY7" s="397"/>
      <c r="IFZ7" s="397"/>
      <c r="IGA7" s="397"/>
      <c r="IGB7" s="397"/>
      <c r="IGC7" s="397"/>
      <c r="IGD7" s="397"/>
      <c r="IGE7" s="397"/>
      <c r="IGF7" s="397"/>
      <c r="IGG7" s="397"/>
      <c r="IGH7" s="397"/>
      <c r="IGI7" s="397"/>
      <c r="IGJ7" s="397"/>
      <c r="IGK7" s="397"/>
      <c r="IGL7" s="397"/>
      <c r="IGM7" s="397"/>
      <c r="IGN7" s="397"/>
      <c r="IGO7" s="397"/>
      <c r="IGP7" s="397"/>
      <c r="IGQ7" s="397"/>
      <c r="IGR7" s="397"/>
      <c r="IGS7" s="397"/>
      <c r="IGT7" s="397"/>
      <c r="IGU7" s="397"/>
      <c r="IGV7" s="397"/>
      <c r="IGW7" s="397"/>
      <c r="IGX7" s="397"/>
      <c r="IGY7" s="397"/>
      <c r="IGZ7" s="397"/>
      <c r="IHA7" s="397"/>
      <c r="IHB7" s="397"/>
      <c r="IHC7" s="397"/>
      <c r="IHD7" s="397"/>
      <c r="IHE7" s="397"/>
      <c r="IHF7" s="397"/>
      <c r="IHG7" s="397"/>
      <c r="IHH7" s="397"/>
      <c r="IHI7" s="397"/>
      <c r="IHJ7" s="397"/>
      <c r="IHK7" s="397"/>
      <c r="IHL7" s="397"/>
      <c r="IHM7" s="397"/>
      <c r="IHN7" s="397"/>
      <c r="IHO7" s="397"/>
      <c r="IHP7" s="397"/>
      <c r="IHQ7" s="397"/>
      <c r="IHR7" s="397"/>
      <c r="IHS7" s="397"/>
      <c r="IHT7" s="397"/>
      <c r="IHU7" s="397"/>
      <c r="IHV7" s="397"/>
      <c r="IHW7" s="397"/>
      <c r="IHX7" s="397"/>
      <c r="IHY7" s="397"/>
      <c r="IHZ7" s="397"/>
      <c r="IIA7" s="397"/>
      <c r="IIB7" s="397"/>
      <c r="IIC7" s="397"/>
      <c r="IID7" s="397"/>
      <c r="IIE7" s="397"/>
      <c r="IIF7" s="397"/>
      <c r="IIG7" s="397"/>
      <c r="IIH7" s="397"/>
      <c r="III7" s="397"/>
      <c r="IIJ7" s="397"/>
      <c r="IIK7" s="397"/>
      <c r="IIL7" s="397"/>
      <c r="IIM7" s="397"/>
      <c r="IIN7" s="397"/>
      <c r="IIO7" s="397"/>
      <c r="IIP7" s="397"/>
      <c r="IIQ7" s="397"/>
      <c r="IIR7" s="397"/>
      <c r="IIS7" s="397"/>
      <c r="IIT7" s="397"/>
      <c r="IIU7" s="397"/>
      <c r="IIV7" s="397"/>
      <c r="IIW7" s="397"/>
      <c r="IIX7" s="397"/>
      <c r="IIY7" s="397"/>
      <c r="IIZ7" s="397"/>
      <c r="IJA7" s="397"/>
      <c r="IJB7" s="397"/>
      <c r="IJC7" s="397"/>
      <c r="IJD7" s="397"/>
      <c r="IJE7" s="397"/>
      <c r="IJF7" s="397"/>
      <c r="IJG7" s="397"/>
      <c r="IJH7" s="397"/>
      <c r="IJI7" s="397"/>
      <c r="IJJ7" s="397"/>
      <c r="IJK7" s="397"/>
      <c r="IJL7" s="397"/>
      <c r="IJM7" s="397"/>
      <c r="IJN7" s="397"/>
      <c r="IJO7" s="397"/>
      <c r="IJP7" s="397"/>
      <c r="IJQ7" s="397"/>
      <c r="IJR7" s="397"/>
      <c r="IJS7" s="397"/>
      <c r="IJT7" s="397"/>
      <c r="IJU7" s="397"/>
      <c r="IJV7" s="397"/>
      <c r="IJW7" s="397"/>
      <c r="IJX7" s="397"/>
      <c r="IJY7" s="397"/>
      <c r="IJZ7" s="397"/>
      <c r="IKA7" s="397"/>
      <c r="IKB7" s="397"/>
      <c r="IKC7" s="397"/>
      <c r="IKD7" s="397"/>
      <c r="IKE7" s="397"/>
      <c r="IKF7" s="397"/>
      <c r="IKG7" s="397"/>
      <c r="IKH7" s="397"/>
      <c r="IKI7" s="397"/>
      <c r="IKJ7" s="397"/>
      <c r="IKK7" s="397"/>
      <c r="IKL7" s="397"/>
      <c r="IKM7" s="397"/>
      <c r="IKN7" s="397"/>
      <c r="IKO7" s="397"/>
      <c r="IKP7" s="397"/>
      <c r="IKQ7" s="397"/>
      <c r="IKR7" s="397"/>
      <c r="IKS7" s="397"/>
      <c r="IKT7" s="397"/>
      <c r="IKU7" s="397"/>
      <c r="IKV7" s="397"/>
      <c r="IKW7" s="397"/>
      <c r="IKX7" s="397"/>
      <c r="IKY7" s="397"/>
      <c r="IKZ7" s="397"/>
      <c r="ILA7" s="397"/>
      <c r="ILB7" s="397"/>
      <c r="ILC7" s="397"/>
      <c r="ILD7" s="397"/>
      <c r="ILE7" s="397"/>
      <c r="ILF7" s="397"/>
      <c r="ILG7" s="397"/>
      <c r="ILH7" s="397"/>
      <c r="ILI7" s="397"/>
      <c r="ILJ7" s="397"/>
      <c r="ILK7" s="397"/>
      <c r="ILL7" s="397"/>
      <c r="ILM7" s="397"/>
      <c r="ILN7" s="397"/>
      <c r="ILO7" s="397"/>
      <c r="ILP7" s="397"/>
      <c r="ILQ7" s="397"/>
      <c r="ILR7" s="397"/>
      <c r="ILS7" s="397"/>
      <c r="ILT7" s="397"/>
      <c r="ILU7" s="397"/>
      <c r="ILV7" s="397"/>
      <c r="ILW7" s="397"/>
      <c r="ILX7" s="397"/>
      <c r="ILY7" s="397"/>
      <c r="ILZ7" s="397"/>
      <c r="IMA7" s="397"/>
      <c r="IMB7" s="397"/>
      <c r="IMC7" s="397"/>
      <c r="IMD7" s="397"/>
      <c r="IME7" s="397"/>
      <c r="IMF7" s="397"/>
      <c r="IMG7" s="397"/>
      <c r="IMH7" s="397"/>
      <c r="IMI7" s="397"/>
      <c r="IMJ7" s="397"/>
      <c r="IMK7" s="397"/>
      <c r="IML7" s="397"/>
      <c r="IMM7" s="397"/>
      <c r="IMN7" s="397"/>
      <c r="IMO7" s="397"/>
      <c r="IMP7" s="397"/>
      <c r="IMQ7" s="397"/>
      <c r="IMR7" s="397"/>
      <c r="IMS7" s="397"/>
      <c r="IMT7" s="397"/>
      <c r="IMU7" s="397"/>
      <c r="IMV7" s="397"/>
      <c r="IMW7" s="397"/>
      <c r="IMX7" s="397"/>
      <c r="IMY7" s="397"/>
      <c r="IMZ7" s="397"/>
      <c r="INA7" s="397"/>
      <c r="INB7" s="397"/>
      <c r="INC7" s="397"/>
      <c r="IND7" s="397"/>
      <c r="INE7" s="397"/>
      <c r="INF7" s="397"/>
      <c r="ING7" s="397"/>
      <c r="INH7" s="397"/>
      <c r="INI7" s="397"/>
      <c r="INJ7" s="397"/>
      <c r="INK7" s="397"/>
      <c r="INL7" s="397"/>
      <c r="INM7" s="397"/>
      <c r="INN7" s="397"/>
      <c r="INO7" s="397"/>
      <c r="INP7" s="397"/>
      <c r="INQ7" s="397"/>
      <c r="INR7" s="397"/>
      <c r="INS7" s="397"/>
      <c r="INT7" s="397"/>
      <c r="INU7" s="397"/>
      <c r="INV7" s="397"/>
      <c r="INW7" s="397"/>
      <c r="INX7" s="397"/>
      <c r="INY7" s="397"/>
      <c r="INZ7" s="397"/>
      <c r="IOA7" s="397"/>
      <c r="IOB7" s="397"/>
      <c r="IOC7" s="397"/>
      <c r="IOD7" s="397"/>
      <c r="IOE7" s="397"/>
      <c r="IOF7" s="397"/>
      <c r="IOG7" s="397"/>
      <c r="IOH7" s="397"/>
      <c r="IOI7" s="397"/>
      <c r="IOJ7" s="397"/>
      <c r="IOK7" s="397"/>
      <c r="IOL7" s="397"/>
      <c r="IOM7" s="397"/>
      <c r="ION7" s="397"/>
      <c r="IOO7" s="397"/>
      <c r="IOP7" s="397"/>
      <c r="IOQ7" s="397"/>
      <c r="IOR7" s="397"/>
      <c r="IOS7" s="397"/>
      <c r="IOT7" s="397"/>
      <c r="IOU7" s="397"/>
      <c r="IOV7" s="397"/>
      <c r="IOW7" s="397"/>
      <c r="IOX7" s="397"/>
      <c r="IOY7" s="397"/>
      <c r="IOZ7" s="397"/>
      <c r="IPA7" s="397"/>
      <c r="IPB7" s="397"/>
      <c r="IPC7" s="397"/>
      <c r="IPD7" s="397"/>
      <c r="IPE7" s="397"/>
      <c r="IPF7" s="397"/>
      <c r="IPG7" s="397"/>
      <c r="IPH7" s="397"/>
      <c r="IPI7" s="397"/>
      <c r="IPJ7" s="397"/>
      <c r="IPK7" s="397"/>
      <c r="IPL7" s="397"/>
      <c r="IPM7" s="397"/>
      <c r="IPN7" s="397"/>
      <c r="IPO7" s="397"/>
      <c r="IPP7" s="397"/>
      <c r="IPQ7" s="397"/>
      <c r="IPR7" s="397"/>
      <c r="IPS7" s="397"/>
      <c r="IPT7" s="397"/>
      <c r="IPU7" s="397"/>
      <c r="IPV7" s="397"/>
      <c r="IPW7" s="397"/>
      <c r="IPX7" s="397"/>
      <c r="IPY7" s="397"/>
      <c r="IPZ7" s="397"/>
      <c r="IQA7" s="397"/>
      <c r="IQB7" s="397"/>
      <c r="IQC7" s="397"/>
      <c r="IQD7" s="397"/>
      <c r="IQE7" s="397"/>
      <c r="IQF7" s="397"/>
      <c r="IQG7" s="397"/>
      <c r="IQH7" s="397"/>
      <c r="IQI7" s="397"/>
      <c r="IQJ7" s="397"/>
      <c r="IQK7" s="397"/>
      <c r="IQL7" s="397"/>
      <c r="IQM7" s="397"/>
      <c r="IQN7" s="397"/>
      <c r="IQO7" s="397"/>
      <c r="IQP7" s="397"/>
      <c r="IQQ7" s="397"/>
      <c r="IQR7" s="397"/>
      <c r="IQS7" s="397"/>
      <c r="IQT7" s="397"/>
      <c r="IQU7" s="397"/>
      <c r="IQV7" s="397"/>
      <c r="IQW7" s="397"/>
      <c r="IQX7" s="397"/>
      <c r="IQY7" s="397"/>
      <c r="IQZ7" s="397"/>
      <c r="IRA7" s="397"/>
      <c r="IRB7" s="397"/>
      <c r="IRC7" s="397"/>
      <c r="IRD7" s="397"/>
      <c r="IRE7" s="397"/>
      <c r="IRF7" s="397"/>
      <c r="IRG7" s="397"/>
      <c r="IRH7" s="397"/>
      <c r="IRI7" s="397"/>
      <c r="IRJ7" s="397"/>
      <c r="IRK7" s="397"/>
      <c r="IRL7" s="397"/>
      <c r="IRM7" s="397"/>
      <c r="IRN7" s="397"/>
      <c r="IRO7" s="397"/>
      <c r="IRP7" s="397"/>
      <c r="IRQ7" s="397"/>
      <c r="IRR7" s="397"/>
      <c r="IRS7" s="397"/>
      <c r="IRT7" s="397"/>
      <c r="IRU7" s="397"/>
      <c r="IRV7" s="397"/>
      <c r="IRW7" s="397"/>
      <c r="IRX7" s="397"/>
      <c r="IRY7" s="397"/>
      <c r="IRZ7" s="397"/>
      <c r="ISA7" s="397"/>
      <c r="ISB7" s="397"/>
      <c r="ISC7" s="397"/>
      <c r="ISD7" s="397"/>
      <c r="ISE7" s="397"/>
      <c r="ISF7" s="397"/>
      <c r="ISG7" s="397"/>
      <c r="ISH7" s="397"/>
      <c r="ISI7" s="397"/>
      <c r="ISJ7" s="397"/>
      <c r="ISK7" s="397"/>
      <c r="ISL7" s="397"/>
      <c r="ISM7" s="397"/>
      <c r="ISN7" s="397"/>
      <c r="ISO7" s="397"/>
      <c r="ISP7" s="397"/>
      <c r="ISQ7" s="397"/>
      <c r="ISR7" s="397"/>
      <c r="ISS7" s="397"/>
      <c r="IST7" s="397"/>
      <c r="ISU7" s="397"/>
      <c r="ISV7" s="397"/>
      <c r="ISW7" s="397"/>
      <c r="ISX7" s="397"/>
      <c r="ISY7" s="397"/>
      <c r="ISZ7" s="397"/>
      <c r="ITA7" s="397"/>
      <c r="ITB7" s="397"/>
      <c r="ITC7" s="397"/>
      <c r="ITD7" s="397"/>
      <c r="ITE7" s="397"/>
      <c r="ITF7" s="397"/>
      <c r="ITG7" s="397"/>
      <c r="ITH7" s="397"/>
      <c r="ITI7" s="397"/>
      <c r="ITJ7" s="397"/>
      <c r="ITK7" s="397"/>
      <c r="ITL7" s="397"/>
      <c r="ITM7" s="397"/>
      <c r="ITN7" s="397"/>
      <c r="ITO7" s="397"/>
      <c r="ITP7" s="397"/>
      <c r="ITQ7" s="397"/>
      <c r="ITR7" s="397"/>
      <c r="ITS7" s="397"/>
      <c r="ITT7" s="397"/>
      <c r="ITU7" s="397"/>
      <c r="ITV7" s="397"/>
      <c r="ITW7" s="397"/>
      <c r="ITX7" s="397"/>
      <c r="ITY7" s="397"/>
      <c r="ITZ7" s="397"/>
      <c r="IUA7" s="397"/>
      <c r="IUB7" s="397"/>
      <c r="IUC7" s="397"/>
      <c r="IUD7" s="397"/>
      <c r="IUE7" s="397"/>
      <c r="IUF7" s="397"/>
      <c r="IUG7" s="397"/>
      <c r="IUH7" s="397"/>
      <c r="IUI7" s="397"/>
      <c r="IUJ7" s="397"/>
      <c r="IUK7" s="397"/>
      <c r="IUL7" s="397"/>
      <c r="IUM7" s="397"/>
      <c r="IUN7" s="397"/>
      <c r="IUO7" s="397"/>
      <c r="IUP7" s="397"/>
      <c r="IUQ7" s="397"/>
      <c r="IUR7" s="397"/>
      <c r="IUS7" s="397"/>
      <c r="IUT7" s="397"/>
      <c r="IUU7" s="397"/>
      <c r="IUV7" s="397"/>
      <c r="IUW7" s="397"/>
      <c r="IUX7" s="397"/>
      <c r="IUY7" s="397"/>
      <c r="IUZ7" s="397"/>
      <c r="IVA7" s="397"/>
      <c r="IVB7" s="397"/>
      <c r="IVC7" s="397"/>
      <c r="IVD7" s="397"/>
      <c r="IVE7" s="397"/>
      <c r="IVF7" s="397"/>
      <c r="IVG7" s="397"/>
      <c r="IVH7" s="397"/>
      <c r="IVI7" s="397"/>
      <c r="IVJ7" s="397"/>
      <c r="IVK7" s="397"/>
      <c r="IVL7" s="397"/>
      <c r="IVM7" s="397"/>
      <c r="IVN7" s="397"/>
      <c r="IVO7" s="397"/>
      <c r="IVP7" s="397"/>
      <c r="IVQ7" s="397"/>
      <c r="IVR7" s="397"/>
      <c r="IVS7" s="397"/>
      <c r="IVT7" s="397"/>
      <c r="IVU7" s="397"/>
      <c r="IVV7" s="397"/>
      <c r="IVW7" s="397"/>
      <c r="IVX7" s="397"/>
      <c r="IVY7" s="397"/>
      <c r="IVZ7" s="397"/>
      <c r="IWA7" s="397"/>
      <c r="IWB7" s="397"/>
      <c r="IWC7" s="397"/>
      <c r="IWD7" s="397"/>
      <c r="IWE7" s="397"/>
      <c r="IWF7" s="397"/>
      <c r="IWG7" s="397"/>
      <c r="IWH7" s="397"/>
      <c r="IWI7" s="397"/>
      <c r="IWJ7" s="397"/>
      <c r="IWK7" s="397"/>
      <c r="IWL7" s="397"/>
      <c r="IWM7" s="397"/>
      <c r="IWN7" s="397"/>
      <c r="IWO7" s="397"/>
      <c r="IWP7" s="397"/>
      <c r="IWQ7" s="397"/>
      <c r="IWR7" s="397"/>
      <c r="IWS7" s="397"/>
      <c r="IWT7" s="397"/>
      <c r="IWU7" s="397"/>
      <c r="IWV7" s="397"/>
      <c r="IWW7" s="397"/>
      <c r="IWX7" s="397"/>
      <c r="IWY7" s="397"/>
      <c r="IWZ7" s="397"/>
      <c r="IXA7" s="397"/>
      <c r="IXB7" s="397"/>
      <c r="IXC7" s="397"/>
      <c r="IXD7" s="397"/>
      <c r="IXE7" s="397"/>
      <c r="IXF7" s="397"/>
      <c r="IXG7" s="397"/>
      <c r="IXH7" s="397"/>
      <c r="IXI7" s="397"/>
      <c r="IXJ7" s="397"/>
      <c r="IXK7" s="397"/>
      <c r="IXL7" s="397"/>
      <c r="IXM7" s="397"/>
      <c r="IXN7" s="397"/>
      <c r="IXO7" s="397"/>
      <c r="IXP7" s="397"/>
      <c r="IXQ7" s="397"/>
      <c r="IXR7" s="397"/>
      <c r="IXS7" s="397"/>
      <c r="IXT7" s="397"/>
      <c r="IXU7" s="397"/>
      <c r="IXV7" s="397"/>
      <c r="IXW7" s="397"/>
      <c r="IXX7" s="397"/>
      <c r="IXY7" s="397"/>
      <c r="IXZ7" s="397"/>
      <c r="IYA7" s="397"/>
      <c r="IYB7" s="397"/>
      <c r="IYC7" s="397"/>
      <c r="IYD7" s="397"/>
      <c r="IYE7" s="397"/>
      <c r="IYF7" s="397"/>
      <c r="IYG7" s="397"/>
      <c r="IYH7" s="397"/>
      <c r="IYI7" s="397"/>
      <c r="IYJ7" s="397"/>
      <c r="IYK7" s="397"/>
      <c r="IYL7" s="397"/>
      <c r="IYM7" s="397"/>
      <c r="IYN7" s="397"/>
      <c r="IYO7" s="397"/>
      <c r="IYP7" s="397"/>
      <c r="IYQ7" s="397"/>
      <c r="IYR7" s="397"/>
      <c r="IYS7" s="397"/>
      <c r="IYT7" s="397"/>
      <c r="IYU7" s="397"/>
      <c r="IYV7" s="397"/>
      <c r="IYW7" s="397"/>
      <c r="IYX7" s="397"/>
      <c r="IYY7" s="397"/>
      <c r="IYZ7" s="397"/>
      <c r="IZA7" s="397"/>
      <c r="IZB7" s="397"/>
      <c r="IZC7" s="397"/>
      <c r="IZD7" s="397"/>
      <c r="IZE7" s="397"/>
      <c r="IZF7" s="397"/>
      <c r="IZG7" s="397"/>
      <c r="IZH7" s="397"/>
      <c r="IZI7" s="397"/>
      <c r="IZJ7" s="397"/>
      <c r="IZK7" s="397"/>
      <c r="IZL7" s="397"/>
      <c r="IZM7" s="397"/>
      <c r="IZN7" s="397"/>
      <c r="IZO7" s="397"/>
      <c r="IZP7" s="397"/>
      <c r="IZQ7" s="397"/>
      <c r="IZR7" s="397"/>
      <c r="IZS7" s="397"/>
      <c r="IZT7" s="397"/>
      <c r="IZU7" s="397"/>
      <c r="IZV7" s="397"/>
      <c r="IZW7" s="397"/>
      <c r="IZX7" s="397"/>
      <c r="IZY7" s="397"/>
      <c r="IZZ7" s="397"/>
      <c r="JAA7" s="397"/>
      <c r="JAB7" s="397"/>
      <c r="JAC7" s="397"/>
      <c r="JAD7" s="397"/>
      <c r="JAE7" s="397"/>
      <c r="JAF7" s="397"/>
      <c r="JAG7" s="397"/>
      <c r="JAH7" s="397"/>
      <c r="JAI7" s="397"/>
      <c r="JAJ7" s="397"/>
      <c r="JAK7" s="397"/>
      <c r="JAL7" s="397"/>
      <c r="JAM7" s="397"/>
      <c r="JAN7" s="397"/>
      <c r="JAO7" s="397"/>
      <c r="JAP7" s="397"/>
      <c r="JAQ7" s="397"/>
      <c r="JAR7" s="397"/>
      <c r="JAS7" s="397"/>
      <c r="JAT7" s="397"/>
      <c r="JAU7" s="397"/>
      <c r="JAV7" s="397"/>
      <c r="JAW7" s="397"/>
      <c r="JAX7" s="397"/>
      <c r="JAY7" s="397"/>
      <c r="JAZ7" s="397"/>
      <c r="JBA7" s="397"/>
      <c r="JBB7" s="397"/>
      <c r="JBC7" s="397"/>
      <c r="JBD7" s="397"/>
      <c r="JBE7" s="397"/>
      <c r="JBF7" s="397"/>
      <c r="JBG7" s="397"/>
      <c r="JBH7" s="397"/>
      <c r="JBI7" s="397"/>
      <c r="JBJ7" s="397"/>
      <c r="JBK7" s="397"/>
      <c r="JBL7" s="397"/>
      <c r="JBM7" s="397"/>
      <c r="JBN7" s="397"/>
      <c r="JBO7" s="397"/>
      <c r="JBP7" s="397"/>
      <c r="JBQ7" s="397"/>
      <c r="JBR7" s="397"/>
      <c r="JBS7" s="397"/>
      <c r="JBT7" s="397"/>
      <c r="JBU7" s="397"/>
      <c r="JBV7" s="397"/>
      <c r="JBW7" s="397"/>
      <c r="JBX7" s="397"/>
      <c r="JBY7" s="397"/>
      <c r="JBZ7" s="397"/>
      <c r="JCA7" s="397"/>
      <c r="JCB7" s="397"/>
      <c r="JCC7" s="397"/>
      <c r="JCD7" s="397"/>
      <c r="JCE7" s="397"/>
      <c r="JCF7" s="397"/>
      <c r="JCG7" s="397"/>
      <c r="JCH7" s="397"/>
      <c r="JCI7" s="397"/>
      <c r="JCJ7" s="397"/>
      <c r="JCK7" s="397"/>
      <c r="JCL7" s="397"/>
      <c r="JCM7" s="397"/>
      <c r="JCN7" s="397"/>
      <c r="JCO7" s="397"/>
      <c r="JCP7" s="397"/>
      <c r="JCQ7" s="397"/>
      <c r="JCR7" s="397"/>
      <c r="JCS7" s="397"/>
      <c r="JCT7" s="397"/>
      <c r="JCU7" s="397"/>
      <c r="JCV7" s="397"/>
      <c r="JCW7" s="397"/>
      <c r="JCX7" s="397"/>
      <c r="JCY7" s="397"/>
      <c r="JCZ7" s="397"/>
      <c r="JDA7" s="397"/>
      <c r="JDB7" s="397"/>
      <c r="JDC7" s="397"/>
      <c r="JDD7" s="397"/>
      <c r="JDE7" s="397"/>
      <c r="JDF7" s="397"/>
      <c r="JDG7" s="397"/>
      <c r="JDH7" s="397"/>
      <c r="JDI7" s="397"/>
      <c r="JDJ7" s="397"/>
      <c r="JDK7" s="397"/>
      <c r="JDL7" s="397"/>
      <c r="JDM7" s="397"/>
      <c r="JDN7" s="397"/>
      <c r="JDO7" s="397"/>
      <c r="JDP7" s="397"/>
      <c r="JDQ7" s="397"/>
      <c r="JDR7" s="397"/>
      <c r="JDS7" s="397"/>
      <c r="JDT7" s="397"/>
      <c r="JDU7" s="397"/>
      <c r="JDV7" s="397"/>
      <c r="JDW7" s="397"/>
      <c r="JDX7" s="397"/>
      <c r="JDY7" s="397"/>
      <c r="JDZ7" s="397"/>
      <c r="JEA7" s="397"/>
      <c r="JEB7" s="397"/>
      <c r="JEC7" s="397"/>
      <c r="JED7" s="397"/>
      <c r="JEE7" s="397"/>
      <c r="JEF7" s="397"/>
      <c r="JEG7" s="397"/>
      <c r="JEH7" s="397"/>
      <c r="JEI7" s="397"/>
      <c r="JEJ7" s="397"/>
      <c r="JEK7" s="397"/>
      <c r="JEL7" s="397"/>
      <c r="JEM7" s="397"/>
      <c r="JEN7" s="397"/>
      <c r="JEO7" s="397"/>
      <c r="JEP7" s="397"/>
      <c r="JEQ7" s="397"/>
      <c r="JER7" s="397"/>
      <c r="JES7" s="397"/>
      <c r="JET7" s="397"/>
      <c r="JEU7" s="397"/>
      <c r="JEV7" s="397"/>
      <c r="JEW7" s="397"/>
      <c r="JEX7" s="397"/>
      <c r="JEY7" s="397"/>
      <c r="JEZ7" s="397"/>
      <c r="JFA7" s="397"/>
      <c r="JFB7" s="397"/>
      <c r="JFC7" s="397"/>
      <c r="JFD7" s="397"/>
      <c r="JFE7" s="397"/>
      <c r="JFF7" s="397"/>
      <c r="JFG7" s="397"/>
      <c r="JFH7" s="397"/>
      <c r="JFI7" s="397"/>
      <c r="JFJ7" s="397"/>
      <c r="JFK7" s="397"/>
      <c r="JFL7" s="397"/>
      <c r="JFM7" s="397"/>
      <c r="JFN7" s="397"/>
      <c r="JFO7" s="397"/>
      <c r="JFP7" s="397"/>
      <c r="JFQ7" s="397"/>
      <c r="JFR7" s="397"/>
      <c r="JFS7" s="397"/>
      <c r="JFT7" s="397"/>
      <c r="JFU7" s="397"/>
      <c r="JFV7" s="397"/>
      <c r="JFW7" s="397"/>
      <c r="JFX7" s="397"/>
      <c r="JFY7" s="397"/>
      <c r="JFZ7" s="397"/>
      <c r="JGA7" s="397"/>
      <c r="JGB7" s="397"/>
      <c r="JGC7" s="397"/>
      <c r="JGD7" s="397"/>
      <c r="JGE7" s="397"/>
      <c r="JGF7" s="397"/>
      <c r="JGG7" s="397"/>
      <c r="JGH7" s="397"/>
      <c r="JGI7" s="397"/>
      <c r="JGJ7" s="397"/>
      <c r="JGK7" s="397"/>
      <c r="JGL7" s="397"/>
      <c r="JGM7" s="397"/>
      <c r="JGN7" s="397"/>
      <c r="JGO7" s="397"/>
      <c r="JGP7" s="397"/>
      <c r="JGQ7" s="397"/>
      <c r="JGR7" s="397"/>
      <c r="JGS7" s="397"/>
      <c r="JGT7" s="397"/>
      <c r="JGU7" s="397"/>
      <c r="JGV7" s="397"/>
      <c r="JGW7" s="397"/>
      <c r="JGX7" s="397"/>
      <c r="JGY7" s="397"/>
      <c r="JGZ7" s="397"/>
      <c r="JHA7" s="397"/>
      <c r="JHB7" s="397"/>
      <c r="JHC7" s="397"/>
      <c r="JHD7" s="397"/>
      <c r="JHE7" s="397"/>
      <c r="JHF7" s="397"/>
      <c r="JHG7" s="397"/>
      <c r="JHH7" s="397"/>
      <c r="JHI7" s="397"/>
      <c r="JHJ7" s="397"/>
      <c r="JHK7" s="397"/>
      <c r="JHL7" s="397"/>
      <c r="JHM7" s="397"/>
      <c r="JHN7" s="397"/>
      <c r="JHO7" s="397"/>
      <c r="JHP7" s="397"/>
      <c r="JHQ7" s="397"/>
      <c r="JHR7" s="397"/>
      <c r="JHS7" s="397"/>
      <c r="JHT7" s="397"/>
      <c r="JHU7" s="397"/>
      <c r="JHV7" s="397"/>
      <c r="JHW7" s="397"/>
      <c r="JHX7" s="397"/>
      <c r="JHY7" s="397"/>
      <c r="JHZ7" s="397"/>
      <c r="JIA7" s="397"/>
      <c r="JIB7" s="397"/>
      <c r="JIC7" s="397"/>
      <c r="JID7" s="397"/>
      <c r="JIE7" s="397"/>
      <c r="JIF7" s="397"/>
      <c r="JIG7" s="397"/>
      <c r="JIH7" s="397"/>
      <c r="JII7" s="397"/>
      <c r="JIJ7" s="397"/>
      <c r="JIK7" s="397"/>
      <c r="JIL7" s="397"/>
      <c r="JIM7" s="397"/>
      <c r="JIN7" s="397"/>
      <c r="JIO7" s="397"/>
      <c r="JIP7" s="397"/>
      <c r="JIQ7" s="397"/>
      <c r="JIR7" s="397"/>
      <c r="JIS7" s="397"/>
      <c r="JIT7" s="397"/>
      <c r="JIU7" s="397"/>
      <c r="JIV7" s="397"/>
      <c r="JIW7" s="397"/>
      <c r="JIX7" s="397"/>
      <c r="JIY7" s="397"/>
      <c r="JIZ7" s="397"/>
      <c r="JJA7" s="397"/>
      <c r="JJB7" s="397"/>
      <c r="JJC7" s="397"/>
      <c r="JJD7" s="397"/>
      <c r="JJE7" s="397"/>
      <c r="JJF7" s="397"/>
      <c r="JJG7" s="397"/>
      <c r="JJH7" s="397"/>
      <c r="JJI7" s="397"/>
      <c r="JJJ7" s="397"/>
      <c r="JJK7" s="397"/>
      <c r="JJL7" s="397"/>
      <c r="JJM7" s="397"/>
      <c r="JJN7" s="397"/>
      <c r="JJO7" s="397"/>
      <c r="JJP7" s="397"/>
      <c r="JJQ7" s="397"/>
      <c r="JJR7" s="397"/>
      <c r="JJS7" s="397"/>
      <c r="JJT7" s="397"/>
      <c r="JJU7" s="397"/>
      <c r="JJV7" s="397"/>
      <c r="JJW7" s="397"/>
      <c r="JJX7" s="397"/>
      <c r="JJY7" s="397"/>
      <c r="JJZ7" s="397"/>
      <c r="JKA7" s="397"/>
      <c r="JKB7" s="397"/>
      <c r="JKC7" s="397"/>
      <c r="JKD7" s="397"/>
      <c r="JKE7" s="397"/>
      <c r="JKF7" s="397"/>
      <c r="JKG7" s="397"/>
      <c r="JKH7" s="397"/>
      <c r="JKI7" s="397"/>
      <c r="JKJ7" s="397"/>
      <c r="JKK7" s="397"/>
      <c r="JKL7" s="397"/>
      <c r="JKM7" s="397"/>
      <c r="JKN7" s="397"/>
      <c r="JKO7" s="397"/>
      <c r="JKP7" s="397"/>
      <c r="JKQ7" s="397"/>
      <c r="JKR7" s="397"/>
      <c r="JKS7" s="397"/>
      <c r="JKT7" s="397"/>
      <c r="JKU7" s="397"/>
      <c r="JKV7" s="397"/>
      <c r="JKW7" s="397"/>
      <c r="JKX7" s="397"/>
      <c r="JKY7" s="397"/>
      <c r="JKZ7" s="397"/>
      <c r="JLA7" s="397"/>
      <c r="JLB7" s="397"/>
      <c r="JLC7" s="397"/>
      <c r="JLD7" s="397"/>
      <c r="JLE7" s="397"/>
      <c r="JLF7" s="397"/>
      <c r="JLG7" s="397"/>
      <c r="JLH7" s="397"/>
      <c r="JLI7" s="397"/>
      <c r="JLJ7" s="397"/>
      <c r="JLK7" s="397"/>
      <c r="JLL7" s="397"/>
      <c r="JLM7" s="397"/>
      <c r="JLN7" s="397"/>
      <c r="JLO7" s="397"/>
      <c r="JLP7" s="397"/>
      <c r="JLQ7" s="397"/>
      <c r="JLR7" s="397"/>
      <c r="JLS7" s="397"/>
      <c r="JLT7" s="397"/>
      <c r="JLU7" s="397"/>
      <c r="JLV7" s="397"/>
      <c r="JLW7" s="397"/>
      <c r="JLX7" s="397"/>
      <c r="JLY7" s="397"/>
      <c r="JLZ7" s="397"/>
      <c r="JMA7" s="397"/>
      <c r="JMB7" s="397"/>
      <c r="JMC7" s="397"/>
      <c r="JMD7" s="397"/>
      <c r="JME7" s="397"/>
      <c r="JMF7" s="397"/>
      <c r="JMG7" s="397"/>
      <c r="JMH7" s="397"/>
      <c r="JMI7" s="397"/>
      <c r="JMJ7" s="397"/>
      <c r="JMK7" s="397"/>
      <c r="JML7" s="397"/>
      <c r="JMM7" s="397"/>
      <c r="JMN7" s="397"/>
      <c r="JMO7" s="397"/>
      <c r="JMP7" s="397"/>
      <c r="JMQ7" s="397"/>
      <c r="JMR7" s="397"/>
      <c r="JMS7" s="397"/>
      <c r="JMT7" s="397"/>
      <c r="JMU7" s="397"/>
      <c r="JMV7" s="397"/>
      <c r="JMW7" s="397"/>
      <c r="JMX7" s="397"/>
      <c r="JMY7" s="397"/>
      <c r="JMZ7" s="397"/>
      <c r="JNA7" s="397"/>
      <c r="JNB7" s="397"/>
      <c r="JNC7" s="397"/>
      <c r="JND7" s="397"/>
      <c r="JNE7" s="397"/>
      <c r="JNF7" s="397"/>
      <c r="JNG7" s="397"/>
      <c r="JNH7" s="397"/>
      <c r="JNI7" s="397"/>
      <c r="JNJ7" s="397"/>
      <c r="JNK7" s="397"/>
      <c r="JNL7" s="397"/>
      <c r="JNM7" s="397"/>
      <c r="JNN7" s="397"/>
      <c r="JNO7" s="397"/>
      <c r="JNP7" s="397"/>
      <c r="JNQ7" s="397"/>
      <c r="JNR7" s="397"/>
      <c r="JNS7" s="397"/>
      <c r="JNT7" s="397"/>
      <c r="JNU7" s="397"/>
      <c r="JNV7" s="397"/>
      <c r="JNW7" s="397"/>
      <c r="JNX7" s="397"/>
      <c r="JNY7" s="397"/>
      <c r="JNZ7" s="397"/>
      <c r="JOA7" s="397"/>
      <c r="JOB7" s="397"/>
      <c r="JOC7" s="397"/>
      <c r="JOD7" s="397"/>
      <c r="JOE7" s="397"/>
      <c r="JOF7" s="397"/>
      <c r="JOG7" s="397"/>
      <c r="JOH7" s="397"/>
      <c r="JOI7" s="397"/>
      <c r="JOJ7" s="397"/>
      <c r="JOK7" s="397"/>
      <c r="JOL7" s="397"/>
      <c r="JOM7" s="397"/>
      <c r="JON7" s="397"/>
      <c r="JOO7" s="397"/>
      <c r="JOP7" s="397"/>
      <c r="JOQ7" s="397"/>
      <c r="JOR7" s="397"/>
      <c r="JOS7" s="397"/>
      <c r="JOT7" s="397"/>
      <c r="JOU7" s="397"/>
      <c r="JOV7" s="397"/>
      <c r="JOW7" s="397"/>
      <c r="JOX7" s="397"/>
      <c r="JOY7" s="397"/>
      <c r="JOZ7" s="397"/>
      <c r="JPA7" s="397"/>
      <c r="JPB7" s="397"/>
      <c r="JPC7" s="397"/>
      <c r="JPD7" s="397"/>
      <c r="JPE7" s="397"/>
      <c r="JPF7" s="397"/>
      <c r="JPG7" s="397"/>
      <c r="JPH7" s="397"/>
      <c r="JPI7" s="397"/>
      <c r="JPJ7" s="397"/>
      <c r="JPK7" s="397"/>
      <c r="JPL7" s="397"/>
      <c r="JPM7" s="397"/>
      <c r="JPN7" s="397"/>
      <c r="JPO7" s="397"/>
      <c r="JPP7" s="397"/>
      <c r="JPQ7" s="397"/>
      <c r="JPR7" s="397"/>
      <c r="JPS7" s="397"/>
      <c r="JPT7" s="397"/>
      <c r="JPU7" s="397"/>
      <c r="JPV7" s="397"/>
      <c r="JPW7" s="397"/>
      <c r="JPX7" s="397"/>
      <c r="JPY7" s="397"/>
      <c r="JPZ7" s="397"/>
      <c r="JQA7" s="397"/>
      <c r="JQB7" s="397"/>
      <c r="JQC7" s="397"/>
      <c r="JQD7" s="397"/>
      <c r="JQE7" s="397"/>
      <c r="JQF7" s="397"/>
      <c r="JQG7" s="397"/>
      <c r="JQH7" s="397"/>
      <c r="JQI7" s="397"/>
      <c r="JQJ7" s="397"/>
      <c r="JQK7" s="397"/>
      <c r="JQL7" s="397"/>
      <c r="JQM7" s="397"/>
      <c r="JQN7" s="397"/>
      <c r="JQO7" s="397"/>
      <c r="JQP7" s="397"/>
      <c r="JQQ7" s="397"/>
      <c r="JQR7" s="397"/>
      <c r="JQS7" s="397"/>
      <c r="JQT7" s="397"/>
      <c r="JQU7" s="397"/>
      <c r="JQV7" s="397"/>
      <c r="JQW7" s="397"/>
      <c r="JQX7" s="397"/>
      <c r="JQY7" s="397"/>
      <c r="JQZ7" s="397"/>
      <c r="JRA7" s="397"/>
      <c r="JRB7" s="397"/>
      <c r="JRC7" s="397"/>
      <c r="JRD7" s="397"/>
      <c r="JRE7" s="397"/>
      <c r="JRF7" s="397"/>
      <c r="JRG7" s="397"/>
      <c r="JRH7" s="397"/>
      <c r="JRI7" s="397"/>
      <c r="JRJ7" s="397"/>
      <c r="JRK7" s="397"/>
      <c r="JRL7" s="397"/>
      <c r="JRM7" s="397"/>
      <c r="JRN7" s="397"/>
      <c r="JRO7" s="397"/>
      <c r="JRP7" s="397"/>
      <c r="JRQ7" s="397"/>
      <c r="JRR7" s="397"/>
      <c r="JRS7" s="397"/>
      <c r="JRT7" s="397"/>
      <c r="JRU7" s="397"/>
      <c r="JRV7" s="397"/>
      <c r="JRW7" s="397"/>
      <c r="JRX7" s="397"/>
      <c r="JRY7" s="397"/>
      <c r="JRZ7" s="397"/>
      <c r="JSA7" s="397"/>
      <c r="JSB7" s="397"/>
      <c r="JSC7" s="397"/>
      <c r="JSD7" s="397"/>
      <c r="JSE7" s="397"/>
      <c r="JSF7" s="397"/>
      <c r="JSG7" s="397"/>
      <c r="JSH7" s="397"/>
      <c r="JSI7" s="397"/>
      <c r="JSJ7" s="397"/>
      <c r="JSK7" s="397"/>
      <c r="JSL7" s="397"/>
      <c r="JSM7" s="397"/>
      <c r="JSN7" s="397"/>
      <c r="JSO7" s="397"/>
      <c r="JSP7" s="397"/>
      <c r="JSQ7" s="397"/>
      <c r="JSR7" s="397"/>
      <c r="JSS7" s="397"/>
      <c r="JST7" s="397"/>
      <c r="JSU7" s="397"/>
      <c r="JSV7" s="397"/>
      <c r="JSW7" s="397"/>
      <c r="JSX7" s="397"/>
      <c r="JSY7" s="397"/>
      <c r="JSZ7" s="397"/>
      <c r="JTA7" s="397"/>
      <c r="JTB7" s="397"/>
      <c r="JTC7" s="397"/>
      <c r="JTD7" s="397"/>
      <c r="JTE7" s="397"/>
      <c r="JTF7" s="397"/>
      <c r="JTG7" s="397"/>
      <c r="JTH7" s="397"/>
      <c r="JTI7" s="397"/>
      <c r="JTJ7" s="397"/>
      <c r="JTK7" s="397"/>
      <c r="JTL7" s="397"/>
      <c r="JTM7" s="397"/>
      <c r="JTN7" s="397"/>
      <c r="JTO7" s="397"/>
      <c r="JTP7" s="397"/>
      <c r="JTQ7" s="397"/>
      <c r="JTR7" s="397"/>
      <c r="JTS7" s="397"/>
      <c r="JTT7" s="397"/>
      <c r="JTU7" s="397"/>
      <c r="JTV7" s="397"/>
      <c r="JTW7" s="397"/>
      <c r="JTX7" s="397"/>
      <c r="JTY7" s="397"/>
      <c r="JTZ7" s="397"/>
      <c r="JUA7" s="397"/>
      <c r="JUB7" s="397"/>
      <c r="JUC7" s="397"/>
      <c r="JUD7" s="397"/>
      <c r="JUE7" s="397"/>
      <c r="JUF7" s="397"/>
      <c r="JUG7" s="397"/>
      <c r="JUH7" s="397"/>
      <c r="JUI7" s="397"/>
      <c r="JUJ7" s="397"/>
      <c r="JUK7" s="397"/>
      <c r="JUL7" s="397"/>
      <c r="JUM7" s="397"/>
      <c r="JUN7" s="397"/>
      <c r="JUO7" s="397"/>
      <c r="JUP7" s="397"/>
      <c r="JUQ7" s="397"/>
      <c r="JUR7" s="397"/>
      <c r="JUS7" s="397"/>
      <c r="JUT7" s="397"/>
      <c r="JUU7" s="397"/>
      <c r="JUV7" s="397"/>
      <c r="JUW7" s="397"/>
      <c r="JUX7" s="397"/>
      <c r="JUY7" s="397"/>
      <c r="JUZ7" s="397"/>
      <c r="JVA7" s="397"/>
      <c r="JVB7" s="397"/>
      <c r="JVC7" s="397"/>
      <c r="JVD7" s="397"/>
      <c r="JVE7" s="397"/>
      <c r="JVF7" s="397"/>
      <c r="JVG7" s="397"/>
      <c r="JVH7" s="397"/>
      <c r="JVI7" s="397"/>
      <c r="JVJ7" s="397"/>
      <c r="JVK7" s="397"/>
      <c r="JVL7" s="397"/>
      <c r="JVM7" s="397"/>
      <c r="JVN7" s="397"/>
      <c r="JVO7" s="397"/>
      <c r="JVP7" s="397"/>
      <c r="JVQ7" s="397"/>
      <c r="JVR7" s="397"/>
      <c r="JVS7" s="397"/>
      <c r="JVT7" s="397"/>
      <c r="JVU7" s="397"/>
      <c r="JVV7" s="397"/>
      <c r="JVW7" s="397"/>
      <c r="JVX7" s="397"/>
      <c r="JVY7" s="397"/>
      <c r="JVZ7" s="397"/>
      <c r="JWA7" s="397"/>
      <c r="JWB7" s="397"/>
      <c r="JWC7" s="397"/>
      <c r="JWD7" s="397"/>
      <c r="JWE7" s="397"/>
      <c r="JWF7" s="397"/>
      <c r="JWG7" s="397"/>
      <c r="JWH7" s="397"/>
      <c r="JWI7" s="397"/>
      <c r="JWJ7" s="397"/>
      <c r="JWK7" s="397"/>
      <c r="JWL7" s="397"/>
      <c r="JWM7" s="397"/>
      <c r="JWN7" s="397"/>
      <c r="JWO7" s="397"/>
      <c r="JWP7" s="397"/>
      <c r="JWQ7" s="397"/>
      <c r="JWR7" s="397"/>
      <c r="JWS7" s="397"/>
      <c r="JWT7" s="397"/>
      <c r="JWU7" s="397"/>
      <c r="JWV7" s="397"/>
      <c r="JWW7" s="397"/>
      <c r="JWX7" s="397"/>
      <c r="JWY7" s="397"/>
      <c r="JWZ7" s="397"/>
      <c r="JXA7" s="397"/>
      <c r="JXB7" s="397"/>
      <c r="JXC7" s="397"/>
      <c r="JXD7" s="397"/>
      <c r="JXE7" s="397"/>
      <c r="JXF7" s="397"/>
      <c r="JXG7" s="397"/>
      <c r="JXH7" s="397"/>
      <c r="JXI7" s="397"/>
      <c r="JXJ7" s="397"/>
      <c r="JXK7" s="397"/>
      <c r="JXL7" s="397"/>
      <c r="JXM7" s="397"/>
      <c r="JXN7" s="397"/>
      <c r="JXO7" s="397"/>
      <c r="JXP7" s="397"/>
      <c r="JXQ7" s="397"/>
      <c r="JXR7" s="397"/>
      <c r="JXS7" s="397"/>
      <c r="JXT7" s="397"/>
      <c r="JXU7" s="397"/>
      <c r="JXV7" s="397"/>
      <c r="JXW7" s="397"/>
      <c r="JXX7" s="397"/>
      <c r="JXY7" s="397"/>
      <c r="JXZ7" s="397"/>
      <c r="JYA7" s="397"/>
      <c r="JYB7" s="397"/>
      <c r="JYC7" s="397"/>
      <c r="JYD7" s="397"/>
      <c r="JYE7" s="397"/>
      <c r="JYF7" s="397"/>
      <c r="JYG7" s="397"/>
      <c r="JYH7" s="397"/>
      <c r="JYI7" s="397"/>
      <c r="JYJ7" s="397"/>
      <c r="JYK7" s="397"/>
      <c r="JYL7" s="397"/>
      <c r="JYM7" s="397"/>
      <c r="JYN7" s="397"/>
      <c r="JYO7" s="397"/>
      <c r="JYP7" s="397"/>
      <c r="JYQ7" s="397"/>
      <c r="JYR7" s="397"/>
      <c r="JYS7" s="397"/>
      <c r="JYT7" s="397"/>
      <c r="JYU7" s="397"/>
      <c r="JYV7" s="397"/>
      <c r="JYW7" s="397"/>
      <c r="JYX7" s="397"/>
      <c r="JYY7" s="397"/>
      <c r="JYZ7" s="397"/>
      <c r="JZA7" s="397"/>
      <c r="JZB7" s="397"/>
      <c r="JZC7" s="397"/>
      <c r="JZD7" s="397"/>
      <c r="JZE7" s="397"/>
      <c r="JZF7" s="397"/>
      <c r="JZG7" s="397"/>
      <c r="JZH7" s="397"/>
      <c r="JZI7" s="397"/>
      <c r="JZJ7" s="397"/>
      <c r="JZK7" s="397"/>
      <c r="JZL7" s="397"/>
      <c r="JZM7" s="397"/>
      <c r="JZN7" s="397"/>
      <c r="JZO7" s="397"/>
      <c r="JZP7" s="397"/>
      <c r="JZQ7" s="397"/>
      <c r="JZR7" s="397"/>
      <c r="JZS7" s="397"/>
      <c r="JZT7" s="397"/>
      <c r="JZU7" s="397"/>
      <c r="JZV7" s="397"/>
      <c r="JZW7" s="397"/>
      <c r="JZX7" s="397"/>
      <c r="JZY7" s="397"/>
      <c r="JZZ7" s="397"/>
      <c r="KAA7" s="397"/>
      <c r="KAB7" s="397"/>
      <c r="KAC7" s="397"/>
      <c r="KAD7" s="397"/>
      <c r="KAE7" s="397"/>
      <c r="KAF7" s="397"/>
      <c r="KAG7" s="397"/>
      <c r="KAH7" s="397"/>
      <c r="KAI7" s="397"/>
      <c r="KAJ7" s="397"/>
      <c r="KAK7" s="397"/>
      <c r="KAL7" s="397"/>
      <c r="KAM7" s="397"/>
      <c r="KAN7" s="397"/>
      <c r="KAO7" s="397"/>
      <c r="KAP7" s="397"/>
      <c r="KAQ7" s="397"/>
      <c r="KAR7" s="397"/>
      <c r="KAS7" s="397"/>
      <c r="KAT7" s="397"/>
      <c r="KAU7" s="397"/>
      <c r="KAV7" s="397"/>
      <c r="KAW7" s="397"/>
      <c r="KAX7" s="397"/>
      <c r="KAY7" s="397"/>
      <c r="KAZ7" s="397"/>
      <c r="KBA7" s="397"/>
      <c r="KBB7" s="397"/>
      <c r="KBC7" s="397"/>
      <c r="KBD7" s="397"/>
      <c r="KBE7" s="397"/>
      <c r="KBF7" s="397"/>
      <c r="KBG7" s="397"/>
      <c r="KBH7" s="397"/>
      <c r="KBI7" s="397"/>
      <c r="KBJ7" s="397"/>
      <c r="KBK7" s="397"/>
      <c r="KBL7" s="397"/>
      <c r="KBM7" s="397"/>
      <c r="KBN7" s="397"/>
      <c r="KBO7" s="397"/>
      <c r="KBP7" s="397"/>
      <c r="KBQ7" s="397"/>
      <c r="KBR7" s="397"/>
      <c r="KBS7" s="397"/>
      <c r="KBT7" s="397"/>
      <c r="KBU7" s="397"/>
      <c r="KBV7" s="397"/>
      <c r="KBW7" s="397"/>
      <c r="KBX7" s="397"/>
      <c r="KBY7" s="397"/>
      <c r="KBZ7" s="397"/>
      <c r="KCA7" s="397"/>
      <c r="KCB7" s="397"/>
      <c r="KCC7" s="397"/>
      <c r="KCD7" s="397"/>
      <c r="KCE7" s="397"/>
      <c r="KCF7" s="397"/>
      <c r="KCG7" s="397"/>
      <c r="KCH7" s="397"/>
      <c r="KCI7" s="397"/>
      <c r="KCJ7" s="397"/>
      <c r="KCK7" s="397"/>
      <c r="KCL7" s="397"/>
      <c r="KCM7" s="397"/>
      <c r="KCN7" s="397"/>
      <c r="KCO7" s="397"/>
      <c r="KCP7" s="397"/>
      <c r="KCQ7" s="397"/>
      <c r="KCR7" s="397"/>
      <c r="KCS7" s="397"/>
      <c r="KCT7" s="397"/>
      <c r="KCU7" s="397"/>
      <c r="KCV7" s="397"/>
      <c r="KCW7" s="397"/>
      <c r="KCX7" s="397"/>
      <c r="KCY7" s="397"/>
      <c r="KCZ7" s="397"/>
      <c r="KDA7" s="397"/>
      <c r="KDB7" s="397"/>
      <c r="KDC7" s="397"/>
      <c r="KDD7" s="397"/>
      <c r="KDE7" s="397"/>
      <c r="KDF7" s="397"/>
      <c r="KDG7" s="397"/>
      <c r="KDH7" s="397"/>
      <c r="KDI7" s="397"/>
      <c r="KDJ7" s="397"/>
      <c r="KDK7" s="397"/>
      <c r="KDL7" s="397"/>
      <c r="KDM7" s="397"/>
      <c r="KDN7" s="397"/>
      <c r="KDO7" s="397"/>
      <c r="KDP7" s="397"/>
      <c r="KDQ7" s="397"/>
      <c r="KDR7" s="397"/>
      <c r="KDS7" s="397"/>
      <c r="KDT7" s="397"/>
      <c r="KDU7" s="397"/>
      <c r="KDV7" s="397"/>
      <c r="KDW7" s="397"/>
      <c r="KDX7" s="397"/>
      <c r="KDY7" s="397"/>
      <c r="KDZ7" s="397"/>
      <c r="KEA7" s="397"/>
      <c r="KEB7" s="397"/>
      <c r="KEC7" s="397"/>
      <c r="KED7" s="397"/>
      <c r="KEE7" s="397"/>
      <c r="KEF7" s="397"/>
      <c r="KEG7" s="397"/>
      <c r="KEH7" s="397"/>
      <c r="KEI7" s="397"/>
      <c r="KEJ7" s="397"/>
      <c r="KEK7" s="397"/>
      <c r="KEL7" s="397"/>
      <c r="KEM7" s="397"/>
      <c r="KEN7" s="397"/>
      <c r="KEO7" s="397"/>
      <c r="KEP7" s="397"/>
      <c r="KEQ7" s="397"/>
      <c r="KER7" s="397"/>
      <c r="KES7" s="397"/>
      <c r="KET7" s="397"/>
      <c r="KEU7" s="397"/>
      <c r="KEV7" s="397"/>
      <c r="KEW7" s="397"/>
      <c r="KEX7" s="397"/>
      <c r="KEY7" s="397"/>
      <c r="KEZ7" s="397"/>
      <c r="KFA7" s="397"/>
      <c r="KFB7" s="397"/>
      <c r="KFC7" s="397"/>
      <c r="KFD7" s="397"/>
      <c r="KFE7" s="397"/>
      <c r="KFF7" s="397"/>
      <c r="KFG7" s="397"/>
      <c r="KFH7" s="397"/>
      <c r="KFI7" s="397"/>
      <c r="KFJ7" s="397"/>
      <c r="KFK7" s="397"/>
      <c r="KFL7" s="397"/>
      <c r="KFM7" s="397"/>
      <c r="KFN7" s="397"/>
      <c r="KFO7" s="397"/>
      <c r="KFP7" s="397"/>
      <c r="KFQ7" s="397"/>
      <c r="KFR7" s="397"/>
      <c r="KFS7" s="397"/>
      <c r="KFT7" s="397"/>
      <c r="KFU7" s="397"/>
      <c r="KFV7" s="397"/>
      <c r="KFW7" s="397"/>
      <c r="KFX7" s="397"/>
      <c r="KFY7" s="397"/>
      <c r="KFZ7" s="397"/>
      <c r="KGA7" s="397"/>
      <c r="KGB7" s="397"/>
      <c r="KGC7" s="397"/>
      <c r="KGD7" s="397"/>
      <c r="KGE7" s="397"/>
      <c r="KGF7" s="397"/>
      <c r="KGG7" s="397"/>
      <c r="KGH7" s="397"/>
      <c r="KGI7" s="397"/>
      <c r="KGJ7" s="397"/>
      <c r="KGK7" s="397"/>
      <c r="KGL7" s="397"/>
      <c r="KGM7" s="397"/>
      <c r="KGN7" s="397"/>
      <c r="KGO7" s="397"/>
      <c r="KGP7" s="397"/>
      <c r="KGQ7" s="397"/>
      <c r="KGR7" s="397"/>
      <c r="KGS7" s="397"/>
      <c r="KGT7" s="397"/>
      <c r="KGU7" s="397"/>
      <c r="KGV7" s="397"/>
      <c r="KGW7" s="397"/>
      <c r="KGX7" s="397"/>
      <c r="KGY7" s="397"/>
      <c r="KGZ7" s="397"/>
      <c r="KHA7" s="397"/>
      <c r="KHB7" s="397"/>
      <c r="KHC7" s="397"/>
      <c r="KHD7" s="397"/>
      <c r="KHE7" s="397"/>
      <c r="KHF7" s="397"/>
      <c r="KHG7" s="397"/>
      <c r="KHH7" s="397"/>
      <c r="KHI7" s="397"/>
      <c r="KHJ7" s="397"/>
      <c r="KHK7" s="397"/>
      <c r="KHL7" s="397"/>
      <c r="KHM7" s="397"/>
      <c r="KHN7" s="397"/>
      <c r="KHO7" s="397"/>
      <c r="KHP7" s="397"/>
      <c r="KHQ7" s="397"/>
      <c r="KHR7" s="397"/>
      <c r="KHS7" s="397"/>
      <c r="KHT7" s="397"/>
      <c r="KHU7" s="397"/>
      <c r="KHV7" s="397"/>
      <c r="KHW7" s="397"/>
      <c r="KHX7" s="397"/>
      <c r="KHY7" s="397"/>
      <c r="KHZ7" s="397"/>
      <c r="KIA7" s="397"/>
      <c r="KIB7" s="397"/>
      <c r="KIC7" s="397"/>
      <c r="KID7" s="397"/>
      <c r="KIE7" s="397"/>
      <c r="KIF7" s="397"/>
      <c r="KIG7" s="397"/>
      <c r="KIH7" s="397"/>
      <c r="KII7" s="397"/>
      <c r="KIJ7" s="397"/>
      <c r="KIK7" s="397"/>
      <c r="KIL7" s="397"/>
      <c r="KIM7" s="397"/>
      <c r="KIN7" s="397"/>
      <c r="KIO7" s="397"/>
      <c r="KIP7" s="397"/>
      <c r="KIQ7" s="397"/>
      <c r="KIR7" s="397"/>
      <c r="KIS7" s="397"/>
      <c r="KIT7" s="397"/>
      <c r="KIU7" s="397"/>
      <c r="KIV7" s="397"/>
      <c r="KIW7" s="397"/>
      <c r="KIX7" s="397"/>
      <c r="KIY7" s="397"/>
      <c r="KIZ7" s="397"/>
      <c r="KJA7" s="397"/>
      <c r="KJB7" s="397"/>
      <c r="KJC7" s="397"/>
      <c r="KJD7" s="397"/>
      <c r="KJE7" s="397"/>
      <c r="KJF7" s="397"/>
      <c r="KJG7" s="397"/>
      <c r="KJH7" s="397"/>
      <c r="KJI7" s="397"/>
      <c r="KJJ7" s="397"/>
      <c r="KJK7" s="397"/>
      <c r="KJL7" s="397"/>
      <c r="KJM7" s="397"/>
      <c r="KJN7" s="397"/>
      <c r="KJO7" s="397"/>
      <c r="KJP7" s="397"/>
      <c r="KJQ7" s="397"/>
      <c r="KJR7" s="397"/>
      <c r="KJS7" s="397"/>
      <c r="KJT7" s="397"/>
      <c r="KJU7" s="397"/>
      <c r="KJV7" s="397"/>
      <c r="KJW7" s="397"/>
      <c r="KJX7" s="397"/>
      <c r="KJY7" s="397"/>
      <c r="KJZ7" s="397"/>
      <c r="KKA7" s="397"/>
      <c r="KKB7" s="397"/>
      <c r="KKC7" s="397"/>
      <c r="KKD7" s="397"/>
      <c r="KKE7" s="397"/>
      <c r="KKF7" s="397"/>
      <c r="KKG7" s="397"/>
      <c r="KKH7" s="397"/>
      <c r="KKI7" s="397"/>
      <c r="KKJ7" s="397"/>
      <c r="KKK7" s="397"/>
      <c r="KKL7" s="397"/>
      <c r="KKM7" s="397"/>
      <c r="KKN7" s="397"/>
      <c r="KKO7" s="397"/>
      <c r="KKP7" s="397"/>
      <c r="KKQ7" s="397"/>
      <c r="KKR7" s="397"/>
      <c r="KKS7" s="397"/>
      <c r="KKT7" s="397"/>
      <c r="KKU7" s="397"/>
      <c r="KKV7" s="397"/>
      <c r="KKW7" s="397"/>
      <c r="KKX7" s="397"/>
      <c r="KKY7" s="397"/>
      <c r="KKZ7" s="397"/>
      <c r="KLA7" s="397"/>
      <c r="KLB7" s="397"/>
      <c r="KLC7" s="397"/>
      <c r="KLD7" s="397"/>
      <c r="KLE7" s="397"/>
      <c r="KLF7" s="397"/>
      <c r="KLG7" s="397"/>
      <c r="KLH7" s="397"/>
      <c r="KLI7" s="397"/>
      <c r="KLJ7" s="397"/>
      <c r="KLK7" s="397"/>
      <c r="KLL7" s="397"/>
      <c r="KLM7" s="397"/>
      <c r="KLN7" s="397"/>
      <c r="KLO7" s="397"/>
      <c r="KLP7" s="397"/>
      <c r="KLQ7" s="397"/>
      <c r="KLR7" s="397"/>
      <c r="KLS7" s="397"/>
      <c r="KLT7" s="397"/>
      <c r="KLU7" s="397"/>
      <c r="KLV7" s="397"/>
      <c r="KLW7" s="397"/>
      <c r="KLX7" s="397"/>
      <c r="KLY7" s="397"/>
      <c r="KLZ7" s="397"/>
      <c r="KMA7" s="397"/>
      <c r="KMB7" s="397"/>
      <c r="KMC7" s="397"/>
      <c r="KMD7" s="397"/>
      <c r="KME7" s="397"/>
      <c r="KMF7" s="397"/>
      <c r="KMG7" s="397"/>
      <c r="KMH7" s="397"/>
      <c r="KMI7" s="397"/>
      <c r="KMJ7" s="397"/>
      <c r="KMK7" s="397"/>
      <c r="KML7" s="397"/>
      <c r="KMM7" s="397"/>
      <c r="KMN7" s="397"/>
      <c r="KMO7" s="397"/>
      <c r="KMP7" s="397"/>
      <c r="KMQ7" s="397"/>
      <c r="KMR7" s="397"/>
      <c r="KMS7" s="397"/>
      <c r="KMT7" s="397"/>
      <c r="KMU7" s="397"/>
      <c r="KMV7" s="397"/>
      <c r="KMW7" s="397"/>
      <c r="KMX7" s="397"/>
      <c r="KMY7" s="397"/>
      <c r="KMZ7" s="397"/>
      <c r="KNA7" s="397"/>
      <c r="KNB7" s="397"/>
      <c r="KNC7" s="397"/>
      <c r="KND7" s="397"/>
      <c r="KNE7" s="397"/>
      <c r="KNF7" s="397"/>
      <c r="KNG7" s="397"/>
      <c r="KNH7" s="397"/>
      <c r="KNI7" s="397"/>
      <c r="KNJ7" s="397"/>
      <c r="KNK7" s="397"/>
      <c r="KNL7" s="397"/>
      <c r="KNM7" s="397"/>
      <c r="KNN7" s="397"/>
      <c r="KNO7" s="397"/>
      <c r="KNP7" s="397"/>
      <c r="KNQ7" s="397"/>
      <c r="KNR7" s="397"/>
      <c r="KNS7" s="397"/>
      <c r="KNT7" s="397"/>
      <c r="KNU7" s="397"/>
      <c r="KNV7" s="397"/>
      <c r="KNW7" s="397"/>
      <c r="KNX7" s="397"/>
      <c r="KNY7" s="397"/>
      <c r="KNZ7" s="397"/>
      <c r="KOA7" s="397"/>
      <c r="KOB7" s="397"/>
      <c r="KOC7" s="397"/>
      <c r="KOD7" s="397"/>
      <c r="KOE7" s="397"/>
      <c r="KOF7" s="397"/>
      <c r="KOG7" s="397"/>
      <c r="KOH7" s="397"/>
      <c r="KOI7" s="397"/>
      <c r="KOJ7" s="397"/>
      <c r="KOK7" s="397"/>
      <c r="KOL7" s="397"/>
      <c r="KOM7" s="397"/>
      <c r="KON7" s="397"/>
      <c r="KOO7" s="397"/>
      <c r="KOP7" s="397"/>
      <c r="KOQ7" s="397"/>
      <c r="KOR7" s="397"/>
      <c r="KOS7" s="397"/>
      <c r="KOT7" s="397"/>
      <c r="KOU7" s="397"/>
      <c r="KOV7" s="397"/>
      <c r="KOW7" s="397"/>
      <c r="KOX7" s="397"/>
      <c r="KOY7" s="397"/>
      <c r="KOZ7" s="397"/>
      <c r="KPA7" s="397"/>
      <c r="KPB7" s="397"/>
      <c r="KPC7" s="397"/>
      <c r="KPD7" s="397"/>
      <c r="KPE7" s="397"/>
      <c r="KPF7" s="397"/>
      <c r="KPG7" s="397"/>
      <c r="KPH7" s="397"/>
      <c r="KPI7" s="397"/>
      <c r="KPJ7" s="397"/>
      <c r="KPK7" s="397"/>
      <c r="KPL7" s="397"/>
      <c r="KPM7" s="397"/>
      <c r="KPN7" s="397"/>
      <c r="KPO7" s="397"/>
      <c r="KPP7" s="397"/>
      <c r="KPQ7" s="397"/>
      <c r="KPR7" s="397"/>
      <c r="KPS7" s="397"/>
      <c r="KPT7" s="397"/>
      <c r="KPU7" s="397"/>
      <c r="KPV7" s="397"/>
      <c r="KPW7" s="397"/>
      <c r="KPX7" s="397"/>
      <c r="KPY7" s="397"/>
      <c r="KPZ7" s="397"/>
      <c r="KQA7" s="397"/>
      <c r="KQB7" s="397"/>
      <c r="KQC7" s="397"/>
      <c r="KQD7" s="397"/>
      <c r="KQE7" s="397"/>
      <c r="KQF7" s="397"/>
      <c r="KQG7" s="397"/>
      <c r="KQH7" s="397"/>
      <c r="KQI7" s="397"/>
      <c r="KQJ7" s="397"/>
      <c r="KQK7" s="397"/>
      <c r="KQL7" s="397"/>
      <c r="KQM7" s="397"/>
      <c r="KQN7" s="397"/>
      <c r="KQO7" s="397"/>
      <c r="KQP7" s="397"/>
      <c r="KQQ7" s="397"/>
      <c r="KQR7" s="397"/>
      <c r="KQS7" s="397"/>
      <c r="KQT7" s="397"/>
      <c r="KQU7" s="397"/>
      <c r="KQV7" s="397"/>
      <c r="KQW7" s="397"/>
      <c r="KQX7" s="397"/>
      <c r="KQY7" s="397"/>
      <c r="KQZ7" s="397"/>
      <c r="KRA7" s="397"/>
      <c r="KRB7" s="397"/>
      <c r="KRC7" s="397"/>
      <c r="KRD7" s="397"/>
      <c r="KRE7" s="397"/>
      <c r="KRF7" s="397"/>
      <c r="KRG7" s="397"/>
      <c r="KRH7" s="397"/>
      <c r="KRI7" s="397"/>
      <c r="KRJ7" s="397"/>
      <c r="KRK7" s="397"/>
      <c r="KRL7" s="397"/>
      <c r="KRM7" s="397"/>
      <c r="KRN7" s="397"/>
      <c r="KRO7" s="397"/>
      <c r="KRP7" s="397"/>
      <c r="KRQ7" s="397"/>
      <c r="KRR7" s="397"/>
      <c r="KRS7" s="397"/>
      <c r="KRT7" s="397"/>
      <c r="KRU7" s="397"/>
      <c r="KRV7" s="397"/>
      <c r="KRW7" s="397"/>
      <c r="KRX7" s="397"/>
      <c r="KRY7" s="397"/>
      <c r="KRZ7" s="397"/>
      <c r="KSA7" s="397"/>
      <c r="KSB7" s="397"/>
      <c r="KSC7" s="397"/>
      <c r="KSD7" s="397"/>
      <c r="KSE7" s="397"/>
      <c r="KSF7" s="397"/>
      <c r="KSG7" s="397"/>
      <c r="KSH7" s="397"/>
      <c r="KSI7" s="397"/>
      <c r="KSJ7" s="397"/>
      <c r="KSK7" s="397"/>
      <c r="KSL7" s="397"/>
      <c r="KSM7" s="397"/>
      <c r="KSN7" s="397"/>
      <c r="KSO7" s="397"/>
      <c r="KSP7" s="397"/>
      <c r="KSQ7" s="397"/>
      <c r="KSR7" s="397"/>
      <c r="KSS7" s="397"/>
      <c r="KST7" s="397"/>
      <c r="KSU7" s="397"/>
      <c r="KSV7" s="397"/>
      <c r="KSW7" s="397"/>
      <c r="KSX7" s="397"/>
      <c r="KSY7" s="397"/>
      <c r="KSZ7" s="397"/>
      <c r="KTA7" s="397"/>
      <c r="KTB7" s="397"/>
      <c r="KTC7" s="397"/>
      <c r="KTD7" s="397"/>
      <c r="KTE7" s="397"/>
      <c r="KTF7" s="397"/>
      <c r="KTG7" s="397"/>
      <c r="KTH7" s="397"/>
      <c r="KTI7" s="397"/>
      <c r="KTJ7" s="397"/>
      <c r="KTK7" s="397"/>
      <c r="KTL7" s="397"/>
      <c r="KTM7" s="397"/>
      <c r="KTN7" s="397"/>
      <c r="KTO7" s="397"/>
      <c r="KTP7" s="397"/>
      <c r="KTQ7" s="397"/>
      <c r="KTR7" s="397"/>
      <c r="KTS7" s="397"/>
      <c r="KTT7" s="397"/>
      <c r="KTU7" s="397"/>
      <c r="KTV7" s="397"/>
      <c r="KTW7" s="397"/>
      <c r="KTX7" s="397"/>
      <c r="KTY7" s="397"/>
      <c r="KTZ7" s="397"/>
      <c r="KUA7" s="397"/>
      <c r="KUB7" s="397"/>
      <c r="KUC7" s="397"/>
      <c r="KUD7" s="397"/>
      <c r="KUE7" s="397"/>
      <c r="KUF7" s="397"/>
      <c r="KUG7" s="397"/>
      <c r="KUH7" s="397"/>
      <c r="KUI7" s="397"/>
      <c r="KUJ7" s="397"/>
      <c r="KUK7" s="397"/>
      <c r="KUL7" s="397"/>
      <c r="KUM7" s="397"/>
      <c r="KUN7" s="397"/>
      <c r="KUO7" s="397"/>
      <c r="KUP7" s="397"/>
      <c r="KUQ7" s="397"/>
      <c r="KUR7" s="397"/>
      <c r="KUS7" s="397"/>
      <c r="KUT7" s="397"/>
      <c r="KUU7" s="397"/>
      <c r="KUV7" s="397"/>
      <c r="KUW7" s="397"/>
      <c r="KUX7" s="397"/>
      <c r="KUY7" s="397"/>
      <c r="KUZ7" s="397"/>
      <c r="KVA7" s="397"/>
      <c r="KVB7" s="397"/>
      <c r="KVC7" s="397"/>
      <c r="KVD7" s="397"/>
      <c r="KVE7" s="397"/>
      <c r="KVF7" s="397"/>
      <c r="KVG7" s="397"/>
      <c r="KVH7" s="397"/>
      <c r="KVI7" s="397"/>
      <c r="KVJ7" s="397"/>
      <c r="KVK7" s="397"/>
      <c r="KVL7" s="397"/>
      <c r="KVM7" s="397"/>
      <c r="KVN7" s="397"/>
      <c r="KVO7" s="397"/>
      <c r="KVP7" s="397"/>
      <c r="KVQ7" s="397"/>
      <c r="KVR7" s="397"/>
      <c r="KVS7" s="397"/>
      <c r="KVT7" s="397"/>
      <c r="KVU7" s="397"/>
      <c r="KVV7" s="397"/>
      <c r="KVW7" s="397"/>
      <c r="KVX7" s="397"/>
      <c r="KVY7" s="397"/>
      <c r="KVZ7" s="397"/>
      <c r="KWA7" s="397"/>
      <c r="KWB7" s="397"/>
      <c r="KWC7" s="397"/>
      <c r="KWD7" s="397"/>
      <c r="KWE7" s="397"/>
      <c r="KWF7" s="397"/>
      <c r="KWG7" s="397"/>
      <c r="KWH7" s="397"/>
      <c r="KWI7" s="397"/>
      <c r="KWJ7" s="397"/>
      <c r="KWK7" s="397"/>
      <c r="KWL7" s="397"/>
      <c r="KWM7" s="397"/>
      <c r="KWN7" s="397"/>
      <c r="KWO7" s="397"/>
      <c r="KWP7" s="397"/>
      <c r="KWQ7" s="397"/>
      <c r="KWR7" s="397"/>
      <c r="KWS7" s="397"/>
      <c r="KWT7" s="397"/>
      <c r="KWU7" s="397"/>
      <c r="KWV7" s="397"/>
      <c r="KWW7" s="397"/>
      <c r="KWX7" s="397"/>
      <c r="KWY7" s="397"/>
      <c r="KWZ7" s="397"/>
      <c r="KXA7" s="397"/>
      <c r="KXB7" s="397"/>
      <c r="KXC7" s="397"/>
      <c r="KXD7" s="397"/>
      <c r="KXE7" s="397"/>
      <c r="KXF7" s="397"/>
      <c r="KXG7" s="397"/>
      <c r="KXH7" s="397"/>
      <c r="KXI7" s="397"/>
      <c r="KXJ7" s="397"/>
      <c r="KXK7" s="397"/>
      <c r="KXL7" s="397"/>
      <c r="KXM7" s="397"/>
      <c r="KXN7" s="397"/>
      <c r="KXO7" s="397"/>
      <c r="KXP7" s="397"/>
      <c r="KXQ7" s="397"/>
      <c r="KXR7" s="397"/>
      <c r="KXS7" s="397"/>
      <c r="KXT7" s="397"/>
      <c r="KXU7" s="397"/>
      <c r="KXV7" s="397"/>
      <c r="KXW7" s="397"/>
      <c r="KXX7" s="397"/>
      <c r="KXY7" s="397"/>
      <c r="KXZ7" s="397"/>
      <c r="KYA7" s="397"/>
      <c r="KYB7" s="397"/>
      <c r="KYC7" s="397"/>
      <c r="KYD7" s="397"/>
      <c r="KYE7" s="397"/>
      <c r="KYF7" s="397"/>
      <c r="KYG7" s="397"/>
      <c r="KYH7" s="397"/>
      <c r="KYI7" s="397"/>
      <c r="KYJ7" s="397"/>
      <c r="KYK7" s="397"/>
      <c r="KYL7" s="397"/>
      <c r="KYM7" s="397"/>
      <c r="KYN7" s="397"/>
      <c r="KYO7" s="397"/>
      <c r="KYP7" s="397"/>
      <c r="KYQ7" s="397"/>
      <c r="KYR7" s="397"/>
      <c r="KYS7" s="397"/>
      <c r="KYT7" s="397"/>
      <c r="KYU7" s="397"/>
      <c r="KYV7" s="397"/>
      <c r="KYW7" s="397"/>
      <c r="KYX7" s="397"/>
      <c r="KYY7" s="397"/>
      <c r="KYZ7" s="397"/>
      <c r="KZA7" s="397"/>
      <c r="KZB7" s="397"/>
      <c r="KZC7" s="397"/>
      <c r="KZD7" s="397"/>
      <c r="KZE7" s="397"/>
      <c r="KZF7" s="397"/>
      <c r="KZG7" s="397"/>
      <c r="KZH7" s="397"/>
      <c r="KZI7" s="397"/>
      <c r="KZJ7" s="397"/>
      <c r="KZK7" s="397"/>
      <c r="KZL7" s="397"/>
      <c r="KZM7" s="397"/>
      <c r="KZN7" s="397"/>
      <c r="KZO7" s="397"/>
      <c r="KZP7" s="397"/>
      <c r="KZQ7" s="397"/>
      <c r="KZR7" s="397"/>
      <c r="KZS7" s="397"/>
      <c r="KZT7" s="397"/>
      <c r="KZU7" s="397"/>
      <c r="KZV7" s="397"/>
      <c r="KZW7" s="397"/>
      <c r="KZX7" s="397"/>
      <c r="KZY7" s="397"/>
      <c r="KZZ7" s="397"/>
      <c r="LAA7" s="397"/>
      <c r="LAB7" s="397"/>
      <c r="LAC7" s="397"/>
      <c r="LAD7" s="397"/>
      <c r="LAE7" s="397"/>
      <c r="LAF7" s="397"/>
      <c r="LAG7" s="397"/>
      <c r="LAH7" s="397"/>
      <c r="LAI7" s="397"/>
      <c r="LAJ7" s="397"/>
      <c r="LAK7" s="397"/>
      <c r="LAL7" s="397"/>
      <c r="LAM7" s="397"/>
      <c r="LAN7" s="397"/>
      <c r="LAO7" s="397"/>
      <c r="LAP7" s="397"/>
      <c r="LAQ7" s="397"/>
      <c r="LAR7" s="397"/>
      <c r="LAS7" s="397"/>
      <c r="LAT7" s="397"/>
      <c r="LAU7" s="397"/>
      <c r="LAV7" s="397"/>
      <c r="LAW7" s="397"/>
      <c r="LAX7" s="397"/>
      <c r="LAY7" s="397"/>
      <c r="LAZ7" s="397"/>
      <c r="LBA7" s="397"/>
      <c r="LBB7" s="397"/>
      <c r="LBC7" s="397"/>
      <c r="LBD7" s="397"/>
      <c r="LBE7" s="397"/>
      <c r="LBF7" s="397"/>
      <c r="LBG7" s="397"/>
      <c r="LBH7" s="397"/>
      <c r="LBI7" s="397"/>
      <c r="LBJ7" s="397"/>
      <c r="LBK7" s="397"/>
      <c r="LBL7" s="397"/>
      <c r="LBM7" s="397"/>
      <c r="LBN7" s="397"/>
      <c r="LBO7" s="397"/>
      <c r="LBP7" s="397"/>
      <c r="LBQ7" s="397"/>
      <c r="LBR7" s="397"/>
      <c r="LBS7" s="397"/>
      <c r="LBT7" s="397"/>
      <c r="LBU7" s="397"/>
      <c r="LBV7" s="397"/>
      <c r="LBW7" s="397"/>
      <c r="LBX7" s="397"/>
      <c r="LBY7" s="397"/>
      <c r="LBZ7" s="397"/>
      <c r="LCA7" s="397"/>
      <c r="LCB7" s="397"/>
      <c r="LCC7" s="397"/>
      <c r="LCD7" s="397"/>
      <c r="LCE7" s="397"/>
      <c r="LCF7" s="397"/>
      <c r="LCG7" s="397"/>
      <c r="LCH7" s="397"/>
      <c r="LCI7" s="397"/>
      <c r="LCJ7" s="397"/>
      <c r="LCK7" s="397"/>
      <c r="LCL7" s="397"/>
      <c r="LCM7" s="397"/>
      <c r="LCN7" s="397"/>
      <c r="LCO7" s="397"/>
      <c r="LCP7" s="397"/>
      <c r="LCQ7" s="397"/>
      <c r="LCR7" s="397"/>
      <c r="LCS7" s="397"/>
      <c r="LCT7" s="397"/>
      <c r="LCU7" s="397"/>
      <c r="LCV7" s="397"/>
      <c r="LCW7" s="397"/>
      <c r="LCX7" s="397"/>
      <c r="LCY7" s="397"/>
      <c r="LCZ7" s="397"/>
      <c r="LDA7" s="397"/>
      <c r="LDB7" s="397"/>
      <c r="LDC7" s="397"/>
      <c r="LDD7" s="397"/>
      <c r="LDE7" s="397"/>
      <c r="LDF7" s="397"/>
      <c r="LDG7" s="397"/>
      <c r="LDH7" s="397"/>
      <c r="LDI7" s="397"/>
      <c r="LDJ7" s="397"/>
      <c r="LDK7" s="397"/>
      <c r="LDL7" s="397"/>
      <c r="LDM7" s="397"/>
      <c r="LDN7" s="397"/>
      <c r="LDO7" s="397"/>
      <c r="LDP7" s="397"/>
      <c r="LDQ7" s="397"/>
      <c r="LDR7" s="397"/>
      <c r="LDS7" s="397"/>
      <c r="LDT7" s="397"/>
      <c r="LDU7" s="397"/>
      <c r="LDV7" s="397"/>
      <c r="LDW7" s="397"/>
      <c r="LDX7" s="397"/>
      <c r="LDY7" s="397"/>
      <c r="LDZ7" s="397"/>
      <c r="LEA7" s="397"/>
      <c r="LEB7" s="397"/>
      <c r="LEC7" s="397"/>
      <c r="LED7" s="397"/>
      <c r="LEE7" s="397"/>
      <c r="LEF7" s="397"/>
      <c r="LEG7" s="397"/>
      <c r="LEH7" s="397"/>
      <c r="LEI7" s="397"/>
      <c r="LEJ7" s="397"/>
      <c r="LEK7" s="397"/>
      <c r="LEL7" s="397"/>
      <c r="LEM7" s="397"/>
      <c r="LEN7" s="397"/>
      <c r="LEO7" s="397"/>
      <c r="LEP7" s="397"/>
      <c r="LEQ7" s="397"/>
      <c r="LER7" s="397"/>
      <c r="LES7" s="397"/>
      <c r="LET7" s="397"/>
      <c r="LEU7" s="397"/>
      <c r="LEV7" s="397"/>
      <c r="LEW7" s="397"/>
      <c r="LEX7" s="397"/>
      <c r="LEY7" s="397"/>
      <c r="LEZ7" s="397"/>
      <c r="LFA7" s="397"/>
      <c r="LFB7" s="397"/>
      <c r="LFC7" s="397"/>
      <c r="LFD7" s="397"/>
      <c r="LFE7" s="397"/>
      <c r="LFF7" s="397"/>
      <c r="LFG7" s="397"/>
      <c r="LFH7" s="397"/>
      <c r="LFI7" s="397"/>
      <c r="LFJ7" s="397"/>
      <c r="LFK7" s="397"/>
      <c r="LFL7" s="397"/>
      <c r="LFM7" s="397"/>
      <c r="LFN7" s="397"/>
      <c r="LFO7" s="397"/>
      <c r="LFP7" s="397"/>
      <c r="LFQ7" s="397"/>
      <c r="LFR7" s="397"/>
      <c r="LFS7" s="397"/>
      <c r="LFT7" s="397"/>
      <c r="LFU7" s="397"/>
      <c r="LFV7" s="397"/>
      <c r="LFW7" s="397"/>
      <c r="LFX7" s="397"/>
      <c r="LFY7" s="397"/>
      <c r="LFZ7" s="397"/>
      <c r="LGA7" s="397"/>
      <c r="LGB7" s="397"/>
      <c r="LGC7" s="397"/>
      <c r="LGD7" s="397"/>
      <c r="LGE7" s="397"/>
      <c r="LGF7" s="397"/>
      <c r="LGG7" s="397"/>
      <c r="LGH7" s="397"/>
      <c r="LGI7" s="397"/>
      <c r="LGJ7" s="397"/>
      <c r="LGK7" s="397"/>
      <c r="LGL7" s="397"/>
      <c r="LGM7" s="397"/>
      <c r="LGN7" s="397"/>
      <c r="LGO7" s="397"/>
      <c r="LGP7" s="397"/>
      <c r="LGQ7" s="397"/>
      <c r="LGR7" s="397"/>
      <c r="LGS7" s="397"/>
      <c r="LGT7" s="397"/>
      <c r="LGU7" s="397"/>
      <c r="LGV7" s="397"/>
      <c r="LGW7" s="397"/>
      <c r="LGX7" s="397"/>
      <c r="LGY7" s="397"/>
      <c r="LGZ7" s="397"/>
      <c r="LHA7" s="397"/>
      <c r="LHB7" s="397"/>
      <c r="LHC7" s="397"/>
      <c r="LHD7" s="397"/>
      <c r="LHE7" s="397"/>
      <c r="LHF7" s="397"/>
      <c r="LHG7" s="397"/>
      <c r="LHH7" s="397"/>
      <c r="LHI7" s="397"/>
      <c r="LHJ7" s="397"/>
      <c r="LHK7" s="397"/>
      <c r="LHL7" s="397"/>
      <c r="LHM7" s="397"/>
      <c r="LHN7" s="397"/>
      <c r="LHO7" s="397"/>
      <c r="LHP7" s="397"/>
      <c r="LHQ7" s="397"/>
      <c r="LHR7" s="397"/>
      <c r="LHS7" s="397"/>
      <c r="LHT7" s="397"/>
      <c r="LHU7" s="397"/>
      <c r="LHV7" s="397"/>
      <c r="LHW7" s="397"/>
      <c r="LHX7" s="397"/>
      <c r="LHY7" s="397"/>
      <c r="LHZ7" s="397"/>
      <c r="LIA7" s="397"/>
      <c r="LIB7" s="397"/>
      <c r="LIC7" s="397"/>
      <c r="LID7" s="397"/>
      <c r="LIE7" s="397"/>
      <c r="LIF7" s="397"/>
      <c r="LIG7" s="397"/>
      <c r="LIH7" s="397"/>
      <c r="LII7" s="397"/>
      <c r="LIJ7" s="397"/>
      <c r="LIK7" s="397"/>
      <c r="LIL7" s="397"/>
      <c r="LIM7" s="397"/>
      <c r="LIN7" s="397"/>
      <c r="LIO7" s="397"/>
      <c r="LIP7" s="397"/>
      <c r="LIQ7" s="397"/>
      <c r="LIR7" s="397"/>
      <c r="LIS7" s="397"/>
      <c r="LIT7" s="397"/>
      <c r="LIU7" s="397"/>
      <c r="LIV7" s="397"/>
      <c r="LIW7" s="397"/>
      <c r="LIX7" s="397"/>
      <c r="LIY7" s="397"/>
      <c r="LIZ7" s="397"/>
      <c r="LJA7" s="397"/>
      <c r="LJB7" s="397"/>
      <c r="LJC7" s="397"/>
      <c r="LJD7" s="397"/>
      <c r="LJE7" s="397"/>
      <c r="LJF7" s="397"/>
      <c r="LJG7" s="397"/>
      <c r="LJH7" s="397"/>
      <c r="LJI7" s="397"/>
      <c r="LJJ7" s="397"/>
      <c r="LJK7" s="397"/>
      <c r="LJL7" s="397"/>
      <c r="LJM7" s="397"/>
      <c r="LJN7" s="397"/>
      <c r="LJO7" s="397"/>
      <c r="LJP7" s="397"/>
      <c r="LJQ7" s="397"/>
      <c r="LJR7" s="397"/>
      <c r="LJS7" s="397"/>
      <c r="LJT7" s="397"/>
      <c r="LJU7" s="397"/>
      <c r="LJV7" s="397"/>
      <c r="LJW7" s="397"/>
      <c r="LJX7" s="397"/>
      <c r="LJY7" s="397"/>
      <c r="LJZ7" s="397"/>
      <c r="LKA7" s="397"/>
      <c r="LKB7" s="397"/>
      <c r="LKC7" s="397"/>
      <c r="LKD7" s="397"/>
      <c r="LKE7" s="397"/>
      <c r="LKF7" s="397"/>
      <c r="LKG7" s="397"/>
      <c r="LKH7" s="397"/>
      <c r="LKI7" s="397"/>
      <c r="LKJ7" s="397"/>
      <c r="LKK7" s="397"/>
      <c r="LKL7" s="397"/>
      <c r="LKM7" s="397"/>
      <c r="LKN7" s="397"/>
      <c r="LKO7" s="397"/>
      <c r="LKP7" s="397"/>
      <c r="LKQ7" s="397"/>
      <c r="LKR7" s="397"/>
      <c r="LKS7" s="397"/>
      <c r="LKT7" s="397"/>
      <c r="LKU7" s="397"/>
      <c r="LKV7" s="397"/>
      <c r="LKW7" s="397"/>
      <c r="LKX7" s="397"/>
      <c r="LKY7" s="397"/>
      <c r="LKZ7" s="397"/>
      <c r="LLA7" s="397"/>
      <c r="LLB7" s="397"/>
      <c r="LLC7" s="397"/>
      <c r="LLD7" s="397"/>
      <c r="LLE7" s="397"/>
      <c r="LLF7" s="397"/>
      <c r="LLG7" s="397"/>
      <c r="LLH7" s="397"/>
      <c r="LLI7" s="397"/>
      <c r="LLJ7" s="397"/>
      <c r="LLK7" s="397"/>
      <c r="LLL7" s="397"/>
      <c r="LLM7" s="397"/>
      <c r="LLN7" s="397"/>
      <c r="LLO7" s="397"/>
      <c r="LLP7" s="397"/>
      <c r="LLQ7" s="397"/>
      <c r="LLR7" s="397"/>
      <c r="LLS7" s="397"/>
      <c r="LLT7" s="397"/>
      <c r="LLU7" s="397"/>
      <c r="LLV7" s="397"/>
      <c r="LLW7" s="397"/>
      <c r="LLX7" s="397"/>
      <c r="LLY7" s="397"/>
      <c r="LLZ7" s="397"/>
      <c r="LMA7" s="397"/>
      <c r="LMB7" s="397"/>
      <c r="LMC7" s="397"/>
      <c r="LMD7" s="397"/>
      <c r="LME7" s="397"/>
      <c r="LMF7" s="397"/>
      <c r="LMG7" s="397"/>
      <c r="LMH7" s="397"/>
      <c r="LMI7" s="397"/>
      <c r="LMJ7" s="397"/>
      <c r="LMK7" s="397"/>
      <c r="LML7" s="397"/>
      <c r="LMM7" s="397"/>
      <c r="LMN7" s="397"/>
      <c r="LMO7" s="397"/>
      <c r="LMP7" s="397"/>
      <c r="LMQ7" s="397"/>
      <c r="LMR7" s="397"/>
      <c r="LMS7" s="397"/>
      <c r="LMT7" s="397"/>
      <c r="LMU7" s="397"/>
      <c r="LMV7" s="397"/>
      <c r="LMW7" s="397"/>
      <c r="LMX7" s="397"/>
      <c r="LMY7" s="397"/>
      <c r="LMZ7" s="397"/>
      <c r="LNA7" s="397"/>
      <c r="LNB7" s="397"/>
      <c r="LNC7" s="397"/>
      <c r="LND7" s="397"/>
      <c r="LNE7" s="397"/>
      <c r="LNF7" s="397"/>
      <c r="LNG7" s="397"/>
      <c r="LNH7" s="397"/>
      <c r="LNI7" s="397"/>
      <c r="LNJ7" s="397"/>
      <c r="LNK7" s="397"/>
      <c r="LNL7" s="397"/>
      <c r="LNM7" s="397"/>
      <c r="LNN7" s="397"/>
      <c r="LNO7" s="397"/>
      <c r="LNP7" s="397"/>
      <c r="LNQ7" s="397"/>
      <c r="LNR7" s="397"/>
      <c r="LNS7" s="397"/>
      <c r="LNT7" s="397"/>
      <c r="LNU7" s="397"/>
      <c r="LNV7" s="397"/>
      <c r="LNW7" s="397"/>
      <c r="LNX7" s="397"/>
      <c r="LNY7" s="397"/>
      <c r="LNZ7" s="397"/>
      <c r="LOA7" s="397"/>
      <c r="LOB7" s="397"/>
      <c r="LOC7" s="397"/>
      <c r="LOD7" s="397"/>
      <c r="LOE7" s="397"/>
      <c r="LOF7" s="397"/>
      <c r="LOG7" s="397"/>
      <c r="LOH7" s="397"/>
      <c r="LOI7" s="397"/>
      <c r="LOJ7" s="397"/>
      <c r="LOK7" s="397"/>
      <c r="LOL7" s="397"/>
      <c r="LOM7" s="397"/>
      <c r="LON7" s="397"/>
      <c r="LOO7" s="397"/>
      <c r="LOP7" s="397"/>
      <c r="LOQ7" s="397"/>
      <c r="LOR7" s="397"/>
      <c r="LOS7" s="397"/>
      <c r="LOT7" s="397"/>
      <c r="LOU7" s="397"/>
      <c r="LOV7" s="397"/>
      <c r="LOW7" s="397"/>
      <c r="LOX7" s="397"/>
      <c r="LOY7" s="397"/>
      <c r="LOZ7" s="397"/>
      <c r="LPA7" s="397"/>
      <c r="LPB7" s="397"/>
      <c r="LPC7" s="397"/>
      <c r="LPD7" s="397"/>
      <c r="LPE7" s="397"/>
      <c r="LPF7" s="397"/>
      <c r="LPG7" s="397"/>
      <c r="LPH7" s="397"/>
      <c r="LPI7" s="397"/>
      <c r="LPJ7" s="397"/>
      <c r="LPK7" s="397"/>
      <c r="LPL7" s="397"/>
      <c r="LPM7" s="397"/>
      <c r="LPN7" s="397"/>
      <c r="LPO7" s="397"/>
      <c r="LPP7" s="397"/>
      <c r="LPQ7" s="397"/>
      <c r="LPR7" s="397"/>
      <c r="LPS7" s="397"/>
      <c r="LPT7" s="397"/>
      <c r="LPU7" s="397"/>
      <c r="LPV7" s="397"/>
      <c r="LPW7" s="397"/>
      <c r="LPX7" s="397"/>
      <c r="LPY7" s="397"/>
      <c r="LPZ7" s="397"/>
      <c r="LQA7" s="397"/>
      <c r="LQB7" s="397"/>
      <c r="LQC7" s="397"/>
      <c r="LQD7" s="397"/>
      <c r="LQE7" s="397"/>
      <c r="LQF7" s="397"/>
      <c r="LQG7" s="397"/>
      <c r="LQH7" s="397"/>
      <c r="LQI7" s="397"/>
      <c r="LQJ7" s="397"/>
      <c r="LQK7" s="397"/>
      <c r="LQL7" s="397"/>
      <c r="LQM7" s="397"/>
      <c r="LQN7" s="397"/>
      <c r="LQO7" s="397"/>
      <c r="LQP7" s="397"/>
      <c r="LQQ7" s="397"/>
      <c r="LQR7" s="397"/>
      <c r="LQS7" s="397"/>
      <c r="LQT7" s="397"/>
      <c r="LQU7" s="397"/>
      <c r="LQV7" s="397"/>
      <c r="LQW7" s="397"/>
      <c r="LQX7" s="397"/>
      <c r="LQY7" s="397"/>
      <c r="LQZ7" s="397"/>
      <c r="LRA7" s="397"/>
      <c r="LRB7" s="397"/>
      <c r="LRC7" s="397"/>
      <c r="LRD7" s="397"/>
      <c r="LRE7" s="397"/>
      <c r="LRF7" s="397"/>
      <c r="LRG7" s="397"/>
      <c r="LRH7" s="397"/>
      <c r="LRI7" s="397"/>
      <c r="LRJ7" s="397"/>
      <c r="LRK7" s="397"/>
      <c r="LRL7" s="397"/>
      <c r="LRM7" s="397"/>
      <c r="LRN7" s="397"/>
      <c r="LRO7" s="397"/>
      <c r="LRP7" s="397"/>
      <c r="LRQ7" s="397"/>
      <c r="LRR7" s="397"/>
      <c r="LRS7" s="397"/>
      <c r="LRT7" s="397"/>
      <c r="LRU7" s="397"/>
      <c r="LRV7" s="397"/>
      <c r="LRW7" s="397"/>
      <c r="LRX7" s="397"/>
      <c r="LRY7" s="397"/>
      <c r="LRZ7" s="397"/>
      <c r="LSA7" s="397"/>
      <c r="LSB7" s="397"/>
      <c r="LSC7" s="397"/>
      <c r="LSD7" s="397"/>
      <c r="LSE7" s="397"/>
      <c r="LSF7" s="397"/>
      <c r="LSG7" s="397"/>
      <c r="LSH7" s="397"/>
      <c r="LSI7" s="397"/>
      <c r="LSJ7" s="397"/>
      <c r="LSK7" s="397"/>
      <c r="LSL7" s="397"/>
      <c r="LSM7" s="397"/>
      <c r="LSN7" s="397"/>
      <c r="LSO7" s="397"/>
      <c r="LSP7" s="397"/>
      <c r="LSQ7" s="397"/>
      <c r="LSR7" s="397"/>
      <c r="LSS7" s="397"/>
      <c r="LST7" s="397"/>
      <c r="LSU7" s="397"/>
      <c r="LSV7" s="397"/>
      <c r="LSW7" s="397"/>
      <c r="LSX7" s="397"/>
      <c r="LSY7" s="397"/>
      <c r="LSZ7" s="397"/>
      <c r="LTA7" s="397"/>
      <c r="LTB7" s="397"/>
      <c r="LTC7" s="397"/>
      <c r="LTD7" s="397"/>
      <c r="LTE7" s="397"/>
      <c r="LTF7" s="397"/>
      <c r="LTG7" s="397"/>
      <c r="LTH7" s="397"/>
      <c r="LTI7" s="397"/>
      <c r="LTJ7" s="397"/>
      <c r="LTK7" s="397"/>
      <c r="LTL7" s="397"/>
      <c r="LTM7" s="397"/>
      <c r="LTN7" s="397"/>
      <c r="LTO7" s="397"/>
      <c r="LTP7" s="397"/>
      <c r="LTQ7" s="397"/>
      <c r="LTR7" s="397"/>
      <c r="LTS7" s="397"/>
      <c r="LTT7" s="397"/>
      <c r="LTU7" s="397"/>
      <c r="LTV7" s="397"/>
      <c r="LTW7" s="397"/>
      <c r="LTX7" s="397"/>
      <c r="LTY7" s="397"/>
      <c r="LTZ7" s="397"/>
      <c r="LUA7" s="397"/>
      <c r="LUB7" s="397"/>
      <c r="LUC7" s="397"/>
      <c r="LUD7" s="397"/>
      <c r="LUE7" s="397"/>
      <c r="LUF7" s="397"/>
      <c r="LUG7" s="397"/>
      <c r="LUH7" s="397"/>
      <c r="LUI7" s="397"/>
      <c r="LUJ7" s="397"/>
      <c r="LUK7" s="397"/>
      <c r="LUL7" s="397"/>
      <c r="LUM7" s="397"/>
      <c r="LUN7" s="397"/>
      <c r="LUO7" s="397"/>
      <c r="LUP7" s="397"/>
      <c r="LUQ7" s="397"/>
      <c r="LUR7" s="397"/>
      <c r="LUS7" s="397"/>
      <c r="LUT7" s="397"/>
      <c r="LUU7" s="397"/>
      <c r="LUV7" s="397"/>
      <c r="LUW7" s="397"/>
      <c r="LUX7" s="397"/>
      <c r="LUY7" s="397"/>
      <c r="LUZ7" s="397"/>
      <c r="LVA7" s="397"/>
      <c r="LVB7" s="397"/>
      <c r="LVC7" s="397"/>
      <c r="LVD7" s="397"/>
      <c r="LVE7" s="397"/>
      <c r="LVF7" s="397"/>
      <c r="LVG7" s="397"/>
      <c r="LVH7" s="397"/>
      <c r="LVI7" s="397"/>
      <c r="LVJ7" s="397"/>
      <c r="LVK7" s="397"/>
      <c r="LVL7" s="397"/>
      <c r="LVM7" s="397"/>
      <c r="LVN7" s="397"/>
      <c r="LVO7" s="397"/>
      <c r="LVP7" s="397"/>
      <c r="LVQ7" s="397"/>
      <c r="LVR7" s="397"/>
      <c r="LVS7" s="397"/>
      <c r="LVT7" s="397"/>
      <c r="LVU7" s="397"/>
      <c r="LVV7" s="397"/>
      <c r="LVW7" s="397"/>
      <c r="LVX7" s="397"/>
      <c r="LVY7" s="397"/>
      <c r="LVZ7" s="397"/>
      <c r="LWA7" s="397"/>
      <c r="LWB7" s="397"/>
      <c r="LWC7" s="397"/>
      <c r="LWD7" s="397"/>
      <c r="LWE7" s="397"/>
      <c r="LWF7" s="397"/>
      <c r="LWG7" s="397"/>
      <c r="LWH7" s="397"/>
      <c r="LWI7" s="397"/>
      <c r="LWJ7" s="397"/>
      <c r="LWK7" s="397"/>
      <c r="LWL7" s="397"/>
      <c r="LWM7" s="397"/>
      <c r="LWN7" s="397"/>
      <c r="LWO7" s="397"/>
      <c r="LWP7" s="397"/>
      <c r="LWQ7" s="397"/>
      <c r="LWR7" s="397"/>
      <c r="LWS7" s="397"/>
      <c r="LWT7" s="397"/>
      <c r="LWU7" s="397"/>
      <c r="LWV7" s="397"/>
      <c r="LWW7" s="397"/>
      <c r="LWX7" s="397"/>
      <c r="LWY7" s="397"/>
      <c r="LWZ7" s="397"/>
      <c r="LXA7" s="397"/>
      <c r="LXB7" s="397"/>
      <c r="LXC7" s="397"/>
      <c r="LXD7" s="397"/>
      <c r="LXE7" s="397"/>
      <c r="LXF7" s="397"/>
      <c r="LXG7" s="397"/>
      <c r="LXH7" s="397"/>
      <c r="LXI7" s="397"/>
      <c r="LXJ7" s="397"/>
      <c r="LXK7" s="397"/>
      <c r="LXL7" s="397"/>
      <c r="LXM7" s="397"/>
      <c r="LXN7" s="397"/>
      <c r="LXO7" s="397"/>
      <c r="LXP7" s="397"/>
      <c r="LXQ7" s="397"/>
      <c r="LXR7" s="397"/>
      <c r="LXS7" s="397"/>
      <c r="LXT7" s="397"/>
      <c r="LXU7" s="397"/>
      <c r="LXV7" s="397"/>
      <c r="LXW7" s="397"/>
      <c r="LXX7" s="397"/>
      <c r="LXY7" s="397"/>
      <c r="LXZ7" s="397"/>
      <c r="LYA7" s="397"/>
      <c r="LYB7" s="397"/>
      <c r="LYC7" s="397"/>
      <c r="LYD7" s="397"/>
      <c r="LYE7" s="397"/>
      <c r="LYF7" s="397"/>
      <c r="LYG7" s="397"/>
      <c r="LYH7" s="397"/>
      <c r="LYI7" s="397"/>
      <c r="LYJ7" s="397"/>
      <c r="LYK7" s="397"/>
      <c r="LYL7" s="397"/>
      <c r="LYM7" s="397"/>
      <c r="LYN7" s="397"/>
      <c r="LYO7" s="397"/>
      <c r="LYP7" s="397"/>
      <c r="LYQ7" s="397"/>
      <c r="LYR7" s="397"/>
      <c r="LYS7" s="397"/>
      <c r="LYT7" s="397"/>
      <c r="LYU7" s="397"/>
      <c r="LYV7" s="397"/>
      <c r="LYW7" s="397"/>
      <c r="LYX7" s="397"/>
      <c r="LYY7" s="397"/>
      <c r="LYZ7" s="397"/>
      <c r="LZA7" s="397"/>
      <c r="LZB7" s="397"/>
      <c r="LZC7" s="397"/>
      <c r="LZD7" s="397"/>
      <c r="LZE7" s="397"/>
      <c r="LZF7" s="397"/>
      <c r="LZG7" s="397"/>
      <c r="LZH7" s="397"/>
      <c r="LZI7" s="397"/>
      <c r="LZJ7" s="397"/>
      <c r="LZK7" s="397"/>
      <c r="LZL7" s="397"/>
      <c r="LZM7" s="397"/>
      <c r="LZN7" s="397"/>
      <c r="LZO7" s="397"/>
      <c r="LZP7" s="397"/>
      <c r="LZQ7" s="397"/>
      <c r="LZR7" s="397"/>
      <c r="LZS7" s="397"/>
      <c r="LZT7" s="397"/>
      <c r="LZU7" s="397"/>
      <c r="LZV7" s="397"/>
      <c r="LZW7" s="397"/>
      <c r="LZX7" s="397"/>
      <c r="LZY7" s="397"/>
      <c r="LZZ7" s="397"/>
      <c r="MAA7" s="397"/>
      <c r="MAB7" s="397"/>
      <c r="MAC7" s="397"/>
      <c r="MAD7" s="397"/>
      <c r="MAE7" s="397"/>
      <c r="MAF7" s="397"/>
      <c r="MAG7" s="397"/>
      <c r="MAH7" s="397"/>
      <c r="MAI7" s="397"/>
      <c r="MAJ7" s="397"/>
      <c r="MAK7" s="397"/>
      <c r="MAL7" s="397"/>
      <c r="MAM7" s="397"/>
      <c r="MAN7" s="397"/>
      <c r="MAO7" s="397"/>
      <c r="MAP7" s="397"/>
      <c r="MAQ7" s="397"/>
      <c r="MAR7" s="397"/>
      <c r="MAS7" s="397"/>
      <c r="MAT7" s="397"/>
      <c r="MAU7" s="397"/>
      <c r="MAV7" s="397"/>
      <c r="MAW7" s="397"/>
      <c r="MAX7" s="397"/>
      <c r="MAY7" s="397"/>
      <c r="MAZ7" s="397"/>
      <c r="MBA7" s="397"/>
      <c r="MBB7" s="397"/>
      <c r="MBC7" s="397"/>
      <c r="MBD7" s="397"/>
      <c r="MBE7" s="397"/>
      <c r="MBF7" s="397"/>
      <c r="MBG7" s="397"/>
      <c r="MBH7" s="397"/>
      <c r="MBI7" s="397"/>
      <c r="MBJ7" s="397"/>
      <c r="MBK7" s="397"/>
      <c r="MBL7" s="397"/>
      <c r="MBM7" s="397"/>
      <c r="MBN7" s="397"/>
      <c r="MBO7" s="397"/>
      <c r="MBP7" s="397"/>
      <c r="MBQ7" s="397"/>
      <c r="MBR7" s="397"/>
      <c r="MBS7" s="397"/>
      <c r="MBT7" s="397"/>
      <c r="MBU7" s="397"/>
      <c r="MBV7" s="397"/>
      <c r="MBW7" s="397"/>
      <c r="MBX7" s="397"/>
      <c r="MBY7" s="397"/>
      <c r="MBZ7" s="397"/>
      <c r="MCA7" s="397"/>
      <c r="MCB7" s="397"/>
      <c r="MCC7" s="397"/>
      <c r="MCD7" s="397"/>
      <c r="MCE7" s="397"/>
      <c r="MCF7" s="397"/>
      <c r="MCG7" s="397"/>
      <c r="MCH7" s="397"/>
      <c r="MCI7" s="397"/>
      <c r="MCJ7" s="397"/>
      <c r="MCK7" s="397"/>
      <c r="MCL7" s="397"/>
      <c r="MCM7" s="397"/>
      <c r="MCN7" s="397"/>
      <c r="MCO7" s="397"/>
      <c r="MCP7" s="397"/>
      <c r="MCQ7" s="397"/>
      <c r="MCR7" s="397"/>
      <c r="MCS7" s="397"/>
      <c r="MCT7" s="397"/>
      <c r="MCU7" s="397"/>
      <c r="MCV7" s="397"/>
      <c r="MCW7" s="397"/>
      <c r="MCX7" s="397"/>
      <c r="MCY7" s="397"/>
      <c r="MCZ7" s="397"/>
      <c r="MDA7" s="397"/>
      <c r="MDB7" s="397"/>
      <c r="MDC7" s="397"/>
      <c r="MDD7" s="397"/>
      <c r="MDE7" s="397"/>
      <c r="MDF7" s="397"/>
      <c r="MDG7" s="397"/>
      <c r="MDH7" s="397"/>
      <c r="MDI7" s="397"/>
      <c r="MDJ7" s="397"/>
      <c r="MDK7" s="397"/>
      <c r="MDL7" s="397"/>
      <c r="MDM7" s="397"/>
      <c r="MDN7" s="397"/>
      <c r="MDO7" s="397"/>
      <c r="MDP7" s="397"/>
      <c r="MDQ7" s="397"/>
      <c r="MDR7" s="397"/>
      <c r="MDS7" s="397"/>
      <c r="MDT7" s="397"/>
      <c r="MDU7" s="397"/>
      <c r="MDV7" s="397"/>
      <c r="MDW7" s="397"/>
      <c r="MDX7" s="397"/>
      <c r="MDY7" s="397"/>
      <c r="MDZ7" s="397"/>
      <c r="MEA7" s="397"/>
      <c r="MEB7" s="397"/>
      <c r="MEC7" s="397"/>
      <c r="MED7" s="397"/>
      <c r="MEE7" s="397"/>
      <c r="MEF7" s="397"/>
      <c r="MEG7" s="397"/>
      <c r="MEH7" s="397"/>
      <c r="MEI7" s="397"/>
      <c r="MEJ7" s="397"/>
      <c r="MEK7" s="397"/>
      <c r="MEL7" s="397"/>
      <c r="MEM7" s="397"/>
      <c r="MEN7" s="397"/>
      <c r="MEO7" s="397"/>
      <c r="MEP7" s="397"/>
      <c r="MEQ7" s="397"/>
      <c r="MER7" s="397"/>
      <c r="MES7" s="397"/>
      <c r="MET7" s="397"/>
      <c r="MEU7" s="397"/>
      <c r="MEV7" s="397"/>
      <c r="MEW7" s="397"/>
      <c r="MEX7" s="397"/>
      <c r="MEY7" s="397"/>
      <c r="MEZ7" s="397"/>
      <c r="MFA7" s="397"/>
      <c r="MFB7" s="397"/>
      <c r="MFC7" s="397"/>
      <c r="MFD7" s="397"/>
      <c r="MFE7" s="397"/>
      <c r="MFF7" s="397"/>
      <c r="MFG7" s="397"/>
      <c r="MFH7" s="397"/>
      <c r="MFI7" s="397"/>
      <c r="MFJ7" s="397"/>
      <c r="MFK7" s="397"/>
      <c r="MFL7" s="397"/>
      <c r="MFM7" s="397"/>
      <c r="MFN7" s="397"/>
      <c r="MFO7" s="397"/>
      <c r="MFP7" s="397"/>
      <c r="MFQ7" s="397"/>
      <c r="MFR7" s="397"/>
      <c r="MFS7" s="397"/>
      <c r="MFT7" s="397"/>
      <c r="MFU7" s="397"/>
      <c r="MFV7" s="397"/>
      <c r="MFW7" s="397"/>
      <c r="MFX7" s="397"/>
      <c r="MFY7" s="397"/>
      <c r="MFZ7" s="397"/>
      <c r="MGA7" s="397"/>
      <c r="MGB7" s="397"/>
      <c r="MGC7" s="397"/>
      <c r="MGD7" s="397"/>
      <c r="MGE7" s="397"/>
      <c r="MGF7" s="397"/>
      <c r="MGG7" s="397"/>
      <c r="MGH7" s="397"/>
      <c r="MGI7" s="397"/>
      <c r="MGJ7" s="397"/>
      <c r="MGK7" s="397"/>
      <c r="MGL7" s="397"/>
      <c r="MGM7" s="397"/>
      <c r="MGN7" s="397"/>
      <c r="MGO7" s="397"/>
      <c r="MGP7" s="397"/>
      <c r="MGQ7" s="397"/>
      <c r="MGR7" s="397"/>
      <c r="MGS7" s="397"/>
      <c r="MGT7" s="397"/>
      <c r="MGU7" s="397"/>
      <c r="MGV7" s="397"/>
      <c r="MGW7" s="397"/>
      <c r="MGX7" s="397"/>
      <c r="MGY7" s="397"/>
      <c r="MGZ7" s="397"/>
      <c r="MHA7" s="397"/>
      <c r="MHB7" s="397"/>
      <c r="MHC7" s="397"/>
      <c r="MHD7" s="397"/>
      <c r="MHE7" s="397"/>
      <c r="MHF7" s="397"/>
      <c r="MHG7" s="397"/>
      <c r="MHH7" s="397"/>
      <c r="MHI7" s="397"/>
      <c r="MHJ7" s="397"/>
      <c r="MHK7" s="397"/>
      <c r="MHL7" s="397"/>
      <c r="MHM7" s="397"/>
      <c r="MHN7" s="397"/>
      <c r="MHO7" s="397"/>
      <c r="MHP7" s="397"/>
      <c r="MHQ7" s="397"/>
      <c r="MHR7" s="397"/>
      <c r="MHS7" s="397"/>
      <c r="MHT7" s="397"/>
      <c r="MHU7" s="397"/>
      <c r="MHV7" s="397"/>
      <c r="MHW7" s="397"/>
      <c r="MHX7" s="397"/>
      <c r="MHY7" s="397"/>
      <c r="MHZ7" s="397"/>
      <c r="MIA7" s="397"/>
      <c r="MIB7" s="397"/>
      <c r="MIC7" s="397"/>
      <c r="MID7" s="397"/>
      <c r="MIE7" s="397"/>
      <c r="MIF7" s="397"/>
      <c r="MIG7" s="397"/>
      <c r="MIH7" s="397"/>
      <c r="MII7" s="397"/>
      <c r="MIJ7" s="397"/>
      <c r="MIK7" s="397"/>
      <c r="MIL7" s="397"/>
      <c r="MIM7" s="397"/>
      <c r="MIN7" s="397"/>
      <c r="MIO7" s="397"/>
      <c r="MIP7" s="397"/>
      <c r="MIQ7" s="397"/>
      <c r="MIR7" s="397"/>
      <c r="MIS7" s="397"/>
      <c r="MIT7" s="397"/>
      <c r="MIU7" s="397"/>
      <c r="MIV7" s="397"/>
      <c r="MIW7" s="397"/>
      <c r="MIX7" s="397"/>
      <c r="MIY7" s="397"/>
      <c r="MIZ7" s="397"/>
      <c r="MJA7" s="397"/>
      <c r="MJB7" s="397"/>
      <c r="MJC7" s="397"/>
      <c r="MJD7" s="397"/>
      <c r="MJE7" s="397"/>
      <c r="MJF7" s="397"/>
      <c r="MJG7" s="397"/>
      <c r="MJH7" s="397"/>
      <c r="MJI7" s="397"/>
      <c r="MJJ7" s="397"/>
      <c r="MJK7" s="397"/>
      <c r="MJL7" s="397"/>
      <c r="MJM7" s="397"/>
      <c r="MJN7" s="397"/>
      <c r="MJO7" s="397"/>
      <c r="MJP7" s="397"/>
      <c r="MJQ7" s="397"/>
      <c r="MJR7" s="397"/>
      <c r="MJS7" s="397"/>
      <c r="MJT7" s="397"/>
      <c r="MJU7" s="397"/>
      <c r="MJV7" s="397"/>
      <c r="MJW7" s="397"/>
      <c r="MJX7" s="397"/>
      <c r="MJY7" s="397"/>
      <c r="MJZ7" s="397"/>
      <c r="MKA7" s="397"/>
      <c r="MKB7" s="397"/>
      <c r="MKC7" s="397"/>
      <c r="MKD7" s="397"/>
      <c r="MKE7" s="397"/>
      <c r="MKF7" s="397"/>
      <c r="MKG7" s="397"/>
      <c r="MKH7" s="397"/>
      <c r="MKI7" s="397"/>
      <c r="MKJ7" s="397"/>
      <c r="MKK7" s="397"/>
      <c r="MKL7" s="397"/>
      <c r="MKM7" s="397"/>
      <c r="MKN7" s="397"/>
      <c r="MKO7" s="397"/>
      <c r="MKP7" s="397"/>
      <c r="MKQ7" s="397"/>
      <c r="MKR7" s="397"/>
      <c r="MKS7" s="397"/>
      <c r="MKT7" s="397"/>
      <c r="MKU7" s="397"/>
      <c r="MKV7" s="397"/>
      <c r="MKW7" s="397"/>
      <c r="MKX7" s="397"/>
      <c r="MKY7" s="397"/>
      <c r="MKZ7" s="397"/>
      <c r="MLA7" s="397"/>
      <c r="MLB7" s="397"/>
      <c r="MLC7" s="397"/>
      <c r="MLD7" s="397"/>
      <c r="MLE7" s="397"/>
      <c r="MLF7" s="397"/>
      <c r="MLG7" s="397"/>
      <c r="MLH7" s="397"/>
      <c r="MLI7" s="397"/>
      <c r="MLJ7" s="397"/>
      <c r="MLK7" s="397"/>
      <c r="MLL7" s="397"/>
      <c r="MLM7" s="397"/>
      <c r="MLN7" s="397"/>
      <c r="MLO7" s="397"/>
      <c r="MLP7" s="397"/>
      <c r="MLQ7" s="397"/>
      <c r="MLR7" s="397"/>
      <c r="MLS7" s="397"/>
      <c r="MLT7" s="397"/>
      <c r="MLU7" s="397"/>
      <c r="MLV7" s="397"/>
      <c r="MLW7" s="397"/>
      <c r="MLX7" s="397"/>
      <c r="MLY7" s="397"/>
      <c r="MLZ7" s="397"/>
      <c r="MMA7" s="397"/>
      <c r="MMB7" s="397"/>
      <c r="MMC7" s="397"/>
      <c r="MMD7" s="397"/>
      <c r="MME7" s="397"/>
      <c r="MMF7" s="397"/>
      <c r="MMG7" s="397"/>
      <c r="MMH7" s="397"/>
      <c r="MMI7" s="397"/>
      <c r="MMJ7" s="397"/>
      <c r="MMK7" s="397"/>
      <c r="MML7" s="397"/>
      <c r="MMM7" s="397"/>
      <c r="MMN7" s="397"/>
      <c r="MMO7" s="397"/>
      <c r="MMP7" s="397"/>
      <c r="MMQ7" s="397"/>
      <c r="MMR7" s="397"/>
      <c r="MMS7" s="397"/>
      <c r="MMT7" s="397"/>
      <c r="MMU7" s="397"/>
      <c r="MMV7" s="397"/>
      <c r="MMW7" s="397"/>
      <c r="MMX7" s="397"/>
      <c r="MMY7" s="397"/>
      <c r="MMZ7" s="397"/>
      <c r="MNA7" s="397"/>
      <c r="MNB7" s="397"/>
      <c r="MNC7" s="397"/>
      <c r="MND7" s="397"/>
      <c r="MNE7" s="397"/>
      <c r="MNF7" s="397"/>
      <c r="MNG7" s="397"/>
      <c r="MNH7" s="397"/>
      <c r="MNI7" s="397"/>
      <c r="MNJ7" s="397"/>
      <c r="MNK7" s="397"/>
      <c r="MNL7" s="397"/>
      <c r="MNM7" s="397"/>
      <c r="MNN7" s="397"/>
      <c r="MNO7" s="397"/>
      <c r="MNP7" s="397"/>
      <c r="MNQ7" s="397"/>
      <c r="MNR7" s="397"/>
      <c r="MNS7" s="397"/>
      <c r="MNT7" s="397"/>
      <c r="MNU7" s="397"/>
      <c r="MNV7" s="397"/>
      <c r="MNW7" s="397"/>
      <c r="MNX7" s="397"/>
      <c r="MNY7" s="397"/>
      <c r="MNZ7" s="397"/>
      <c r="MOA7" s="397"/>
      <c r="MOB7" s="397"/>
      <c r="MOC7" s="397"/>
      <c r="MOD7" s="397"/>
      <c r="MOE7" s="397"/>
      <c r="MOF7" s="397"/>
      <c r="MOG7" s="397"/>
      <c r="MOH7" s="397"/>
      <c r="MOI7" s="397"/>
      <c r="MOJ7" s="397"/>
      <c r="MOK7" s="397"/>
      <c r="MOL7" s="397"/>
      <c r="MOM7" s="397"/>
      <c r="MON7" s="397"/>
      <c r="MOO7" s="397"/>
      <c r="MOP7" s="397"/>
      <c r="MOQ7" s="397"/>
      <c r="MOR7" s="397"/>
      <c r="MOS7" s="397"/>
      <c r="MOT7" s="397"/>
      <c r="MOU7" s="397"/>
      <c r="MOV7" s="397"/>
      <c r="MOW7" s="397"/>
      <c r="MOX7" s="397"/>
      <c r="MOY7" s="397"/>
      <c r="MOZ7" s="397"/>
      <c r="MPA7" s="397"/>
      <c r="MPB7" s="397"/>
      <c r="MPC7" s="397"/>
      <c r="MPD7" s="397"/>
      <c r="MPE7" s="397"/>
      <c r="MPF7" s="397"/>
      <c r="MPG7" s="397"/>
      <c r="MPH7" s="397"/>
      <c r="MPI7" s="397"/>
      <c r="MPJ7" s="397"/>
      <c r="MPK7" s="397"/>
      <c r="MPL7" s="397"/>
      <c r="MPM7" s="397"/>
      <c r="MPN7" s="397"/>
      <c r="MPO7" s="397"/>
      <c r="MPP7" s="397"/>
      <c r="MPQ7" s="397"/>
      <c r="MPR7" s="397"/>
      <c r="MPS7" s="397"/>
      <c r="MPT7" s="397"/>
      <c r="MPU7" s="397"/>
      <c r="MPV7" s="397"/>
      <c r="MPW7" s="397"/>
      <c r="MPX7" s="397"/>
      <c r="MPY7" s="397"/>
      <c r="MPZ7" s="397"/>
      <c r="MQA7" s="397"/>
      <c r="MQB7" s="397"/>
      <c r="MQC7" s="397"/>
      <c r="MQD7" s="397"/>
      <c r="MQE7" s="397"/>
      <c r="MQF7" s="397"/>
      <c r="MQG7" s="397"/>
      <c r="MQH7" s="397"/>
      <c r="MQI7" s="397"/>
      <c r="MQJ7" s="397"/>
      <c r="MQK7" s="397"/>
      <c r="MQL7" s="397"/>
      <c r="MQM7" s="397"/>
      <c r="MQN7" s="397"/>
      <c r="MQO7" s="397"/>
      <c r="MQP7" s="397"/>
      <c r="MQQ7" s="397"/>
      <c r="MQR7" s="397"/>
      <c r="MQS7" s="397"/>
      <c r="MQT7" s="397"/>
      <c r="MQU7" s="397"/>
      <c r="MQV7" s="397"/>
      <c r="MQW7" s="397"/>
      <c r="MQX7" s="397"/>
      <c r="MQY7" s="397"/>
      <c r="MQZ7" s="397"/>
      <c r="MRA7" s="397"/>
      <c r="MRB7" s="397"/>
      <c r="MRC7" s="397"/>
      <c r="MRD7" s="397"/>
      <c r="MRE7" s="397"/>
      <c r="MRF7" s="397"/>
      <c r="MRG7" s="397"/>
      <c r="MRH7" s="397"/>
      <c r="MRI7" s="397"/>
      <c r="MRJ7" s="397"/>
      <c r="MRK7" s="397"/>
      <c r="MRL7" s="397"/>
      <c r="MRM7" s="397"/>
      <c r="MRN7" s="397"/>
      <c r="MRO7" s="397"/>
      <c r="MRP7" s="397"/>
      <c r="MRQ7" s="397"/>
      <c r="MRR7" s="397"/>
      <c r="MRS7" s="397"/>
      <c r="MRT7" s="397"/>
      <c r="MRU7" s="397"/>
      <c r="MRV7" s="397"/>
      <c r="MRW7" s="397"/>
      <c r="MRX7" s="397"/>
      <c r="MRY7" s="397"/>
      <c r="MRZ7" s="397"/>
      <c r="MSA7" s="397"/>
      <c r="MSB7" s="397"/>
      <c r="MSC7" s="397"/>
      <c r="MSD7" s="397"/>
      <c r="MSE7" s="397"/>
      <c r="MSF7" s="397"/>
      <c r="MSG7" s="397"/>
      <c r="MSH7" s="397"/>
      <c r="MSI7" s="397"/>
      <c r="MSJ7" s="397"/>
      <c r="MSK7" s="397"/>
      <c r="MSL7" s="397"/>
      <c r="MSM7" s="397"/>
      <c r="MSN7" s="397"/>
      <c r="MSO7" s="397"/>
      <c r="MSP7" s="397"/>
      <c r="MSQ7" s="397"/>
      <c r="MSR7" s="397"/>
      <c r="MSS7" s="397"/>
      <c r="MST7" s="397"/>
      <c r="MSU7" s="397"/>
      <c r="MSV7" s="397"/>
      <c r="MSW7" s="397"/>
      <c r="MSX7" s="397"/>
      <c r="MSY7" s="397"/>
      <c r="MSZ7" s="397"/>
      <c r="MTA7" s="397"/>
      <c r="MTB7" s="397"/>
      <c r="MTC7" s="397"/>
      <c r="MTD7" s="397"/>
      <c r="MTE7" s="397"/>
      <c r="MTF7" s="397"/>
      <c r="MTG7" s="397"/>
      <c r="MTH7" s="397"/>
      <c r="MTI7" s="397"/>
      <c r="MTJ7" s="397"/>
      <c r="MTK7" s="397"/>
      <c r="MTL7" s="397"/>
      <c r="MTM7" s="397"/>
      <c r="MTN7" s="397"/>
      <c r="MTO7" s="397"/>
      <c r="MTP7" s="397"/>
      <c r="MTQ7" s="397"/>
      <c r="MTR7" s="397"/>
      <c r="MTS7" s="397"/>
      <c r="MTT7" s="397"/>
      <c r="MTU7" s="397"/>
      <c r="MTV7" s="397"/>
      <c r="MTW7" s="397"/>
      <c r="MTX7" s="397"/>
      <c r="MTY7" s="397"/>
      <c r="MTZ7" s="397"/>
      <c r="MUA7" s="397"/>
      <c r="MUB7" s="397"/>
      <c r="MUC7" s="397"/>
      <c r="MUD7" s="397"/>
      <c r="MUE7" s="397"/>
      <c r="MUF7" s="397"/>
      <c r="MUG7" s="397"/>
      <c r="MUH7" s="397"/>
      <c r="MUI7" s="397"/>
      <c r="MUJ7" s="397"/>
      <c r="MUK7" s="397"/>
      <c r="MUL7" s="397"/>
      <c r="MUM7" s="397"/>
      <c r="MUN7" s="397"/>
      <c r="MUO7" s="397"/>
      <c r="MUP7" s="397"/>
      <c r="MUQ7" s="397"/>
      <c r="MUR7" s="397"/>
      <c r="MUS7" s="397"/>
      <c r="MUT7" s="397"/>
      <c r="MUU7" s="397"/>
      <c r="MUV7" s="397"/>
      <c r="MUW7" s="397"/>
      <c r="MUX7" s="397"/>
      <c r="MUY7" s="397"/>
      <c r="MUZ7" s="397"/>
      <c r="MVA7" s="397"/>
      <c r="MVB7" s="397"/>
      <c r="MVC7" s="397"/>
      <c r="MVD7" s="397"/>
      <c r="MVE7" s="397"/>
      <c r="MVF7" s="397"/>
      <c r="MVG7" s="397"/>
      <c r="MVH7" s="397"/>
      <c r="MVI7" s="397"/>
      <c r="MVJ7" s="397"/>
      <c r="MVK7" s="397"/>
      <c r="MVL7" s="397"/>
      <c r="MVM7" s="397"/>
      <c r="MVN7" s="397"/>
      <c r="MVO7" s="397"/>
      <c r="MVP7" s="397"/>
      <c r="MVQ7" s="397"/>
      <c r="MVR7" s="397"/>
      <c r="MVS7" s="397"/>
      <c r="MVT7" s="397"/>
      <c r="MVU7" s="397"/>
      <c r="MVV7" s="397"/>
      <c r="MVW7" s="397"/>
      <c r="MVX7" s="397"/>
      <c r="MVY7" s="397"/>
      <c r="MVZ7" s="397"/>
      <c r="MWA7" s="397"/>
      <c r="MWB7" s="397"/>
      <c r="MWC7" s="397"/>
      <c r="MWD7" s="397"/>
      <c r="MWE7" s="397"/>
      <c r="MWF7" s="397"/>
      <c r="MWG7" s="397"/>
      <c r="MWH7" s="397"/>
      <c r="MWI7" s="397"/>
      <c r="MWJ7" s="397"/>
      <c r="MWK7" s="397"/>
      <c r="MWL7" s="397"/>
      <c r="MWM7" s="397"/>
      <c r="MWN7" s="397"/>
      <c r="MWO7" s="397"/>
      <c r="MWP7" s="397"/>
      <c r="MWQ7" s="397"/>
      <c r="MWR7" s="397"/>
      <c r="MWS7" s="397"/>
      <c r="MWT7" s="397"/>
      <c r="MWU7" s="397"/>
      <c r="MWV7" s="397"/>
      <c r="MWW7" s="397"/>
      <c r="MWX7" s="397"/>
      <c r="MWY7" s="397"/>
      <c r="MWZ7" s="397"/>
      <c r="MXA7" s="397"/>
      <c r="MXB7" s="397"/>
      <c r="MXC7" s="397"/>
      <c r="MXD7" s="397"/>
      <c r="MXE7" s="397"/>
      <c r="MXF7" s="397"/>
      <c r="MXG7" s="397"/>
      <c r="MXH7" s="397"/>
      <c r="MXI7" s="397"/>
      <c r="MXJ7" s="397"/>
      <c r="MXK7" s="397"/>
      <c r="MXL7" s="397"/>
      <c r="MXM7" s="397"/>
      <c r="MXN7" s="397"/>
      <c r="MXO7" s="397"/>
      <c r="MXP7" s="397"/>
      <c r="MXQ7" s="397"/>
      <c r="MXR7" s="397"/>
      <c r="MXS7" s="397"/>
      <c r="MXT7" s="397"/>
      <c r="MXU7" s="397"/>
      <c r="MXV7" s="397"/>
      <c r="MXW7" s="397"/>
      <c r="MXX7" s="397"/>
      <c r="MXY7" s="397"/>
      <c r="MXZ7" s="397"/>
      <c r="MYA7" s="397"/>
      <c r="MYB7" s="397"/>
      <c r="MYC7" s="397"/>
      <c r="MYD7" s="397"/>
      <c r="MYE7" s="397"/>
      <c r="MYF7" s="397"/>
      <c r="MYG7" s="397"/>
      <c r="MYH7" s="397"/>
      <c r="MYI7" s="397"/>
      <c r="MYJ7" s="397"/>
      <c r="MYK7" s="397"/>
      <c r="MYL7" s="397"/>
      <c r="MYM7" s="397"/>
      <c r="MYN7" s="397"/>
      <c r="MYO7" s="397"/>
      <c r="MYP7" s="397"/>
      <c r="MYQ7" s="397"/>
      <c r="MYR7" s="397"/>
      <c r="MYS7" s="397"/>
      <c r="MYT7" s="397"/>
      <c r="MYU7" s="397"/>
      <c r="MYV7" s="397"/>
      <c r="MYW7" s="397"/>
      <c r="MYX7" s="397"/>
      <c r="MYY7" s="397"/>
      <c r="MYZ7" s="397"/>
      <c r="MZA7" s="397"/>
      <c r="MZB7" s="397"/>
      <c r="MZC7" s="397"/>
      <c r="MZD7" s="397"/>
      <c r="MZE7" s="397"/>
      <c r="MZF7" s="397"/>
      <c r="MZG7" s="397"/>
      <c r="MZH7" s="397"/>
      <c r="MZI7" s="397"/>
      <c r="MZJ7" s="397"/>
      <c r="MZK7" s="397"/>
      <c r="MZL7" s="397"/>
      <c r="MZM7" s="397"/>
      <c r="MZN7" s="397"/>
      <c r="MZO7" s="397"/>
      <c r="MZP7" s="397"/>
      <c r="MZQ7" s="397"/>
      <c r="MZR7" s="397"/>
      <c r="MZS7" s="397"/>
      <c r="MZT7" s="397"/>
      <c r="MZU7" s="397"/>
      <c r="MZV7" s="397"/>
      <c r="MZW7" s="397"/>
      <c r="MZX7" s="397"/>
      <c r="MZY7" s="397"/>
      <c r="MZZ7" s="397"/>
      <c r="NAA7" s="397"/>
      <c r="NAB7" s="397"/>
      <c r="NAC7" s="397"/>
      <c r="NAD7" s="397"/>
      <c r="NAE7" s="397"/>
      <c r="NAF7" s="397"/>
      <c r="NAG7" s="397"/>
      <c r="NAH7" s="397"/>
      <c r="NAI7" s="397"/>
      <c r="NAJ7" s="397"/>
      <c r="NAK7" s="397"/>
      <c r="NAL7" s="397"/>
      <c r="NAM7" s="397"/>
      <c r="NAN7" s="397"/>
      <c r="NAO7" s="397"/>
      <c r="NAP7" s="397"/>
      <c r="NAQ7" s="397"/>
      <c r="NAR7" s="397"/>
      <c r="NAS7" s="397"/>
      <c r="NAT7" s="397"/>
      <c r="NAU7" s="397"/>
      <c r="NAV7" s="397"/>
      <c r="NAW7" s="397"/>
      <c r="NAX7" s="397"/>
      <c r="NAY7" s="397"/>
      <c r="NAZ7" s="397"/>
      <c r="NBA7" s="397"/>
      <c r="NBB7" s="397"/>
      <c r="NBC7" s="397"/>
      <c r="NBD7" s="397"/>
      <c r="NBE7" s="397"/>
      <c r="NBF7" s="397"/>
      <c r="NBG7" s="397"/>
      <c r="NBH7" s="397"/>
      <c r="NBI7" s="397"/>
      <c r="NBJ7" s="397"/>
      <c r="NBK7" s="397"/>
      <c r="NBL7" s="397"/>
      <c r="NBM7" s="397"/>
      <c r="NBN7" s="397"/>
      <c r="NBO7" s="397"/>
      <c r="NBP7" s="397"/>
      <c r="NBQ7" s="397"/>
      <c r="NBR7" s="397"/>
      <c r="NBS7" s="397"/>
      <c r="NBT7" s="397"/>
      <c r="NBU7" s="397"/>
      <c r="NBV7" s="397"/>
      <c r="NBW7" s="397"/>
      <c r="NBX7" s="397"/>
      <c r="NBY7" s="397"/>
      <c r="NBZ7" s="397"/>
      <c r="NCA7" s="397"/>
      <c r="NCB7" s="397"/>
      <c r="NCC7" s="397"/>
      <c r="NCD7" s="397"/>
      <c r="NCE7" s="397"/>
      <c r="NCF7" s="397"/>
      <c r="NCG7" s="397"/>
      <c r="NCH7" s="397"/>
      <c r="NCI7" s="397"/>
      <c r="NCJ7" s="397"/>
      <c r="NCK7" s="397"/>
      <c r="NCL7" s="397"/>
      <c r="NCM7" s="397"/>
      <c r="NCN7" s="397"/>
      <c r="NCO7" s="397"/>
      <c r="NCP7" s="397"/>
      <c r="NCQ7" s="397"/>
      <c r="NCR7" s="397"/>
      <c r="NCS7" s="397"/>
      <c r="NCT7" s="397"/>
      <c r="NCU7" s="397"/>
      <c r="NCV7" s="397"/>
      <c r="NCW7" s="397"/>
      <c r="NCX7" s="397"/>
      <c r="NCY7" s="397"/>
      <c r="NCZ7" s="397"/>
      <c r="NDA7" s="397"/>
      <c r="NDB7" s="397"/>
      <c r="NDC7" s="397"/>
      <c r="NDD7" s="397"/>
      <c r="NDE7" s="397"/>
      <c r="NDF7" s="397"/>
      <c r="NDG7" s="397"/>
      <c r="NDH7" s="397"/>
      <c r="NDI7" s="397"/>
      <c r="NDJ7" s="397"/>
      <c r="NDK7" s="397"/>
      <c r="NDL7" s="397"/>
      <c r="NDM7" s="397"/>
      <c r="NDN7" s="397"/>
      <c r="NDO7" s="397"/>
      <c r="NDP7" s="397"/>
      <c r="NDQ7" s="397"/>
      <c r="NDR7" s="397"/>
      <c r="NDS7" s="397"/>
      <c r="NDT7" s="397"/>
      <c r="NDU7" s="397"/>
      <c r="NDV7" s="397"/>
      <c r="NDW7" s="397"/>
      <c r="NDX7" s="397"/>
      <c r="NDY7" s="397"/>
      <c r="NDZ7" s="397"/>
      <c r="NEA7" s="397"/>
      <c r="NEB7" s="397"/>
      <c r="NEC7" s="397"/>
      <c r="NED7" s="397"/>
      <c r="NEE7" s="397"/>
      <c r="NEF7" s="397"/>
      <c r="NEG7" s="397"/>
      <c r="NEH7" s="397"/>
      <c r="NEI7" s="397"/>
      <c r="NEJ7" s="397"/>
      <c r="NEK7" s="397"/>
      <c r="NEL7" s="397"/>
      <c r="NEM7" s="397"/>
      <c r="NEN7" s="397"/>
      <c r="NEO7" s="397"/>
      <c r="NEP7" s="397"/>
      <c r="NEQ7" s="397"/>
      <c r="NER7" s="397"/>
      <c r="NES7" s="397"/>
      <c r="NET7" s="397"/>
      <c r="NEU7" s="397"/>
      <c r="NEV7" s="397"/>
      <c r="NEW7" s="397"/>
      <c r="NEX7" s="397"/>
      <c r="NEY7" s="397"/>
      <c r="NEZ7" s="397"/>
      <c r="NFA7" s="397"/>
      <c r="NFB7" s="397"/>
      <c r="NFC7" s="397"/>
      <c r="NFD7" s="397"/>
      <c r="NFE7" s="397"/>
      <c r="NFF7" s="397"/>
      <c r="NFG7" s="397"/>
      <c r="NFH7" s="397"/>
      <c r="NFI7" s="397"/>
      <c r="NFJ7" s="397"/>
      <c r="NFK7" s="397"/>
      <c r="NFL7" s="397"/>
      <c r="NFM7" s="397"/>
      <c r="NFN7" s="397"/>
      <c r="NFO7" s="397"/>
      <c r="NFP7" s="397"/>
      <c r="NFQ7" s="397"/>
      <c r="NFR7" s="397"/>
      <c r="NFS7" s="397"/>
      <c r="NFT7" s="397"/>
      <c r="NFU7" s="397"/>
      <c r="NFV7" s="397"/>
      <c r="NFW7" s="397"/>
      <c r="NFX7" s="397"/>
      <c r="NFY7" s="397"/>
      <c r="NFZ7" s="397"/>
      <c r="NGA7" s="397"/>
      <c r="NGB7" s="397"/>
      <c r="NGC7" s="397"/>
      <c r="NGD7" s="397"/>
      <c r="NGE7" s="397"/>
      <c r="NGF7" s="397"/>
      <c r="NGG7" s="397"/>
      <c r="NGH7" s="397"/>
      <c r="NGI7" s="397"/>
      <c r="NGJ7" s="397"/>
      <c r="NGK7" s="397"/>
      <c r="NGL7" s="397"/>
      <c r="NGM7" s="397"/>
      <c r="NGN7" s="397"/>
      <c r="NGO7" s="397"/>
      <c r="NGP7" s="397"/>
      <c r="NGQ7" s="397"/>
      <c r="NGR7" s="397"/>
      <c r="NGS7" s="397"/>
      <c r="NGT7" s="397"/>
      <c r="NGU7" s="397"/>
      <c r="NGV7" s="397"/>
      <c r="NGW7" s="397"/>
      <c r="NGX7" s="397"/>
      <c r="NGY7" s="397"/>
      <c r="NGZ7" s="397"/>
      <c r="NHA7" s="397"/>
      <c r="NHB7" s="397"/>
      <c r="NHC7" s="397"/>
      <c r="NHD7" s="397"/>
      <c r="NHE7" s="397"/>
      <c r="NHF7" s="397"/>
      <c r="NHG7" s="397"/>
      <c r="NHH7" s="397"/>
      <c r="NHI7" s="397"/>
      <c r="NHJ7" s="397"/>
      <c r="NHK7" s="397"/>
      <c r="NHL7" s="397"/>
      <c r="NHM7" s="397"/>
      <c r="NHN7" s="397"/>
      <c r="NHO7" s="397"/>
      <c r="NHP7" s="397"/>
      <c r="NHQ7" s="397"/>
      <c r="NHR7" s="397"/>
      <c r="NHS7" s="397"/>
      <c r="NHT7" s="397"/>
      <c r="NHU7" s="397"/>
      <c r="NHV7" s="397"/>
      <c r="NHW7" s="397"/>
      <c r="NHX7" s="397"/>
      <c r="NHY7" s="397"/>
      <c r="NHZ7" s="397"/>
      <c r="NIA7" s="397"/>
      <c r="NIB7" s="397"/>
      <c r="NIC7" s="397"/>
      <c r="NID7" s="397"/>
      <c r="NIE7" s="397"/>
      <c r="NIF7" s="397"/>
      <c r="NIG7" s="397"/>
      <c r="NIH7" s="397"/>
      <c r="NII7" s="397"/>
      <c r="NIJ7" s="397"/>
      <c r="NIK7" s="397"/>
      <c r="NIL7" s="397"/>
      <c r="NIM7" s="397"/>
      <c r="NIN7" s="397"/>
      <c r="NIO7" s="397"/>
      <c r="NIP7" s="397"/>
      <c r="NIQ7" s="397"/>
      <c r="NIR7" s="397"/>
      <c r="NIS7" s="397"/>
      <c r="NIT7" s="397"/>
      <c r="NIU7" s="397"/>
      <c r="NIV7" s="397"/>
      <c r="NIW7" s="397"/>
      <c r="NIX7" s="397"/>
      <c r="NIY7" s="397"/>
      <c r="NIZ7" s="397"/>
      <c r="NJA7" s="397"/>
      <c r="NJB7" s="397"/>
      <c r="NJC7" s="397"/>
      <c r="NJD7" s="397"/>
      <c r="NJE7" s="397"/>
      <c r="NJF7" s="397"/>
      <c r="NJG7" s="397"/>
      <c r="NJH7" s="397"/>
      <c r="NJI7" s="397"/>
      <c r="NJJ7" s="397"/>
      <c r="NJK7" s="397"/>
      <c r="NJL7" s="397"/>
      <c r="NJM7" s="397"/>
      <c r="NJN7" s="397"/>
      <c r="NJO7" s="397"/>
      <c r="NJP7" s="397"/>
      <c r="NJQ7" s="397"/>
      <c r="NJR7" s="397"/>
      <c r="NJS7" s="397"/>
      <c r="NJT7" s="397"/>
      <c r="NJU7" s="397"/>
      <c r="NJV7" s="397"/>
      <c r="NJW7" s="397"/>
      <c r="NJX7" s="397"/>
      <c r="NJY7" s="397"/>
      <c r="NJZ7" s="397"/>
      <c r="NKA7" s="397"/>
      <c r="NKB7" s="397"/>
      <c r="NKC7" s="397"/>
      <c r="NKD7" s="397"/>
      <c r="NKE7" s="397"/>
      <c r="NKF7" s="397"/>
      <c r="NKG7" s="397"/>
      <c r="NKH7" s="397"/>
      <c r="NKI7" s="397"/>
      <c r="NKJ7" s="397"/>
      <c r="NKK7" s="397"/>
      <c r="NKL7" s="397"/>
      <c r="NKM7" s="397"/>
      <c r="NKN7" s="397"/>
      <c r="NKO7" s="397"/>
      <c r="NKP7" s="397"/>
      <c r="NKQ7" s="397"/>
      <c r="NKR7" s="397"/>
      <c r="NKS7" s="397"/>
      <c r="NKT7" s="397"/>
      <c r="NKU7" s="397"/>
      <c r="NKV7" s="397"/>
      <c r="NKW7" s="397"/>
      <c r="NKX7" s="397"/>
      <c r="NKY7" s="397"/>
      <c r="NKZ7" s="397"/>
      <c r="NLA7" s="397"/>
      <c r="NLB7" s="397"/>
      <c r="NLC7" s="397"/>
      <c r="NLD7" s="397"/>
      <c r="NLE7" s="397"/>
      <c r="NLF7" s="397"/>
      <c r="NLG7" s="397"/>
      <c r="NLH7" s="397"/>
      <c r="NLI7" s="397"/>
      <c r="NLJ7" s="397"/>
      <c r="NLK7" s="397"/>
      <c r="NLL7" s="397"/>
      <c r="NLM7" s="397"/>
      <c r="NLN7" s="397"/>
      <c r="NLO7" s="397"/>
      <c r="NLP7" s="397"/>
      <c r="NLQ7" s="397"/>
      <c r="NLR7" s="397"/>
      <c r="NLS7" s="397"/>
      <c r="NLT7" s="397"/>
      <c r="NLU7" s="397"/>
      <c r="NLV7" s="397"/>
      <c r="NLW7" s="397"/>
      <c r="NLX7" s="397"/>
      <c r="NLY7" s="397"/>
      <c r="NLZ7" s="397"/>
      <c r="NMA7" s="397"/>
      <c r="NMB7" s="397"/>
      <c r="NMC7" s="397"/>
      <c r="NMD7" s="397"/>
      <c r="NME7" s="397"/>
      <c r="NMF7" s="397"/>
      <c r="NMG7" s="397"/>
      <c r="NMH7" s="397"/>
      <c r="NMI7" s="397"/>
      <c r="NMJ7" s="397"/>
      <c r="NMK7" s="397"/>
      <c r="NML7" s="397"/>
      <c r="NMM7" s="397"/>
      <c r="NMN7" s="397"/>
      <c r="NMO7" s="397"/>
      <c r="NMP7" s="397"/>
      <c r="NMQ7" s="397"/>
      <c r="NMR7" s="397"/>
      <c r="NMS7" s="397"/>
      <c r="NMT7" s="397"/>
      <c r="NMU7" s="397"/>
      <c r="NMV7" s="397"/>
      <c r="NMW7" s="397"/>
      <c r="NMX7" s="397"/>
      <c r="NMY7" s="397"/>
      <c r="NMZ7" s="397"/>
      <c r="NNA7" s="397"/>
      <c r="NNB7" s="397"/>
      <c r="NNC7" s="397"/>
      <c r="NND7" s="397"/>
      <c r="NNE7" s="397"/>
      <c r="NNF7" s="397"/>
      <c r="NNG7" s="397"/>
      <c r="NNH7" s="397"/>
      <c r="NNI7" s="397"/>
      <c r="NNJ7" s="397"/>
      <c r="NNK7" s="397"/>
      <c r="NNL7" s="397"/>
      <c r="NNM7" s="397"/>
      <c r="NNN7" s="397"/>
      <c r="NNO7" s="397"/>
      <c r="NNP7" s="397"/>
      <c r="NNQ7" s="397"/>
      <c r="NNR7" s="397"/>
      <c r="NNS7" s="397"/>
      <c r="NNT7" s="397"/>
      <c r="NNU7" s="397"/>
      <c r="NNV7" s="397"/>
      <c r="NNW7" s="397"/>
      <c r="NNX7" s="397"/>
      <c r="NNY7" s="397"/>
      <c r="NNZ7" s="397"/>
      <c r="NOA7" s="397"/>
      <c r="NOB7" s="397"/>
      <c r="NOC7" s="397"/>
      <c r="NOD7" s="397"/>
      <c r="NOE7" s="397"/>
      <c r="NOF7" s="397"/>
      <c r="NOG7" s="397"/>
      <c r="NOH7" s="397"/>
      <c r="NOI7" s="397"/>
      <c r="NOJ7" s="397"/>
      <c r="NOK7" s="397"/>
      <c r="NOL7" s="397"/>
      <c r="NOM7" s="397"/>
      <c r="NON7" s="397"/>
      <c r="NOO7" s="397"/>
      <c r="NOP7" s="397"/>
      <c r="NOQ7" s="397"/>
      <c r="NOR7" s="397"/>
      <c r="NOS7" s="397"/>
      <c r="NOT7" s="397"/>
      <c r="NOU7" s="397"/>
      <c r="NOV7" s="397"/>
      <c r="NOW7" s="397"/>
      <c r="NOX7" s="397"/>
      <c r="NOY7" s="397"/>
      <c r="NOZ7" s="397"/>
      <c r="NPA7" s="397"/>
      <c r="NPB7" s="397"/>
      <c r="NPC7" s="397"/>
      <c r="NPD7" s="397"/>
      <c r="NPE7" s="397"/>
      <c r="NPF7" s="397"/>
      <c r="NPG7" s="397"/>
      <c r="NPH7" s="397"/>
      <c r="NPI7" s="397"/>
      <c r="NPJ7" s="397"/>
      <c r="NPK7" s="397"/>
      <c r="NPL7" s="397"/>
      <c r="NPM7" s="397"/>
      <c r="NPN7" s="397"/>
      <c r="NPO7" s="397"/>
      <c r="NPP7" s="397"/>
      <c r="NPQ7" s="397"/>
      <c r="NPR7" s="397"/>
      <c r="NPS7" s="397"/>
      <c r="NPT7" s="397"/>
      <c r="NPU7" s="397"/>
      <c r="NPV7" s="397"/>
      <c r="NPW7" s="397"/>
      <c r="NPX7" s="397"/>
      <c r="NPY7" s="397"/>
      <c r="NPZ7" s="397"/>
      <c r="NQA7" s="397"/>
      <c r="NQB7" s="397"/>
      <c r="NQC7" s="397"/>
      <c r="NQD7" s="397"/>
      <c r="NQE7" s="397"/>
      <c r="NQF7" s="397"/>
      <c r="NQG7" s="397"/>
      <c r="NQH7" s="397"/>
      <c r="NQI7" s="397"/>
      <c r="NQJ7" s="397"/>
      <c r="NQK7" s="397"/>
      <c r="NQL7" s="397"/>
      <c r="NQM7" s="397"/>
      <c r="NQN7" s="397"/>
      <c r="NQO7" s="397"/>
      <c r="NQP7" s="397"/>
      <c r="NQQ7" s="397"/>
      <c r="NQR7" s="397"/>
      <c r="NQS7" s="397"/>
      <c r="NQT7" s="397"/>
      <c r="NQU7" s="397"/>
      <c r="NQV7" s="397"/>
      <c r="NQW7" s="397"/>
      <c r="NQX7" s="397"/>
      <c r="NQY7" s="397"/>
      <c r="NQZ7" s="397"/>
      <c r="NRA7" s="397"/>
      <c r="NRB7" s="397"/>
      <c r="NRC7" s="397"/>
      <c r="NRD7" s="397"/>
      <c r="NRE7" s="397"/>
      <c r="NRF7" s="397"/>
      <c r="NRG7" s="397"/>
      <c r="NRH7" s="397"/>
      <c r="NRI7" s="397"/>
      <c r="NRJ7" s="397"/>
      <c r="NRK7" s="397"/>
      <c r="NRL7" s="397"/>
      <c r="NRM7" s="397"/>
      <c r="NRN7" s="397"/>
      <c r="NRO7" s="397"/>
      <c r="NRP7" s="397"/>
      <c r="NRQ7" s="397"/>
      <c r="NRR7" s="397"/>
      <c r="NRS7" s="397"/>
      <c r="NRT7" s="397"/>
      <c r="NRU7" s="397"/>
      <c r="NRV7" s="397"/>
      <c r="NRW7" s="397"/>
      <c r="NRX7" s="397"/>
      <c r="NRY7" s="397"/>
      <c r="NRZ7" s="397"/>
      <c r="NSA7" s="397"/>
      <c r="NSB7" s="397"/>
      <c r="NSC7" s="397"/>
      <c r="NSD7" s="397"/>
      <c r="NSE7" s="397"/>
      <c r="NSF7" s="397"/>
      <c r="NSG7" s="397"/>
      <c r="NSH7" s="397"/>
      <c r="NSI7" s="397"/>
      <c r="NSJ7" s="397"/>
      <c r="NSK7" s="397"/>
      <c r="NSL7" s="397"/>
      <c r="NSM7" s="397"/>
      <c r="NSN7" s="397"/>
      <c r="NSO7" s="397"/>
      <c r="NSP7" s="397"/>
      <c r="NSQ7" s="397"/>
      <c r="NSR7" s="397"/>
      <c r="NSS7" s="397"/>
      <c r="NST7" s="397"/>
      <c r="NSU7" s="397"/>
      <c r="NSV7" s="397"/>
      <c r="NSW7" s="397"/>
      <c r="NSX7" s="397"/>
      <c r="NSY7" s="397"/>
      <c r="NSZ7" s="397"/>
      <c r="NTA7" s="397"/>
      <c r="NTB7" s="397"/>
      <c r="NTC7" s="397"/>
      <c r="NTD7" s="397"/>
      <c r="NTE7" s="397"/>
      <c r="NTF7" s="397"/>
      <c r="NTG7" s="397"/>
      <c r="NTH7" s="397"/>
      <c r="NTI7" s="397"/>
      <c r="NTJ7" s="397"/>
      <c r="NTK7" s="397"/>
      <c r="NTL7" s="397"/>
      <c r="NTM7" s="397"/>
      <c r="NTN7" s="397"/>
      <c r="NTO7" s="397"/>
      <c r="NTP7" s="397"/>
      <c r="NTQ7" s="397"/>
      <c r="NTR7" s="397"/>
      <c r="NTS7" s="397"/>
      <c r="NTT7" s="397"/>
      <c r="NTU7" s="397"/>
      <c r="NTV7" s="397"/>
      <c r="NTW7" s="397"/>
      <c r="NTX7" s="397"/>
      <c r="NTY7" s="397"/>
      <c r="NTZ7" s="397"/>
      <c r="NUA7" s="397"/>
      <c r="NUB7" s="397"/>
      <c r="NUC7" s="397"/>
      <c r="NUD7" s="397"/>
      <c r="NUE7" s="397"/>
      <c r="NUF7" s="397"/>
      <c r="NUG7" s="397"/>
      <c r="NUH7" s="397"/>
      <c r="NUI7" s="397"/>
      <c r="NUJ7" s="397"/>
      <c r="NUK7" s="397"/>
      <c r="NUL7" s="397"/>
      <c r="NUM7" s="397"/>
      <c r="NUN7" s="397"/>
      <c r="NUO7" s="397"/>
      <c r="NUP7" s="397"/>
      <c r="NUQ7" s="397"/>
      <c r="NUR7" s="397"/>
      <c r="NUS7" s="397"/>
      <c r="NUT7" s="397"/>
      <c r="NUU7" s="397"/>
      <c r="NUV7" s="397"/>
      <c r="NUW7" s="397"/>
      <c r="NUX7" s="397"/>
      <c r="NUY7" s="397"/>
      <c r="NUZ7" s="397"/>
      <c r="NVA7" s="397"/>
      <c r="NVB7" s="397"/>
      <c r="NVC7" s="397"/>
      <c r="NVD7" s="397"/>
      <c r="NVE7" s="397"/>
      <c r="NVF7" s="397"/>
      <c r="NVG7" s="397"/>
      <c r="NVH7" s="397"/>
      <c r="NVI7" s="397"/>
      <c r="NVJ7" s="397"/>
      <c r="NVK7" s="397"/>
      <c r="NVL7" s="397"/>
      <c r="NVM7" s="397"/>
      <c r="NVN7" s="397"/>
      <c r="NVO7" s="397"/>
      <c r="NVP7" s="397"/>
      <c r="NVQ7" s="397"/>
      <c r="NVR7" s="397"/>
      <c r="NVS7" s="397"/>
      <c r="NVT7" s="397"/>
      <c r="NVU7" s="397"/>
      <c r="NVV7" s="397"/>
      <c r="NVW7" s="397"/>
      <c r="NVX7" s="397"/>
      <c r="NVY7" s="397"/>
      <c r="NVZ7" s="397"/>
      <c r="NWA7" s="397"/>
      <c r="NWB7" s="397"/>
      <c r="NWC7" s="397"/>
      <c r="NWD7" s="397"/>
      <c r="NWE7" s="397"/>
      <c r="NWF7" s="397"/>
      <c r="NWG7" s="397"/>
      <c r="NWH7" s="397"/>
      <c r="NWI7" s="397"/>
      <c r="NWJ7" s="397"/>
      <c r="NWK7" s="397"/>
      <c r="NWL7" s="397"/>
      <c r="NWM7" s="397"/>
      <c r="NWN7" s="397"/>
      <c r="NWO7" s="397"/>
      <c r="NWP7" s="397"/>
      <c r="NWQ7" s="397"/>
      <c r="NWR7" s="397"/>
      <c r="NWS7" s="397"/>
      <c r="NWT7" s="397"/>
      <c r="NWU7" s="397"/>
      <c r="NWV7" s="397"/>
      <c r="NWW7" s="397"/>
      <c r="NWX7" s="397"/>
      <c r="NWY7" s="397"/>
      <c r="NWZ7" s="397"/>
      <c r="NXA7" s="397"/>
      <c r="NXB7" s="397"/>
      <c r="NXC7" s="397"/>
      <c r="NXD7" s="397"/>
      <c r="NXE7" s="397"/>
      <c r="NXF7" s="397"/>
      <c r="NXG7" s="397"/>
      <c r="NXH7" s="397"/>
      <c r="NXI7" s="397"/>
      <c r="NXJ7" s="397"/>
      <c r="NXK7" s="397"/>
      <c r="NXL7" s="397"/>
      <c r="NXM7" s="397"/>
      <c r="NXN7" s="397"/>
      <c r="NXO7" s="397"/>
      <c r="NXP7" s="397"/>
      <c r="NXQ7" s="397"/>
      <c r="NXR7" s="397"/>
      <c r="NXS7" s="397"/>
      <c r="NXT7" s="397"/>
      <c r="NXU7" s="397"/>
      <c r="NXV7" s="397"/>
      <c r="NXW7" s="397"/>
      <c r="NXX7" s="397"/>
      <c r="NXY7" s="397"/>
      <c r="NXZ7" s="397"/>
      <c r="NYA7" s="397"/>
      <c r="NYB7" s="397"/>
      <c r="NYC7" s="397"/>
      <c r="NYD7" s="397"/>
      <c r="NYE7" s="397"/>
      <c r="NYF7" s="397"/>
      <c r="NYG7" s="397"/>
      <c r="NYH7" s="397"/>
      <c r="NYI7" s="397"/>
      <c r="NYJ7" s="397"/>
      <c r="NYK7" s="397"/>
      <c r="NYL7" s="397"/>
      <c r="NYM7" s="397"/>
      <c r="NYN7" s="397"/>
      <c r="NYO7" s="397"/>
      <c r="NYP7" s="397"/>
      <c r="NYQ7" s="397"/>
      <c r="NYR7" s="397"/>
      <c r="NYS7" s="397"/>
      <c r="NYT7" s="397"/>
      <c r="NYU7" s="397"/>
      <c r="NYV7" s="397"/>
      <c r="NYW7" s="397"/>
      <c r="NYX7" s="397"/>
      <c r="NYY7" s="397"/>
      <c r="NYZ7" s="397"/>
      <c r="NZA7" s="397"/>
      <c r="NZB7" s="397"/>
      <c r="NZC7" s="397"/>
      <c r="NZD7" s="397"/>
      <c r="NZE7" s="397"/>
      <c r="NZF7" s="397"/>
      <c r="NZG7" s="397"/>
      <c r="NZH7" s="397"/>
      <c r="NZI7" s="397"/>
      <c r="NZJ7" s="397"/>
      <c r="NZK7" s="397"/>
      <c r="NZL7" s="397"/>
      <c r="NZM7" s="397"/>
      <c r="NZN7" s="397"/>
      <c r="NZO7" s="397"/>
      <c r="NZP7" s="397"/>
      <c r="NZQ7" s="397"/>
      <c r="NZR7" s="397"/>
      <c r="NZS7" s="397"/>
      <c r="NZT7" s="397"/>
      <c r="NZU7" s="397"/>
      <c r="NZV7" s="397"/>
      <c r="NZW7" s="397"/>
      <c r="NZX7" s="397"/>
      <c r="NZY7" s="397"/>
      <c r="NZZ7" s="397"/>
      <c r="OAA7" s="397"/>
      <c r="OAB7" s="397"/>
      <c r="OAC7" s="397"/>
      <c r="OAD7" s="397"/>
      <c r="OAE7" s="397"/>
      <c r="OAF7" s="397"/>
      <c r="OAG7" s="397"/>
      <c r="OAH7" s="397"/>
      <c r="OAI7" s="397"/>
      <c r="OAJ7" s="397"/>
      <c r="OAK7" s="397"/>
      <c r="OAL7" s="397"/>
      <c r="OAM7" s="397"/>
      <c r="OAN7" s="397"/>
      <c r="OAO7" s="397"/>
      <c r="OAP7" s="397"/>
      <c r="OAQ7" s="397"/>
      <c r="OAR7" s="397"/>
      <c r="OAS7" s="397"/>
      <c r="OAT7" s="397"/>
      <c r="OAU7" s="397"/>
      <c r="OAV7" s="397"/>
      <c r="OAW7" s="397"/>
      <c r="OAX7" s="397"/>
      <c r="OAY7" s="397"/>
      <c r="OAZ7" s="397"/>
      <c r="OBA7" s="397"/>
      <c r="OBB7" s="397"/>
      <c r="OBC7" s="397"/>
      <c r="OBD7" s="397"/>
      <c r="OBE7" s="397"/>
      <c r="OBF7" s="397"/>
      <c r="OBG7" s="397"/>
      <c r="OBH7" s="397"/>
      <c r="OBI7" s="397"/>
      <c r="OBJ7" s="397"/>
      <c r="OBK7" s="397"/>
      <c r="OBL7" s="397"/>
      <c r="OBM7" s="397"/>
      <c r="OBN7" s="397"/>
      <c r="OBO7" s="397"/>
      <c r="OBP7" s="397"/>
      <c r="OBQ7" s="397"/>
      <c r="OBR7" s="397"/>
      <c r="OBS7" s="397"/>
      <c r="OBT7" s="397"/>
      <c r="OBU7" s="397"/>
      <c r="OBV7" s="397"/>
      <c r="OBW7" s="397"/>
      <c r="OBX7" s="397"/>
      <c r="OBY7" s="397"/>
      <c r="OBZ7" s="397"/>
      <c r="OCA7" s="397"/>
      <c r="OCB7" s="397"/>
      <c r="OCC7" s="397"/>
      <c r="OCD7" s="397"/>
      <c r="OCE7" s="397"/>
      <c r="OCF7" s="397"/>
      <c r="OCG7" s="397"/>
      <c r="OCH7" s="397"/>
      <c r="OCI7" s="397"/>
      <c r="OCJ7" s="397"/>
      <c r="OCK7" s="397"/>
      <c r="OCL7" s="397"/>
      <c r="OCM7" s="397"/>
      <c r="OCN7" s="397"/>
      <c r="OCO7" s="397"/>
      <c r="OCP7" s="397"/>
      <c r="OCQ7" s="397"/>
      <c r="OCR7" s="397"/>
      <c r="OCS7" s="397"/>
      <c r="OCT7" s="397"/>
      <c r="OCU7" s="397"/>
      <c r="OCV7" s="397"/>
      <c r="OCW7" s="397"/>
      <c r="OCX7" s="397"/>
      <c r="OCY7" s="397"/>
      <c r="OCZ7" s="397"/>
      <c r="ODA7" s="397"/>
      <c r="ODB7" s="397"/>
      <c r="ODC7" s="397"/>
      <c r="ODD7" s="397"/>
      <c r="ODE7" s="397"/>
      <c r="ODF7" s="397"/>
      <c r="ODG7" s="397"/>
      <c r="ODH7" s="397"/>
      <c r="ODI7" s="397"/>
      <c r="ODJ7" s="397"/>
      <c r="ODK7" s="397"/>
      <c r="ODL7" s="397"/>
      <c r="ODM7" s="397"/>
      <c r="ODN7" s="397"/>
      <c r="ODO7" s="397"/>
      <c r="ODP7" s="397"/>
      <c r="ODQ7" s="397"/>
      <c r="ODR7" s="397"/>
      <c r="ODS7" s="397"/>
      <c r="ODT7" s="397"/>
      <c r="ODU7" s="397"/>
      <c r="ODV7" s="397"/>
      <c r="ODW7" s="397"/>
      <c r="ODX7" s="397"/>
      <c r="ODY7" s="397"/>
      <c r="ODZ7" s="397"/>
      <c r="OEA7" s="397"/>
      <c r="OEB7" s="397"/>
      <c r="OEC7" s="397"/>
      <c r="OED7" s="397"/>
      <c r="OEE7" s="397"/>
      <c r="OEF7" s="397"/>
      <c r="OEG7" s="397"/>
      <c r="OEH7" s="397"/>
      <c r="OEI7" s="397"/>
      <c r="OEJ7" s="397"/>
      <c r="OEK7" s="397"/>
      <c r="OEL7" s="397"/>
      <c r="OEM7" s="397"/>
      <c r="OEN7" s="397"/>
      <c r="OEO7" s="397"/>
      <c r="OEP7" s="397"/>
      <c r="OEQ7" s="397"/>
      <c r="OER7" s="397"/>
      <c r="OES7" s="397"/>
      <c r="OET7" s="397"/>
      <c r="OEU7" s="397"/>
      <c r="OEV7" s="397"/>
      <c r="OEW7" s="397"/>
      <c r="OEX7" s="397"/>
      <c r="OEY7" s="397"/>
      <c r="OEZ7" s="397"/>
      <c r="OFA7" s="397"/>
      <c r="OFB7" s="397"/>
      <c r="OFC7" s="397"/>
      <c r="OFD7" s="397"/>
      <c r="OFE7" s="397"/>
      <c r="OFF7" s="397"/>
      <c r="OFG7" s="397"/>
      <c r="OFH7" s="397"/>
      <c r="OFI7" s="397"/>
      <c r="OFJ7" s="397"/>
      <c r="OFK7" s="397"/>
      <c r="OFL7" s="397"/>
      <c r="OFM7" s="397"/>
      <c r="OFN7" s="397"/>
      <c r="OFO7" s="397"/>
      <c r="OFP7" s="397"/>
      <c r="OFQ7" s="397"/>
      <c r="OFR7" s="397"/>
      <c r="OFS7" s="397"/>
      <c r="OFT7" s="397"/>
      <c r="OFU7" s="397"/>
      <c r="OFV7" s="397"/>
      <c r="OFW7" s="397"/>
      <c r="OFX7" s="397"/>
      <c r="OFY7" s="397"/>
      <c r="OFZ7" s="397"/>
      <c r="OGA7" s="397"/>
      <c r="OGB7" s="397"/>
      <c r="OGC7" s="397"/>
      <c r="OGD7" s="397"/>
      <c r="OGE7" s="397"/>
      <c r="OGF7" s="397"/>
      <c r="OGG7" s="397"/>
      <c r="OGH7" s="397"/>
      <c r="OGI7" s="397"/>
      <c r="OGJ7" s="397"/>
      <c r="OGK7" s="397"/>
      <c r="OGL7" s="397"/>
      <c r="OGM7" s="397"/>
      <c r="OGN7" s="397"/>
      <c r="OGO7" s="397"/>
      <c r="OGP7" s="397"/>
      <c r="OGQ7" s="397"/>
      <c r="OGR7" s="397"/>
      <c r="OGS7" s="397"/>
      <c r="OGT7" s="397"/>
      <c r="OGU7" s="397"/>
      <c r="OGV7" s="397"/>
      <c r="OGW7" s="397"/>
      <c r="OGX7" s="397"/>
      <c r="OGY7" s="397"/>
      <c r="OGZ7" s="397"/>
      <c r="OHA7" s="397"/>
      <c r="OHB7" s="397"/>
      <c r="OHC7" s="397"/>
      <c r="OHD7" s="397"/>
      <c r="OHE7" s="397"/>
      <c r="OHF7" s="397"/>
      <c r="OHG7" s="397"/>
      <c r="OHH7" s="397"/>
      <c r="OHI7" s="397"/>
      <c r="OHJ7" s="397"/>
      <c r="OHK7" s="397"/>
      <c r="OHL7" s="397"/>
      <c r="OHM7" s="397"/>
      <c r="OHN7" s="397"/>
      <c r="OHO7" s="397"/>
      <c r="OHP7" s="397"/>
      <c r="OHQ7" s="397"/>
      <c r="OHR7" s="397"/>
      <c r="OHS7" s="397"/>
      <c r="OHT7" s="397"/>
      <c r="OHU7" s="397"/>
      <c r="OHV7" s="397"/>
      <c r="OHW7" s="397"/>
      <c r="OHX7" s="397"/>
      <c r="OHY7" s="397"/>
      <c r="OHZ7" s="397"/>
      <c r="OIA7" s="397"/>
      <c r="OIB7" s="397"/>
      <c r="OIC7" s="397"/>
      <c r="OID7" s="397"/>
      <c r="OIE7" s="397"/>
      <c r="OIF7" s="397"/>
      <c r="OIG7" s="397"/>
      <c r="OIH7" s="397"/>
      <c r="OII7" s="397"/>
      <c r="OIJ7" s="397"/>
      <c r="OIK7" s="397"/>
      <c r="OIL7" s="397"/>
      <c r="OIM7" s="397"/>
      <c r="OIN7" s="397"/>
      <c r="OIO7" s="397"/>
      <c r="OIP7" s="397"/>
      <c r="OIQ7" s="397"/>
      <c r="OIR7" s="397"/>
      <c r="OIS7" s="397"/>
      <c r="OIT7" s="397"/>
      <c r="OIU7" s="397"/>
      <c r="OIV7" s="397"/>
      <c r="OIW7" s="397"/>
      <c r="OIX7" s="397"/>
      <c r="OIY7" s="397"/>
      <c r="OIZ7" s="397"/>
      <c r="OJA7" s="397"/>
      <c r="OJB7" s="397"/>
      <c r="OJC7" s="397"/>
      <c r="OJD7" s="397"/>
      <c r="OJE7" s="397"/>
      <c r="OJF7" s="397"/>
      <c r="OJG7" s="397"/>
      <c r="OJH7" s="397"/>
      <c r="OJI7" s="397"/>
      <c r="OJJ7" s="397"/>
      <c r="OJK7" s="397"/>
      <c r="OJL7" s="397"/>
      <c r="OJM7" s="397"/>
      <c r="OJN7" s="397"/>
      <c r="OJO7" s="397"/>
      <c r="OJP7" s="397"/>
      <c r="OJQ7" s="397"/>
      <c r="OJR7" s="397"/>
      <c r="OJS7" s="397"/>
      <c r="OJT7" s="397"/>
      <c r="OJU7" s="397"/>
      <c r="OJV7" s="397"/>
      <c r="OJW7" s="397"/>
      <c r="OJX7" s="397"/>
      <c r="OJY7" s="397"/>
      <c r="OJZ7" s="397"/>
      <c r="OKA7" s="397"/>
      <c r="OKB7" s="397"/>
      <c r="OKC7" s="397"/>
      <c r="OKD7" s="397"/>
      <c r="OKE7" s="397"/>
      <c r="OKF7" s="397"/>
      <c r="OKG7" s="397"/>
      <c r="OKH7" s="397"/>
      <c r="OKI7" s="397"/>
      <c r="OKJ7" s="397"/>
      <c r="OKK7" s="397"/>
      <c r="OKL7" s="397"/>
      <c r="OKM7" s="397"/>
      <c r="OKN7" s="397"/>
      <c r="OKO7" s="397"/>
      <c r="OKP7" s="397"/>
      <c r="OKQ7" s="397"/>
      <c r="OKR7" s="397"/>
      <c r="OKS7" s="397"/>
      <c r="OKT7" s="397"/>
      <c r="OKU7" s="397"/>
      <c r="OKV7" s="397"/>
      <c r="OKW7" s="397"/>
      <c r="OKX7" s="397"/>
      <c r="OKY7" s="397"/>
      <c r="OKZ7" s="397"/>
      <c r="OLA7" s="397"/>
      <c r="OLB7" s="397"/>
      <c r="OLC7" s="397"/>
      <c r="OLD7" s="397"/>
      <c r="OLE7" s="397"/>
      <c r="OLF7" s="397"/>
      <c r="OLG7" s="397"/>
      <c r="OLH7" s="397"/>
      <c r="OLI7" s="397"/>
      <c r="OLJ7" s="397"/>
      <c r="OLK7" s="397"/>
      <c r="OLL7" s="397"/>
      <c r="OLM7" s="397"/>
      <c r="OLN7" s="397"/>
      <c r="OLO7" s="397"/>
      <c r="OLP7" s="397"/>
      <c r="OLQ7" s="397"/>
      <c r="OLR7" s="397"/>
      <c r="OLS7" s="397"/>
      <c r="OLT7" s="397"/>
      <c r="OLU7" s="397"/>
      <c r="OLV7" s="397"/>
      <c r="OLW7" s="397"/>
      <c r="OLX7" s="397"/>
      <c r="OLY7" s="397"/>
      <c r="OLZ7" s="397"/>
      <c r="OMA7" s="397"/>
      <c r="OMB7" s="397"/>
      <c r="OMC7" s="397"/>
      <c r="OMD7" s="397"/>
      <c r="OME7" s="397"/>
      <c r="OMF7" s="397"/>
      <c r="OMG7" s="397"/>
      <c r="OMH7" s="397"/>
      <c r="OMI7" s="397"/>
      <c r="OMJ7" s="397"/>
      <c r="OMK7" s="397"/>
      <c r="OML7" s="397"/>
      <c r="OMM7" s="397"/>
      <c r="OMN7" s="397"/>
      <c r="OMO7" s="397"/>
      <c r="OMP7" s="397"/>
      <c r="OMQ7" s="397"/>
      <c r="OMR7" s="397"/>
      <c r="OMS7" s="397"/>
      <c r="OMT7" s="397"/>
      <c r="OMU7" s="397"/>
      <c r="OMV7" s="397"/>
      <c r="OMW7" s="397"/>
      <c r="OMX7" s="397"/>
      <c r="OMY7" s="397"/>
      <c r="OMZ7" s="397"/>
      <c r="ONA7" s="397"/>
      <c r="ONB7" s="397"/>
      <c r="ONC7" s="397"/>
      <c r="OND7" s="397"/>
      <c r="ONE7" s="397"/>
      <c r="ONF7" s="397"/>
      <c r="ONG7" s="397"/>
      <c r="ONH7" s="397"/>
      <c r="ONI7" s="397"/>
      <c r="ONJ7" s="397"/>
      <c r="ONK7" s="397"/>
      <c r="ONL7" s="397"/>
      <c r="ONM7" s="397"/>
      <c r="ONN7" s="397"/>
      <c r="ONO7" s="397"/>
      <c r="ONP7" s="397"/>
      <c r="ONQ7" s="397"/>
      <c r="ONR7" s="397"/>
      <c r="ONS7" s="397"/>
      <c r="ONT7" s="397"/>
      <c r="ONU7" s="397"/>
      <c r="ONV7" s="397"/>
      <c r="ONW7" s="397"/>
      <c r="ONX7" s="397"/>
      <c r="ONY7" s="397"/>
      <c r="ONZ7" s="397"/>
      <c r="OOA7" s="397"/>
      <c r="OOB7" s="397"/>
      <c r="OOC7" s="397"/>
      <c r="OOD7" s="397"/>
      <c r="OOE7" s="397"/>
      <c r="OOF7" s="397"/>
      <c r="OOG7" s="397"/>
      <c r="OOH7" s="397"/>
      <c r="OOI7" s="397"/>
      <c r="OOJ7" s="397"/>
      <c r="OOK7" s="397"/>
      <c r="OOL7" s="397"/>
      <c r="OOM7" s="397"/>
      <c r="OON7" s="397"/>
      <c r="OOO7" s="397"/>
      <c r="OOP7" s="397"/>
      <c r="OOQ7" s="397"/>
      <c r="OOR7" s="397"/>
      <c r="OOS7" s="397"/>
      <c r="OOT7" s="397"/>
      <c r="OOU7" s="397"/>
      <c r="OOV7" s="397"/>
      <c r="OOW7" s="397"/>
      <c r="OOX7" s="397"/>
      <c r="OOY7" s="397"/>
      <c r="OOZ7" s="397"/>
      <c r="OPA7" s="397"/>
      <c r="OPB7" s="397"/>
      <c r="OPC7" s="397"/>
      <c r="OPD7" s="397"/>
      <c r="OPE7" s="397"/>
      <c r="OPF7" s="397"/>
      <c r="OPG7" s="397"/>
      <c r="OPH7" s="397"/>
      <c r="OPI7" s="397"/>
      <c r="OPJ7" s="397"/>
      <c r="OPK7" s="397"/>
      <c r="OPL7" s="397"/>
      <c r="OPM7" s="397"/>
      <c r="OPN7" s="397"/>
      <c r="OPO7" s="397"/>
      <c r="OPP7" s="397"/>
      <c r="OPQ7" s="397"/>
      <c r="OPR7" s="397"/>
      <c r="OPS7" s="397"/>
      <c r="OPT7" s="397"/>
      <c r="OPU7" s="397"/>
      <c r="OPV7" s="397"/>
      <c r="OPW7" s="397"/>
      <c r="OPX7" s="397"/>
      <c r="OPY7" s="397"/>
      <c r="OPZ7" s="397"/>
      <c r="OQA7" s="397"/>
      <c r="OQB7" s="397"/>
      <c r="OQC7" s="397"/>
      <c r="OQD7" s="397"/>
      <c r="OQE7" s="397"/>
      <c r="OQF7" s="397"/>
      <c r="OQG7" s="397"/>
      <c r="OQH7" s="397"/>
      <c r="OQI7" s="397"/>
      <c r="OQJ7" s="397"/>
      <c r="OQK7" s="397"/>
      <c r="OQL7" s="397"/>
      <c r="OQM7" s="397"/>
      <c r="OQN7" s="397"/>
      <c r="OQO7" s="397"/>
      <c r="OQP7" s="397"/>
      <c r="OQQ7" s="397"/>
      <c r="OQR7" s="397"/>
      <c r="OQS7" s="397"/>
      <c r="OQT7" s="397"/>
      <c r="OQU7" s="397"/>
      <c r="OQV7" s="397"/>
      <c r="OQW7" s="397"/>
      <c r="OQX7" s="397"/>
      <c r="OQY7" s="397"/>
      <c r="OQZ7" s="397"/>
      <c r="ORA7" s="397"/>
      <c r="ORB7" s="397"/>
      <c r="ORC7" s="397"/>
      <c r="ORD7" s="397"/>
      <c r="ORE7" s="397"/>
      <c r="ORF7" s="397"/>
      <c r="ORG7" s="397"/>
      <c r="ORH7" s="397"/>
      <c r="ORI7" s="397"/>
      <c r="ORJ7" s="397"/>
      <c r="ORK7" s="397"/>
      <c r="ORL7" s="397"/>
      <c r="ORM7" s="397"/>
      <c r="ORN7" s="397"/>
      <c r="ORO7" s="397"/>
      <c r="ORP7" s="397"/>
      <c r="ORQ7" s="397"/>
      <c r="ORR7" s="397"/>
      <c r="ORS7" s="397"/>
      <c r="ORT7" s="397"/>
      <c r="ORU7" s="397"/>
      <c r="ORV7" s="397"/>
      <c r="ORW7" s="397"/>
      <c r="ORX7" s="397"/>
      <c r="ORY7" s="397"/>
      <c r="ORZ7" s="397"/>
      <c r="OSA7" s="397"/>
      <c r="OSB7" s="397"/>
      <c r="OSC7" s="397"/>
      <c r="OSD7" s="397"/>
      <c r="OSE7" s="397"/>
      <c r="OSF7" s="397"/>
      <c r="OSG7" s="397"/>
      <c r="OSH7" s="397"/>
      <c r="OSI7" s="397"/>
      <c r="OSJ7" s="397"/>
      <c r="OSK7" s="397"/>
      <c r="OSL7" s="397"/>
      <c r="OSM7" s="397"/>
      <c r="OSN7" s="397"/>
      <c r="OSO7" s="397"/>
      <c r="OSP7" s="397"/>
      <c r="OSQ7" s="397"/>
      <c r="OSR7" s="397"/>
      <c r="OSS7" s="397"/>
      <c r="OST7" s="397"/>
      <c r="OSU7" s="397"/>
      <c r="OSV7" s="397"/>
      <c r="OSW7" s="397"/>
      <c r="OSX7" s="397"/>
      <c r="OSY7" s="397"/>
      <c r="OSZ7" s="397"/>
      <c r="OTA7" s="397"/>
      <c r="OTB7" s="397"/>
      <c r="OTC7" s="397"/>
      <c r="OTD7" s="397"/>
      <c r="OTE7" s="397"/>
      <c r="OTF7" s="397"/>
      <c r="OTG7" s="397"/>
      <c r="OTH7" s="397"/>
      <c r="OTI7" s="397"/>
      <c r="OTJ7" s="397"/>
      <c r="OTK7" s="397"/>
      <c r="OTL7" s="397"/>
      <c r="OTM7" s="397"/>
      <c r="OTN7" s="397"/>
      <c r="OTO7" s="397"/>
      <c r="OTP7" s="397"/>
      <c r="OTQ7" s="397"/>
      <c r="OTR7" s="397"/>
      <c r="OTS7" s="397"/>
      <c r="OTT7" s="397"/>
      <c r="OTU7" s="397"/>
      <c r="OTV7" s="397"/>
      <c r="OTW7" s="397"/>
      <c r="OTX7" s="397"/>
      <c r="OTY7" s="397"/>
      <c r="OTZ7" s="397"/>
      <c r="OUA7" s="397"/>
      <c r="OUB7" s="397"/>
      <c r="OUC7" s="397"/>
      <c r="OUD7" s="397"/>
      <c r="OUE7" s="397"/>
      <c r="OUF7" s="397"/>
      <c r="OUG7" s="397"/>
      <c r="OUH7" s="397"/>
      <c r="OUI7" s="397"/>
      <c r="OUJ7" s="397"/>
      <c r="OUK7" s="397"/>
      <c r="OUL7" s="397"/>
      <c r="OUM7" s="397"/>
      <c r="OUN7" s="397"/>
      <c r="OUO7" s="397"/>
      <c r="OUP7" s="397"/>
      <c r="OUQ7" s="397"/>
      <c r="OUR7" s="397"/>
      <c r="OUS7" s="397"/>
      <c r="OUT7" s="397"/>
      <c r="OUU7" s="397"/>
      <c r="OUV7" s="397"/>
      <c r="OUW7" s="397"/>
      <c r="OUX7" s="397"/>
      <c r="OUY7" s="397"/>
      <c r="OUZ7" s="397"/>
      <c r="OVA7" s="397"/>
      <c r="OVB7" s="397"/>
      <c r="OVC7" s="397"/>
      <c r="OVD7" s="397"/>
      <c r="OVE7" s="397"/>
      <c r="OVF7" s="397"/>
      <c r="OVG7" s="397"/>
      <c r="OVH7" s="397"/>
      <c r="OVI7" s="397"/>
      <c r="OVJ7" s="397"/>
      <c r="OVK7" s="397"/>
      <c r="OVL7" s="397"/>
      <c r="OVM7" s="397"/>
      <c r="OVN7" s="397"/>
      <c r="OVO7" s="397"/>
      <c r="OVP7" s="397"/>
      <c r="OVQ7" s="397"/>
      <c r="OVR7" s="397"/>
      <c r="OVS7" s="397"/>
      <c r="OVT7" s="397"/>
      <c r="OVU7" s="397"/>
      <c r="OVV7" s="397"/>
      <c r="OVW7" s="397"/>
      <c r="OVX7" s="397"/>
      <c r="OVY7" s="397"/>
      <c r="OVZ7" s="397"/>
      <c r="OWA7" s="397"/>
      <c r="OWB7" s="397"/>
      <c r="OWC7" s="397"/>
      <c r="OWD7" s="397"/>
      <c r="OWE7" s="397"/>
      <c r="OWF7" s="397"/>
      <c r="OWG7" s="397"/>
      <c r="OWH7" s="397"/>
      <c r="OWI7" s="397"/>
      <c r="OWJ7" s="397"/>
      <c r="OWK7" s="397"/>
      <c r="OWL7" s="397"/>
      <c r="OWM7" s="397"/>
      <c r="OWN7" s="397"/>
      <c r="OWO7" s="397"/>
      <c r="OWP7" s="397"/>
      <c r="OWQ7" s="397"/>
      <c r="OWR7" s="397"/>
      <c r="OWS7" s="397"/>
      <c r="OWT7" s="397"/>
      <c r="OWU7" s="397"/>
      <c r="OWV7" s="397"/>
      <c r="OWW7" s="397"/>
      <c r="OWX7" s="397"/>
      <c r="OWY7" s="397"/>
      <c r="OWZ7" s="397"/>
      <c r="OXA7" s="397"/>
      <c r="OXB7" s="397"/>
      <c r="OXC7" s="397"/>
      <c r="OXD7" s="397"/>
      <c r="OXE7" s="397"/>
      <c r="OXF7" s="397"/>
      <c r="OXG7" s="397"/>
      <c r="OXH7" s="397"/>
      <c r="OXI7" s="397"/>
      <c r="OXJ7" s="397"/>
      <c r="OXK7" s="397"/>
      <c r="OXL7" s="397"/>
      <c r="OXM7" s="397"/>
      <c r="OXN7" s="397"/>
      <c r="OXO7" s="397"/>
      <c r="OXP7" s="397"/>
      <c r="OXQ7" s="397"/>
      <c r="OXR7" s="397"/>
      <c r="OXS7" s="397"/>
      <c r="OXT7" s="397"/>
      <c r="OXU7" s="397"/>
      <c r="OXV7" s="397"/>
      <c r="OXW7" s="397"/>
      <c r="OXX7" s="397"/>
      <c r="OXY7" s="397"/>
      <c r="OXZ7" s="397"/>
      <c r="OYA7" s="397"/>
      <c r="OYB7" s="397"/>
      <c r="OYC7" s="397"/>
      <c r="OYD7" s="397"/>
      <c r="OYE7" s="397"/>
      <c r="OYF7" s="397"/>
      <c r="OYG7" s="397"/>
      <c r="OYH7" s="397"/>
      <c r="OYI7" s="397"/>
      <c r="OYJ7" s="397"/>
      <c r="OYK7" s="397"/>
      <c r="OYL7" s="397"/>
      <c r="OYM7" s="397"/>
      <c r="OYN7" s="397"/>
      <c r="OYO7" s="397"/>
      <c r="OYP7" s="397"/>
      <c r="OYQ7" s="397"/>
      <c r="OYR7" s="397"/>
      <c r="OYS7" s="397"/>
      <c r="OYT7" s="397"/>
      <c r="OYU7" s="397"/>
      <c r="OYV7" s="397"/>
      <c r="OYW7" s="397"/>
      <c r="OYX7" s="397"/>
      <c r="OYY7" s="397"/>
      <c r="OYZ7" s="397"/>
      <c r="OZA7" s="397"/>
      <c r="OZB7" s="397"/>
      <c r="OZC7" s="397"/>
      <c r="OZD7" s="397"/>
      <c r="OZE7" s="397"/>
      <c r="OZF7" s="397"/>
      <c r="OZG7" s="397"/>
      <c r="OZH7" s="397"/>
      <c r="OZI7" s="397"/>
      <c r="OZJ7" s="397"/>
      <c r="OZK7" s="397"/>
      <c r="OZL7" s="397"/>
      <c r="OZM7" s="397"/>
      <c r="OZN7" s="397"/>
      <c r="OZO7" s="397"/>
      <c r="OZP7" s="397"/>
      <c r="OZQ7" s="397"/>
      <c r="OZR7" s="397"/>
      <c r="OZS7" s="397"/>
      <c r="OZT7" s="397"/>
      <c r="OZU7" s="397"/>
      <c r="OZV7" s="397"/>
      <c r="OZW7" s="397"/>
      <c r="OZX7" s="397"/>
      <c r="OZY7" s="397"/>
      <c r="OZZ7" s="397"/>
      <c r="PAA7" s="397"/>
      <c r="PAB7" s="397"/>
      <c r="PAC7" s="397"/>
      <c r="PAD7" s="397"/>
      <c r="PAE7" s="397"/>
      <c r="PAF7" s="397"/>
      <c r="PAG7" s="397"/>
      <c r="PAH7" s="397"/>
      <c r="PAI7" s="397"/>
      <c r="PAJ7" s="397"/>
      <c r="PAK7" s="397"/>
      <c r="PAL7" s="397"/>
      <c r="PAM7" s="397"/>
      <c r="PAN7" s="397"/>
      <c r="PAO7" s="397"/>
      <c r="PAP7" s="397"/>
      <c r="PAQ7" s="397"/>
      <c r="PAR7" s="397"/>
      <c r="PAS7" s="397"/>
      <c r="PAT7" s="397"/>
      <c r="PAU7" s="397"/>
      <c r="PAV7" s="397"/>
      <c r="PAW7" s="397"/>
      <c r="PAX7" s="397"/>
      <c r="PAY7" s="397"/>
      <c r="PAZ7" s="397"/>
      <c r="PBA7" s="397"/>
      <c r="PBB7" s="397"/>
      <c r="PBC7" s="397"/>
      <c r="PBD7" s="397"/>
      <c r="PBE7" s="397"/>
      <c r="PBF7" s="397"/>
      <c r="PBG7" s="397"/>
      <c r="PBH7" s="397"/>
      <c r="PBI7" s="397"/>
      <c r="PBJ7" s="397"/>
      <c r="PBK7" s="397"/>
      <c r="PBL7" s="397"/>
      <c r="PBM7" s="397"/>
      <c r="PBN7" s="397"/>
      <c r="PBO7" s="397"/>
      <c r="PBP7" s="397"/>
      <c r="PBQ7" s="397"/>
      <c r="PBR7" s="397"/>
      <c r="PBS7" s="397"/>
      <c r="PBT7" s="397"/>
      <c r="PBU7" s="397"/>
      <c r="PBV7" s="397"/>
      <c r="PBW7" s="397"/>
      <c r="PBX7" s="397"/>
      <c r="PBY7" s="397"/>
      <c r="PBZ7" s="397"/>
      <c r="PCA7" s="397"/>
      <c r="PCB7" s="397"/>
      <c r="PCC7" s="397"/>
      <c r="PCD7" s="397"/>
      <c r="PCE7" s="397"/>
      <c r="PCF7" s="397"/>
      <c r="PCG7" s="397"/>
      <c r="PCH7" s="397"/>
      <c r="PCI7" s="397"/>
      <c r="PCJ7" s="397"/>
      <c r="PCK7" s="397"/>
      <c r="PCL7" s="397"/>
      <c r="PCM7" s="397"/>
      <c r="PCN7" s="397"/>
      <c r="PCO7" s="397"/>
      <c r="PCP7" s="397"/>
      <c r="PCQ7" s="397"/>
      <c r="PCR7" s="397"/>
      <c r="PCS7" s="397"/>
      <c r="PCT7" s="397"/>
      <c r="PCU7" s="397"/>
      <c r="PCV7" s="397"/>
      <c r="PCW7" s="397"/>
      <c r="PCX7" s="397"/>
      <c r="PCY7" s="397"/>
      <c r="PCZ7" s="397"/>
      <c r="PDA7" s="397"/>
      <c r="PDB7" s="397"/>
      <c r="PDC7" s="397"/>
      <c r="PDD7" s="397"/>
      <c r="PDE7" s="397"/>
      <c r="PDF7" s="397"/>
      <c r="PDG7" s="397"/>
      <c r="PDH7" s="397"/>
      <c r="PDI7" s="397"/>
      <c r="PDJ7" s="397"/>
      <c r="PDK7" s="397"/>
      <c r="PDL7" s="397"/>
      <c r="PDM7" s="397"/>
      <c r="PDN7" s="397"/>
      <c r="PDO7" s="397"/>
      <c r="PDP7" s="397"/>
      <c r="PDQ7" s="397"/>
      <c r="PDR7" s="397"/>
      <c r="PDS7" s="397"/>
      <c r="PDT7" s="397"/>
      <c r="PDU7" s="397"/>
      <c r="PDV7" s="397"/>
      <c r="PDW7" s="397"/>
      <c r="PDX7" s="397"/>
      <c r="PDY7" s="397"/>
      <c r="PDZ7" s="397"/>
      <c r="PEA7" s="397"/>
      <c r="PEB7" s="397"/>
      <c r="PEC7" s="397"/>
      <c r="PED7" s="397"/>
      <c r="PEE7" s="397"/>
      <c r="PEF7" s="397"/>
      <c r="PEG7" s="397"/>
      <c r="PEH7" s="397"/>
      <c r="PEI7" s="397"/>
      <c r="PEJ7" s="397"/>
      <c r="PEK7" s="397"/>
      <c r="PEL7" s="397"/>
      <c r="PEM7" s="397"/>
      <c r="PEN7" s="397"/>
      <c r="PEO7" s="397"/>
      <c r="PEP7" s="397"/>
      <c r="PEQ7" s="397"/>
      <c r="PER7" s="397"/>
      <c r="PES7" s="397"/>
      <c r="PET7" s="397"/>
      <c r="PEU7" s="397"/>
      <c r="PEV7" s="397"/>
      <c r="PEW7" s="397"/>
      <c r="PEX7" s="397"/>
      <c r="PEY7" s="397"/>
      <c r="PEZ7" s="397"/>
      <c r="PFA7" s="397"/>
      <c r="PFB7" s="397"/>
      <c r="PFC7" s="397"/>
      <c r="PFD7" s="397"/>
      <c r="PFE7" s="397"/>
      <c r="PFF7" s="397"/>
      <c r="PFG7" s="397"/>
      <c r="PFH7" s="397"/>
      <c r="PFI7" s="397"/>
      <c r="PFJ7" s="397"/>
      <c r="PFK7" s="397"/>
      <c r="PFL7" s="397"/>
      <c r="PFM7" s="397"/>
      <c r="PFN7" s="397"/>
      <c r="PFO7" s="397"/>
      <c r="PFP7" s="397"/>
      <c r="PFQ7" s="397"/>
      <c r="PFR7" s="397"/>
      <c r="PFS7" s="397"/>
      <c r="PFT7" s="397"/>
      <c r="PFU7" s="397"/>
      <c r="PFV7" s="397"/>
      <c r="PFW7" s="397"/>
      <c r="PFX7" s="397"/>
      <c r="PFY7" s="397"/>
      <c r="PFZ7" s="397"/>
      <c r="PGA7" s="397"/>
      <c r="PGB7" s="397"/>
      <c r="PGC7" s="397"/>
      <c r="PGD7" s="397"/>
      <c r="PGE7" s="397"/>
      <c r="PGF7" s="397"/>
      <c r="PGG7" s="397"/>
      <c r="PGH7" s="397"/>
      <c r="PGI7" s="397"/>
      <c r="PGJ7" s="397"/>
      <c r="PGK7" s="397"/>
      <c r="PGL7" s="397"/>
      <c r="PGM7" s="397"/>
      <c r="PGN7" s="397"/>
      <c r="PGO7" s="397"/>
      <c r="PGP7" s="397"/>
      <c r="PGQ7" s="397"/>
      <c r="PGR7" s="397"/>
      <c r="PGS7" s="397"/>
      <c r="PGT7" s="397"/>
      <c r="PGU7" s="397"/>
      <c r="PGV7" s="397"/>
      <c r="PGW7" s="397"/>
      <c r="PGX7" s="397"/>
      <c r="PGY7" s="397"/>
      <c r="PGZ7" s="397"/>
      <c r="PHA7" s="397"/>
      <c r="PHB7" s="397"/>
      <c r="PHC7" s="397"/>
      <c r="PHD7" s="397"/>
      <c r="PHE7" s="397"/>
      <c r="PHF7" s="397"/>
      <c r="PHG7" s="397"/>
      <c r="PHH7" s="397"/>
      <c r="PHI7" s="397"/>
      <c r="PHJ7" s="397"/>
      <c r="PHK7" s="397"/>
      <c r="PHL7" s="397"/>
      <c r="PHM7" s="397"/>
      <c r="PHN7" s="397"/>
      <c r="PHO7" s="397"/>
      <c r="PHP7" s="397"/>
      <c r="PHQ7" s="397"/>
      <c r="PHR7" s="397"/>
      <c r="PHS7" s="397"/>
      <c r="PHT7" s="397"/>
      <c r="PHU7" s="397"/>
      <c r="PHV7" s="397"/>
      <c r="PHW7" s="397"/>
      <c r="PHX7" s="397"/>
      <c r="PHY7" s="397"/>
      <c r="PHZ7" s="397"/>
      <c r="PIA7" s="397"/>
      <c r="PIB7" s="397"/>
      <c r="PIC7" s="397"/>
      <c r="PID7" s="397"/>
      <c r="PIE7" s="397"/>
      <c r="PIF7" s="397"/>
      <c r="PIG7" s="397"/>
      <c r="PIH7" s="397"/>
      <c r="PII7" s="397"/>
      <c r="PIJ7" s="397"/>
      <c r="PIK7" s="397"/>
      <c r="PIL7" s="397"/>
      <c r="PIM7" s="397"/>
      <c r="PIN7" s="397"/>
      <c r="PIO7" s="397"/>
      <c r="PIP7" s="397"/>
      <c r="PIQ7" s="397"/>
      <c r="PIR7" s="397"/>
      <c r="PIS7" s="397"/>
      <c r="PIT7" s="397"/>
      <c r="PIU7" s="397"/>
      <c r="PIV7" s="397"/>
      <c r="PIW7" s="397"/>
      <c r="PIX7" s="397"/>
      <c r="PIY7" s="397"/>
      <c r="PIZ7" s="397"/>
      <c r="PJA7" s="397"/>
      <c r="PJB7" s="397"/>
      <c r="PJC7" s="397"/>
      <c r="PJD7" s="397"/>
      <c r="PJE7" s="397"/>
      <c r="PJF7" s="397"/>
      <c r="PJG7" s="397"/>
      <c r="PJH7" s="397"/>
      <c r="PJI7" s="397"/>
      <c r="PJJ7" s="397"/>
      <c r="PJK7" s="397"/>
      <c r="PJL7" s="397"/>
      <c r="PJM7" s="397"/>
      <c r="PJN7" s="397"/>
      <c r="PJO7" s="397"/>
      <c r="PJP7" s="397"/>
      <c r="PJQ7" s="397"/>
      <c r="PJR7" s="397"/>
      <c r="PJS7" s="397"/>
      <c r="PJT7" s="397"/>
      <c r="PJU7" s="397"/>
      <c r="PJV7" s="397"/>
      <c r="PJW7" s="397"/>
      <c r="PJX7" s="397"/>
      <c r="PJY7" s="397"/>
      <c r="PJZ7" s="397"/>
      <c r="PKA7" s="397"/>
      <c r="PKB7" s="397"/>
      <c r="PKC7" s="397"/>
      <c r="PKD7" s="397"/>
      <c r="PKE7" s="397"/>
      <c r="PKF7" s="397"/>
      <c r="PKG7" s="397"/>
      <c r="PKH7" s="397"/>
      <c r="PKI7" s="397"/>
      <c r="PKJ7" s="397"/>
      <c r="PKK7" s="397"/>
      <c r="PKL7" s="397"/>
      <c r="PKM7" s="397"/>
      <c r="PKN7" s="397"/>
      <c r="PKO7" s="397"/>
      <c r="PKP7" s="397"/>
      <c r="PKQ7" s="397"/>
      <c r="PKR7" s="397"/>
      <c r="PKS7" s="397"/>
      <c r="PKT7" s="397"/>
      <c r="PKU7" s="397"/>
      <c r="PKV7" s="397"/>
      <c r="PKW7" s="397"/>
      <c r="PKX7" s="397"/>
      <c r="PKY7" s="397"/>
      <c r="PKZ7" s="397"/>
      <c r="PLA7" s="397"/>
      <c r="PLB7" s="397"/>
      <c r="PLC7" s="397"/>
      <c r="PLD7" s="397"/>
      <c r="PLE7" s="397"/>
      <c r="PLF7" s="397"/>
      <c r="PLG7" s="397"/>
      <c r="PLH7" s="397"/>
      <c r="PLI7" s="397"/>
      <c r="PLJ7" s="397"/>
      <c r="PLK7" s="397"/>
      <c r="PLL7" s="397"/>
      <c r="PLM7" s="397"/>
      <c r="PLN7" s="397"/>
      <c r="PLO7" s="397"/>
      <c r="PLP7" s="397"/>
      <c r="PLQ7" s="397"/>
      <c r="PLR7" s="397"/>
      <c r="PLS7" s="397"/>
      <c r="PLT7" s="397"/>
      <c r="PLU7" s="397"/>
      <c r="PLV7" s="397"/>
      <c r="PLW7" s="397"/>
      <c r="PLX7" s="397"/>
      <c r="PLY7" s="397"/>
      <c r="PLZ7" s="397"/>
      <c r="PMA7" s="397"/>
      <c r="PMB7" s="397"/>
      <c r="PMC7" s="397"/>
      <c r="PMD7" s="397"/>
      <c r="PME7" s="397"/>
      <c r="PMF7" s="397"/>
      <c r="PMG7" s="397"/>
      <c r="PMH7" s="397"/>
      <c r="PMI7" s="397"/>
      <c r="PMJ7" s="397"/>
      <c r="PMK7" s="397"/>
      <c r="PML7" s="397"/>
      <c r="PMM7" s="397"/>
      <c r="PMN7" s="397"/>
      <c r="PMO7" s="397"/>
      <c r="PMP7" s="397"/>
      <c r="PMQ7" s="397"/>
      <c r="PMR7" s="397"/>
      <c r="PMS7" s="397"/>
      <c r="PMT7" s="397"/>
      <c r="PMU7" s="397"/>
      <c r="PMV7" s="397"/>
      <c r="PMW7" s="397"/>
      <c r="PMX7" s="397"/>
      <c r="PMY7" s="397"/>
      <c r="PMZ7" s="397"/>
      <c r="PNA7" s="397"/>
      <c r="PNB7" s="397"/>
      <c r="PNC7" s="397"/>
      <c r="PND7" s="397"/>
      <c r="PNE7" s="397"/>
      <c r="PNF7" s="397"/>
      <c r="PNG7" s="397"/>
      <c r="PNH7" s="397"/>
      <c r="PNI7" s="397"/>
      <c r="PNJ7" s="397"/>
      <c r="PNK7" s="397"/>
      <c r="PNL7" s="397"/>
      <c r="PNM7" s="397"/>
      <c r="PNN7" s="397"/>
      <c r="PNO7" s="397"/>
      <c r="PNP7" s="397"/>
      <c r="PNQ7" s="397"/>
      <c r="PNR7" s="397"/>
      <c r="PNS7" s="397"/>
      <c r="PNT7" s="397"/>
      <c r="PNU7" s="397"/>
      <c r="PNV7" s="397"/>
      <c r="PNW7" s="397"/>
      <c r="PNX7" s="397"/>
      <c r="PNY7" s="397"/>
      <c r="PNZ7" s="397"/>
      <c r="POA7" s="397"/>
      <c r="POB7" s="397"/>
      <c r="POC7" s="397"/>
      <c r="POD7" s="397"/>
      <c r="POE7" s="397"/>
      <c r="POF7" s="397"/>
      <c r="POG7" s="397"/>
      <c r="POH7" s="397"/>
      <c r="POI7" s="397"/>
      <c r="POJ7" s="397"/>
      <c r="POK7" s="397"/>
      <c r="POL7" s="397"/>
      <c r="POM7" s="397"/>
      <c r="PON7" s="397"/>
      <c r="POO7" s="397"/>
      <c r="POP7" s="397"/>
      <c r="POQ7" s="397"/>
      <c r="POR7" s="397"/>
      <c r="POS7" s="397"/>
      <c r="POT7" s="397"/>
      <c r="POU7" s="397"/>
      <c r="POV7" s="397"/>
      <c r="POW7" s="397"/>
      <c r="POX7" s="397"/>
      <c r="POY7" s="397"/>
      <c r="POZ7" s="397"/>
      <c r="PPA7" s="397"/>
      <c r="PPB7" s="397"/>
      <c r="PPC7" s="397"/>
      <c r="PPD7" s="397"/>
      <c r="PPE7" s="397"/>
      <c r="PPF7" s="397"/>
      <c r="PPG7" s="397"/>
      <c r="PPH7" s="397"/>
      <c r="PPI7" s="397"/>
      <c r="PPJ7" s="397"/>
      <c r="PPK7" s="397"/>
      <c r="PPL7" s="397"/>
      <c r="PPM7" s="397"/>
      <c r="PPN7" s="397"/>
      <c r="PPO7" s="397"/>
      <c r="PPP7" s="397"/>
      <c r="PPQ7" s="397"/>
      <c r="PPR7" s="397"/>
      <c r="PPS7" s="397"/>
      <c r="PPT7" s="397"/>
      <c r="PPU7" s="397"/>
      <c r="PPV7" s="397"/>
      <c r="PPW7" s="397"/>
      <c r="PPX7" s="397"/>
      <c r="PPY7" s="397"/>
      <c r="PPZ7" s="397"/>
      <c r="PQA7" s="397"/>
      <c r="PQB7" s="397"/>
      <c r="PQC7" s="397"/>
      <c r="PQD7" s="397"/>
      <c r="PQE7" s="397"/>
      <c r="PQF7" s="397"/>
      <c r="PQG7" s="397"/>
      <c r="PQH7" s="397"/>
      <c r="PQI7" s="397"/>
      <c r="PQJ7" s="397"/>
      <c r="PQK7" s="397"/>
      <c r="PQL7" s="397"/>
      <c r="PQM7" s="397"/>
      <c r="PQN7" s="397"/>
      <c r="PQO7" s="397"/>
      <c r="PQP7" s="397"/>
      <c r="PQQ7" s="397"/>
      <c r="PQR7" s="397"/>
      <c r="PQS7" s="397"/>
      <c r="PQT7" s="397"/>
      <c r="PQU7" s="397"/>
      <c r="PQV7" s="397"/>
      <c r="PQW7" s="397"/>
      <c r="PQX7" s="397"/>
      <c r="PQY7" s="397"/>
      <c r="PQZ7" s="397"/>
      <c r="PRA7" s="397"/>
      <c r="PRB7" s="397"/>
      <c r="PRC7" s="397"/>
      <c r="PRD7" s="397"/>
      <c r="PRE7" s="397"/>
      <c r="PRF7" s="397"/>
      <c r="PRG7" s="397"/>
      <c r="PRH7" s="397"/>
      <c r="PRI7" s="397"/>
      <c r="PRJ7" s="397"/>
      <c r="PRK7" s="397"/>
      <c r="PRL7" s="397"/>
      <c r="PRM7" s="397"/>
      <c r="PRN7" s="397"/>
      <c r="PRO7" s="397"/>
      <c r="PRP7" s="397"/>
      <c r="PRQ7" s="397"/>
      <c r="PRR7" s="397"/>
      <c r="PRS7" s="397"/>
      <c r="PRT7" s="397"/>
      <c r="PRU7" s="397"/>
      <c r="PRV7" s="397"/>
      <c r="PRW7" s="397"/>
      <c r="PRX7" s="397"/>
      <c r="PRY7" s="397"/>
      <c r="PRZ7" s="397"/>
      <c r="PSA7" s="397"/>
      <c r="PSB7" s="397"/>
      <c r="PSC7" s="397"/>
      <c r="PSD7" s="397"/>
      <c r="PSE7" s="397"/>
      <c r="PSF7" s="397"/>
      <c r="PSG7" s="397"/>
      <c r="PSH7" s="397"/>
      <c r="PSI7" s="397"/>
      <c r="PSJ7" s="397"/>
      <c r="PSK7" s="397"/>
      <c r="PSL7" s="397"/>
      <c r="PSM7" s="397"/>
      <c r="PSN7" s="397"/>
      <c r="PSO7" s="397"/>
      <c r="PSP7" s="397"/>
      <c r="PSQ7" s="397"/>
      <c r="PSR7" s="397"/>
      <c r="PSS7" s="397"/>
      <c r="PST7" s="397"/>
      <c r="PSU7" s="397"/>
      <c r="PSV7" s="397"/>
      <c r="PSW7" s="397"/>
      <c r="PSX7" s="397"/>
      <c r="PSY7" s="397"/>
      <c r="PSZ7" s="397"/>
      <c r="PTA7" s="397"/>
      <c r="PTB7" s="397"/>
      <c r="PTC7" s="397"/>
      <c r="PTD7" s="397"/>
      <c r="PTE7" s="397"/>
      <c r="PTF7" s="397"/>
      <c r="PTG7" s="397"/>
      <c r="PTH7" s="397"/>
      <c r="PTI7" s="397"/>
      <c r="PTJ7" s="397"/>
      <c r="PTK7" s="397"/>
      <c r="PTL7" s="397"/>
      <c r="PTM7" s="397"/>
      <c r="PTN7" s="397"/>
      <c r="PTO7" s="397"/>
      <c r="PTP7" s="397"/>
      <c r="PTQ7" s="397"/>
      <c r="PTR7" s="397"/>
      <c r="PTS7" s="397"/>
      <c r="PTT7" s="397"/>
      <c r="PTU7" s="397"/>
      <c r="PTV7" s="397"/>
      <c r="PTW7" s="397"/>
      <c r="PTX7" s="397"/>
      <c r="PTY7" s="397"/>
      <c r="PTZ7" s="397"/>
      <c r="PUA7" s="397"/>
      <c r="PUB7" s="397"/>
      <c r="PUC7" s="397"/>
      <c r="PUD7" s="397"/>
      <c r="PUE7" s="397"/>
      <c r="PUF7" s="397"/>
      <c r="PUG7" s="397"/>
      <c r="PUH7" s="397"/>
      <c r="PUI7" s="397"/>
      <c r="PUJ7" s="397"/>
      <c r="PUK7" s="397"/>
      <c r="PUL7" s="397"/>
      <c r="PUM7" s="397"/>
      <c r="PUN7" s="397"/>
      <c r="PUO7" s="397"/>
      <c r="PUP7" s="397"/>
      <c r="PUQ7" s="397"/>
      <c r="PUR7" s="397"/>
      <c r="PUS7" s="397"/>
      <c r="PUT7" s="397"/>
      <c r="PUU7" s="397"/>
      <c r="PUV7" s="397"/>
      <c r="PUW7" s="397"/>
      <c r="PUX7" s="397"/>
      <c r="PUY7" s="397"/>
      <c r="PUZ7" s="397"/>
      <c r="PVA7" s="397"/>
      <c r="PVB7" s="397"/>
      <c r="PVC7" s="397"/>
      <c r="PVD7" s="397"/>
      <c r="PVE7" s="397"/>
      <c r="PVF7" s="397"/>
      <c r="PVG7" s="397"/>
      <c r="PVH7" s="397"/>
      <c r="PVI7" s="397"/>
      <c r="PVJ7" s="397"/>
      <c r="PVK7" s="397"/>
      <c r="PVL7" s="397"/>
      <c r="PVM7" s="397"/>
      <c r="PVN7" s="397"/>
      <c r="PVO7" s="397"/>
      <c r="PVP7" s="397"/>
      <c r="PVQ7" s="397"/>
      <c r="PVR7" s="397"/>
      <c r="PVS7" s="397"/>
      <c r="PVT7" s="397"/>
      <c r="PVU7" s="397"/>
      <c r="PVV7" s="397"/>
      <c r="PVW7" s="397"/>
      <c r="PVX7" s="397"/>
      <c r="PVY7" s="397"/>
      <c r="PVZ7" s="397"/>
      <c r="PWA7" s="397"/>
      <c r="PWB7" s="397"/>
      <c r="PWC7" s="397"/>
      <c r="PWD7" s="397"/>
      <c r="PWE7" s="397"/>
      <c r="PWF7" s="397"/>
      <c r="PWG7" s="397"/>
      <c r="PWH7" s="397"/>
      <c r="PWI7" s="397"/>
      <c r="PWJ7" s="397"/>
      <c r="PWK7" s="397"/>
      <c r="PWL7" s="397"/>
      <c r="PWM7" s="397"/>
      <c r="PWN7" s="397"/>
      <c r="PWO7" s="397"/>
      <c r="PWP7" s="397"/>
      <c r="PWQ7" s="397"/>
      <c r="PWR7" s="397"/>
      <c r="PWS7" s="397"/>
      <c r="PWT7" s="397"/>
      <c r="PWU7" s="397"/>
      <c r="PWV7" s="397"/>
      <c r="PWW7" s="397"/>
      <c r="PWX7" s="397"/>
      <c r="PWY7" s="397"/>
      <c r="PWZ7" s="397"/>
      <c r="PXA7" s="397"/>
      <c r="PXB7" s="397"/>
      <c r="PXC7" s="397"/>
      <c r="PXD7" s="397"/>
      <c r="PXE7" s="397"/>
      <c r="PXF7" s="397"/>
      <c r="PXG7" s="397"/>
      <c r="PXH7" s="397"/>
      <c r="PXI7" s="397"/>
      <c r="PXJ7" s="397"/>
      <c r="PXK7" s="397"/>
      <c r="PXL7" s="397"/>
      <c r="PXM7" s="397"/>
      <c r="PXN7" s="397"/>
      <c r="PXO7" s="397"/>
      <c r="PXP7" s="397"/>
      <c r="PXQ7" s="397"/>
      <c r="PXR7" s="397"/>
      <c r="PXS7" s="397"/>
      <c r="PXT7" s="397"/>
      <c r="PXU7" s="397"/>
      <c r="PXV7" s="397"/>
      <c r="PXW7" s="397"/>
      <c r="PXX7" s="397"/>
      <c r="PXY7" s="397"/>
      <c r="PXZ7" s="397"/>
      <c r="PYA7" s="397"/>
      <c r="PYB7" s="397"/>
      <c r="PYC7" s="397"/>
      <c r="PYD7" s="397"/>
      <c r="PYE7" s="397"/>
      <c r="PYF7" s="397"/>
      <c r="PYG7" s="397"/>
      <c r="PYH7" s="397"/>
      <c r="PYI7" s="397"/>
      <c r="PYJ7" s="397"/>
      <c r="PYK7" s="397"/>
      <c r="PYL7" s="397"/>
      <c r="PYM7" s="397"/>
      <c r="PYN7" s="397"/>
      <c r="PYO7" s="397"/>
      <c r="PYP7" s="397"/>
      <c r="PYQ7" s="397"/>
      <c r="PYR7" s="397"/>
      <c r="PYS7" s="397"/>
      <c r="PYT7" s="397"/>
      <c r="PYU7" s="397"/>
      <c r="PYV7" s="397"/>
      <c r="PYW7" s="397"/>
      <c r="PYX7" s="397"/>
      <c r="PYY7" s="397"/>
      <c r="PYZ7" s="397"/>
      <c r="PZA7" s="397"/>
      <c r="PZB7" s="397"/>
      <c r="PZC7" s="397"/>
      <c r="PZD7" s="397"/>
      <c r="PZE7" s="397"/>
      <c r="PZF7" s="397"/>
      <c r="PZG7" s="397"/>
      <c r="PZH7" s="397"/>
      <c r="PZI7" s="397"/>
      <c r="PZJ7" s="397"/>
      <c r="PZK7" s="397"/>
      <c r="PZL7" s="397"/>
      <c r="PZM7" s="397"/>
      <c r="PZN7" s="397"/>
      <c r="PZO7" s="397"/>
      <c r="PZP7" s="397"/>
      <c r="PZQ7" s="397"/>
      <c r="PZR7" s="397"/>
      <c r="PZS7" s="397"/>
      <c r="PZT7" s="397"/>
      <c r="PZU7" s="397"/>
      <c r="PZV7" s="397"/>
      <c r="PZW7" s="397"/>
      <c r="PZX7" s="397"/>
      <c r="PZY7" s="397"/>
      <c r="PZZ7" s="397"/>
      <c r="QAA7" s="397"/>
      <c r="QAB7" s="397"/>
      <c r="QAC7" s="397"/>
      <c r="QAD7" s="397"/>
      <c r="QAE7" s="397"/>
      <c r="QAF7" s="397"/>
      <c r="QAG7" s="397"/>
      <c r="QAH7" s="397"/>
      <c r="QAI7" s="397"/>
      <c r="QAJ7" s="397"/>
      <c r="QAK7" s="397"/>
      <c r="QAL7" s="397"/>
      <c r="QAM7" s="397"/>
      <c r="QAN7" s="397"/>
      <c r="QAO7" s="397"/>
      <c r="QAP7" s="397"/>
      <c r="QAQ7" s="397"/>
      <c r="QAR7" s="397"/>
      <c r="QAS7" s="397"/>
      <c r="QAT7" s="397"/>
      <c r="QAU7" s="397"/>
      <c r="QAV7" s="397"/>
      <c r="QAW7" s="397"/>
      <c r="QAX7" s="397"/>
      <c r="QAY7" s="397"/>
      <c r="QAZ7" s="397"/>
      <c r="QBA7" s="397"/>
      <c r="QBB7" s="397"/>
      <c r="QBC7" s="397"/>
      <c r="QBD7" s="397"/>
      <c r="QBE7" s="397"/>
      <c r="QBF7" s="397"/>
      <c r="QBG7" s="397"/>
      <c r="QBH7" s="397"/>
      <c r="QBI7" s="397"/>
      <c r="QBJ7" s="397"/>
      <c r="QBK7" s="397"/>
      <c r="QBL7" s="397"/>
      <c r="QBM7" s="397"/>
      <c r="QBN7" s="397"/>
      <c r="QBO7" s="397"/>
      <c r="QBP7" s="397"/>
      <c r="QBQ7" s="397"/>
      <c r="QBR7" s="397"/>
      <c r="QBS7" s="397"/>
      <c r="QBT7" s="397"/>
      <c r="QBU7" s="397"/>
      <c r="QBV7" s="397"/>
      <c r="QBW7" s="397"/>
      <c r="QBX7" s="397"/>
      <c r="QBY7" s="397"/>
      <c r="QBZ7" s="397"/>
      <c r="QCA7" s="397"/>
      <c r="QCB7" s="397"/>
      <c r="QCC7" s="397"/>
      <c r="QCD7" s="397"/>
      <c r="QCE7" s="397"/>
      <c r="QCF7" s="397"/>
      <c r="QCG7" s="397"/>
      <c r="QCH7" s="397"/>
      <c r="QCI7" s="397"/>
      <c r="QCJ7" s="397"/>
      <c r="QCK7" s="397"/>
      <c r="QCL7" s="397"/>
      <c r="QCM7" s="397"/>
      <c r="QCN7" s="397"/>
      <c r="QCO7" s="397"/>
      <c r="QCP7" s="397"/>
      <c r="QCQ7" s="397"/>
      <c r="QCR7" s="397"/>
      <c r="QCS7" s="397"/>
      <c r="QCT7" s="397"/>
      <c r="QCU7" s="397"/>
      <c r="QCV7" s="397"/>
      <c r="QCW7" s="397"/>
      <c r="QCX7" s="397"/>
      <c r="QCY7" s="397"/>
      <c r="QCZ7" s="397"/>
      <c r="QDA7" s="397"/>
      <c r="QDB7" s="397"/>
      <c r="QDC7" s="397"/>
      <c r="QDD7" s="397"/>
      <c r="QDE7" s="397"/>
      <c r="QDF7" s="397"/>
      <c r="QDG7" s="397"/>
      <c r="QDH7" s="397"/>
      <c r="QDI7" s="397"/>
      <c r="QDJ7" s="397"/>
      <c r="QDK7" s="397"/>
      <c r="QDL7" s="397"/>
      <c r="QDM7" s="397"/>
      <c r="QDN7" s="397"/>
      <c r="QDO7" s="397"/>
      <c r="QDP7" s="397"/>
      <c r="QDQ7" s="397"/>
      <c r="QDR7" s="397"/>
      <c r="QDS7" s="397"/>
      <c r="QDT7" s="397"/>
      <c r="QDU7" s="397"/>
      <c r="QDV7" s="397"/>
      <c r="QDW7" s="397"/>
      <c r="QDX7" s="397"/>
      <c r="QDY7" s="397"/>
      <c r="QDZ7" s="397"/>
      <c r="QEA7" s="397"/>
      <c r="QEB7" s="397"/>
      <c r="QEC7" s="397"/>
      <c r="QED7" s="397"/>
      <c r="QEE7" s="397"/>
      <c r="QEF7" s="397"/>
      <c r="QEG7" s="397"/>
      <c r="QEH7" s="397"/>
      <c r="QEI7" s="397"/>
      <c r="QEJ7" s="397"/>
      <c r="QEK7" s="397"/>
      <c r="QEL7" s="397"/>
      <c r="QEM7" s="397"/>
      <c r="QEN7" s="397"/>
      <c r="QEO7" s="397"/>
      <c r="QEP7" s="397"/>
      <c r="QEQ7" s="397"/>
      <c r="QER7" s="397"/>
      <c r="QES7" s="397"/>
      <c r="QET7" s="397"/>
      <c r="QEU7" s="397"/>
      <c r="QEV7" s="397"/>
      <c r="QEW7" s="397"/>
      <c r="QEX7" s="397"/>
      <c r="QEY7" s="397"/>
      <c r="QEZ7" s="397"/>
      <c r="QFA7" s="397"/>
      <c r="QFB7" s="397"/>
      <c r="QFC7" s="397"/>
      <c r="QFD7" s="397"/>
      <c r="QFE7" s="397"/>
      <c r="QFF7" s="397"/>
      <c r="QFG7" s="397"/>
      <c r="QFH7" s="397"/>
      <c r="QFI7" s="397"/>
      <c r="QFJ7" s="397"/>
      <c r="QFK7" s="397"/>
      <c r="QFL7" s="397"/>
      <c r="QFM7" s="397"/>
      <c r="QFN7" s="397"/>
      <c r="QFO7" s="397"/>
      <c r="QFP7" s="397"/>
      <c r="QFQ7" s="397"/>
      <c r="QFR7" s="397"/>
      <c r="QFS7" s="397"/>
      <c r="QFT7" s="397"/>
      <c r="QFU7" s="397"/>
      <c r="QFV7" s="397"/>
      <c r="QFW7" s="397"/>
      <c r="QFX7" s="397"/>
      <c r="QFY7" s="397"/>
      <c r="QFZ7" s="397"/>
      <c r="QGA7" s="397"/>
      <c r="QGB7" s="397"/>
      <c r="QGC7" s="397"/>
      <c r="QGD7" s="397"/>
      <c r="QGE7" s="397"/>
      <c r="QGF7" s="397"/>
      <c r="QGG7" s="397"/>
      <c r="QGH7" s="397"/>
      <c r="QGI7" s="397"/>
      <c r="QGJ7" s="397"/>
      <c r="QGK7" s="397"/>
      <c r="QGL7" s="397"/>
      <c r="QGM7" s="397"/>
      <c r="QGN7" s="397"/>
      <c r="QGO7" s="397"/>
      <c r="QGP7" s="397"/>
      <c r="QGQ7" s="397"/>
      <c r="QGR7" s="397"/>
      <c r="QGS7" s="397"/>
      <c r="QGT7" s="397"/>
      <c r="QGU7" s="397"/>
      <c r="QGV7" s="397"/>
      <c r="QGW7" s="397"/>
      <c r="QGX7" s="397"/>
      <c r="QGY7" s="397"/>
      <c r="QGZ7" s="397"/>
      <c r="QHA7" s="397"/>
      <c r="QHB7" s="397"/>
      <c r="QHC7" s="397"/>
      <c r="QHD7" s="397"/>
      <c r="QHE7" s="397"/>
      <c r="QHF7" s="397"/>
      <c r="QHG7" s="397"/>
      <c r="QHH7" s="397"/>
      <c r="QHI7" s="397"/>
      <c r="QHJ7" s="397"/>
      <c r="QHK7" s="397"/>
      <c r="QHL7" s="397"/>
      <c r="QHM7" s="397"/>
      <c r="QHN7" s="397"/>
      <c r="QHO7" s="397"/>
      <c r="QHP7" s="397"/>
      <c r="QHQ7" s="397"/>
      <c r="QHR7" s="397"/>
      <c r="QHS7" s="397"/>
      <c r="QHT7" s="397"/>
      <c r="QHU7" s="397"/>
      <c r="QHV7" s="397"/>
      <c r="QHW7" s="397"/>
      <c r="QHX7" s="397"/>
      <c r="QHY7" s="397"/>
      <c r="QHZ7" s="397"/>
      <c r="QIA7" s="397"/>
      <c r="QIB7" s="397"/>
      <c r="QIC7" s="397"/>
      <c r="QID7" s="397"/>
      <c r="QIE7" s="397"/>
      <c r="QIF7" s="397"/>
      <c r="QIG7" s="397"/>
      <c r="QIH7" s="397"/>
      <c r="QII7" s="397"/>
      <c r="QIJ7" s="397"/>
      <c r="QIK7" s="397"/>
      <c r="QIL7" s="397"/>
      <c r="QIM7" s="397"/>
      <c r="QIN7" s="397"/>
      <c r="QIO7" s="397"/>
      <c r="QIP7" s="397"/>
      <c r="QIQ7" s="397"/>
      <c r="QIR7" s="397"/>
      <c r="QIS7" s="397"/>
      <c r="QIT7" s="397"/>
      <c r="QIU7" s="397"/>
      <c r="QIV7" s="397"/>
      <c r="QIW7" s="397"/>
      <c r="QIX7" s="397"/>
      <c r="QIY7" s="397"/>
      <c r="QIZ7" s="397"/>
      <c r="QJA7" s="397"/>
      <c r="QJB7" s="397"/>
      <c r="QJC7" s="397"/>
      <c r="QJD7" s="397"/>
      <c r="QJE7" s="397"/>
      <c r="QJF7" s="397"/>
      <c r="QJG7" s="397"/>
      <c r="QJH7" s="397"/>
      <c r="QJI7" s="397"/>
      <c r="QJJ7" s="397"/>
      <c r="QJK7" s="397"/>
      <c r="QJL7" s="397"/>
      <c r="QJM7" s="397"/>
      <c r="QJN7" s="397"/>
      <c r="QJO7" s="397"/>
      <c r="QJP7" s="397"/>
      <c r="QJQ7" s="397"/>
      <c r="QJR7" s="397"/>
      <c r="QJS7" s="397"/>
      <c r="QJT7" s="397"/>
      <c r="QJU7" s="397"/>
      <c r="QJV7" s="397"/>
      <c r="QJW7" s="397"/>
      <c r="QJX7" s="397"/>
      <c r="QJY7" s="397"/>
      <c r="QJZ7" s="397"/>
      <c r="QKA7" s="397"/>
      <c r="QKB7" s="397"/>
      <c r="QKC7" s="397"/>
      <c r="QKD7" s="397"/>
      <c r="QKE7" s="397"/>
      <c r="QKF7" s="397"/>
      <c r="QKG7" s="397"/>
      <c r="QKH7" s="397"/>
      <c r="QKI7" s="397"/>
      <c r="QKJ7" s="397"/>
      <c r="QKK7" s="397"/>
      <c r="QKL7" s="397"/>
      <c r="QKM7" s="397"/>
      <c r="QKN7" s="397"/>
      <c r="QKO7" s="397"/>
      <c r="QKP7" s="397"/>
      <c r="QKQ7" s="397"/>
      <c r="QKR7" s="397"/>
      <c r="QKS7" s="397"/>
      <c r="QKT7" s="397"/>
      <c r="QKU7" s="397"/>
      <c r="QKV7" s="397"/>
      <c r="QKW7" s="397"/>
      <c r="QKX7" s="397"/>
      <c r="QKY7" s="397"/>
      <c r="QKZ7" s="397"/>
      <c r="QLA7" s="397"/>
      <c r="QLB7" s="397"/>
      <c r="QLC7" s="397"/>
      <c r="QLD7" s="397"/>
      <c r="QLE7" s="397"/>
      <c r="QLF7" s="397"/>
      <c r="QLG7" s="397"/>
      <c r="QLH7" s="397"/>
      <c r="QLI7" s="397"/>
      <c r="QLJ7" s="397"/>
      <c r="QLK7" s="397"/>
      <c r="QLL7" s="397"/>
      <c r="QLM7" s="397"/>
      <c r="QLN7" s="397"/>
      <c r="QLO7" s="397"/>
      <c r="QLP7" s="397"/>
      <c r="QLQ7" s="397"/>
      <c r="QLR7" s="397"/>
      <c r="QLS7" s="397"/>
      <c r="QLT7" s="397"/>
      <c r="QLU7" s="397"/>
      <c r="QLV7" s="397"/>
      <c r="QLW7" s="397"/>
      <c r="QLX7" s="397"/>
      <c r="QLY7" s="397"/>
      <c r="QLZ7" s="397"/>
      <c r="QMA7" s="397"/>
      <c r="QMB7" s="397"/>
      <c r="QMC7" s="397"/>
      <c r="QMD7" s="397"/>
      <c r="QME7" s="397"/>
      <c r="QMF7" s="397"/>
      <c r="QMG7" s="397"/>
      <c r="QMH7" s="397"/>
      <c r="QMI7" s="397"/>
      <c r="QMJ7" s="397"/>
      <c r="QMK7" s="397"/>
      <c r="QML7" s="397"/>
      <c r="QMM7" s="397"/>
      <c r="QMN7" s="397"/>
      <c r="QMO7" s="397"/>
      <c r="QMP7" s="397"/>
      <c r="QMQ7" s="397"/>
      <c r="QMR7" s="397"/>
      <c r="QMS7" s="397"/>
      <c r="QMT7" s="397"/>
      <c r="QMU7" s="397"/>
      <c r="QMV7" s="397"/>
      <c r="QMW7" s="397"/>
      <c r="QMX7" s="397"/>
      <c r="QMY7" s="397"/>
      <c r="QMZ7" s="397"/>
      <c r="QNA7" s="397"/>
      <c r="QNB7" s="397"/>
      <c r="QNC7" s="397"/>
      <c r="QND7" s="397"/>
      <c r="QNE7" s="397"/>
      <c r="QNF7" s="397"/>
      <c r="QNG7" s="397"/>
      <c r="QNH7" s="397"/>
      <c r="QNI7" s="397"/>
      <c r="QNJ7" s="397"/>
      <c r="QNK7" s="397"/>
      <c r="QNL7" s="397"/>
      <c r="QNM7" s="397"/>
      <c r="QNN7" s="397"/>
      <c r="QNO7" s="397"/>
      <c r="QNP7" s="397"/>
      <c r="QNQ7" s="397"/>
      <c r="QNR7" s="397"/>
      <c r="QNS7" s="397"/>
      <c r="QNT7" s="397"/>
      <c r="QNU7" s="397"/>
      <c r="QNV7" s="397"/>
      <c r="QNW7" s="397"/>
      <c r="QNX7" s="397"/>
      <c r="QNY7" s="397"/>
      <c r="QNZ7" s="397"/>
      <c r="QOA7" s="397"/>
      <c r="QOB7" s="397"/>
      <c r="QOC7" s="397"/>
      <c r="QOD7" s="397"/>
      <c r="QOE7" s="397"/>
      <c r="QOF7" s="397"/>
      <c r="QOG7" s="397"/>
      <c r="QOH7" s="397"/>
      <c r="QOI7" s="397"/>
      <c r="QOJ7" s="397"/>
      <c r="QOK7" s="397"/>
      <c r="QOL7" s="397"/>
      <c r="QOM7" s="397"/>
      <c r="QON7" s="397"/>
      <c r="QOO7" s="397"/>
      <c r="QOP7" s="397"/>
      <c r="QOQ7" s="397"/>
      <c r="QOR7" s="397"/>
      <c r="QOS7" s="397"/>
      <c r="QOT7" s="397"/>
      <c r="QOU7" s="397"/>
      <c r="QOV7" s="397"/>
      <c r="QOW7" s="397"/>
      <c r="QOX7" s="397"/>
      <c r="QOY7" s="397"/>
      <c r="QOZ7" s="397"/>
      <c r="QPA7" s="397"/>
      <c r="QPB7" s="397"/>
      <c r="QPC7" s="397"/>
      <c r="QPD7" s="397"/>
      <c r="QPE7" s="397"/>
      <c r="QPF7" s="397"/>
      <c r="QPG7" s="397"/>
      <c r="QPH7" s="397"/>
      <c r="QPI7" s="397"/>
      <c r="QPJ7" s="397"/>
      <c r="QPK7" s="397"/>
      <c r="QPL7" s="397"/>
      <c r="QPM7" s="397"/>
      <c r="QPN7" s="397"/>
      <c r="QPO7" s="397"/>
      <c r="QPP7" s="397"/>
      <c r="QPQ7" s="397"/>
      <c r="QPR7" s="397"/>
      <c r="QPS7" s="397"/>
      <c r="QPT7" s="397"/>
      <c r="QPU7" s="397"/>
      <c r="QPV7" s="397"/>
      <c r="QPW7" s="397"/>
      <c r="QPX7" s="397"/>
      <c r="QPY7" s="397"/>
      <c r="QPZ7" s="397"/>
      <c r="QQA7" s="397"/>
      <c r="QQB7" s="397"/>
      <c r="QQC7" s="397"/>
      <c r="QQD7" s="397"/>
      <c r="QQE7" s="397"/>
      <c r="QQF7" s="397"/>
      <c r="QQG7" s="397"/>
      <c r="QQH7" s="397"/>
      <c r="QQI7" s="397"/>
      <c r="QQJ7" s="397"/>
      <c r="QQK7" s="397"/>
      <c r="QQL7" s="397"/>
      <c r="QQM7" s="397"/>
      <c r="QQN7" s="397"/>
      <c r="QQO7" s="397"/>
      <c r="QQP7" s="397"/>
      <c r="QQQ7" s="397"/>
      <c r="QQR7" s="397"/>
      <c r="QQS7" s="397"/>
      <c r="QQT7" s="397"/>
      <c r="QQU7" s="397"/>
      <c r="QQV7" s="397"/>
      <c r="QQW7" s="397"/>
      <c r="QQX7" s="397"/>
      <c r="QQY7" s="397"/>
      <c r="QQZ7" s="397"/>
      <c r="QRA7" s="397"/>
      <c r="QRB7" s="397"/>
      <c r="QRC7" s="397"/>
      <c r="QRD7" s="397"/>
      <c r="QRE7" s="397"/>
      <c r="QRF7" s="397"/>
      <c r="QRG7" s="397"/>
      <c r="QRH7" s="397"/>
      <c r="QRI7" s="397"/>
      <c r="QRJ7" s="397"/>
      <c r="QRK7" s="397"/>
      <c r="QRL7" s="397"/>
      <c r="QRM7" s="397"/>
      <c r="QRN7" s="397"/>
      <c r="QRO7" s="397"/>
      <c r="QRP7" s="397"/>
      <c r="QRQ7" s="397"/>
      <c r="QRR7" s="397"/>
      <c r="QRS7" s="397"/>
      <c r="QRT7" s="397"/>
      <c r="QRU7" s="397"/>
      <c r="QRV7" s="397"/>
      <c r="QRW7" s="397"/>
      <c r="QRX7" s="397"/>
      <c r="QRY7" s="397"/>
      <c r="QRZ7" s="397"/>
      <c r="QSA7" s="397"/>
      <c r="QSB7" s="397"/>
      <c r="QSC7" s="397"/>
      <c r="QSD7" s="397"/>
      <c r="QSE7" s="397"/>
      <c r="QSF7" s="397"/>
      <c r="QSG7" s="397"/>
      <c r="QSH7" s="397"/>
      <c r="QSI7" s="397"/>
      <c r="QSJ7" s="397"/>
      <c r="QSK7" s="397"/>
      <c r="QSL7" s="397"/>
      <c r="QSM7" s="397"/>
      <c r="QSN7" s="397"/>
      <c r="QSO7" s="397"/>
      <c r="QSP7" s="397"/>
      <c r="QSQ7" s="397"/>
      <c r="QSR7" s="397"/>
      <c r="QSS7" s="397"/>
      <c r="QST7" s="397"/>
      <c r="QSU7" s="397"/>
      <c r="QSV7" s="397"/>
      <c r="QSW7" s="397"/>
      <c r="QSX7" s="397"/>
      <c r="QSY7" s="397"/>
      <c r="QSZ7" s="397"/>
      <c r="QTA7" s="397"/>
      <c r="QTB7" s="397"/>
      <c r="QTC7" s="397"/>
      <c r="QTD7" s="397"/>
      <c r="QTE7" s="397"/>
      <c r="QTF7" s="397"/>
      <c r="QTG7" s="397"/>
      <c r="QTH7" s="397"/>
      <c r="QTI7" s="397"/>
      <c r="QTJ7" s="397"/>
      <c r="QTK7" s="397"/>
      <c r="QTL7" s="397"/>
      <c r="QTM7" s="397"/>
      <c r="QTN7" s="397"/>
      <c r="QTO7" s="397"/>
      <c r="QTP7" s="397"/>
      <c r="QTQ7" s="397"/>
      <c r="QTR7" s="397"/>
      <c r="QTS7" s="397"/>
      <c r="QTT7" s="397"/>
      <c r="QTU7" s="397"/>
      <c r="QTV7" s="397"/>
      <c r="QTW7" s="397"/>
      <c r="QTX7" s="397"/>
      <c r="QTY7" s="397"/>
      <c r="QTZ7" s="397"/>
      <c r="QUA7" s="397"/>
      <c r="QUB7" s="397"/>
      <c r="QUC7" s="397"/>
      <c r="QUD7" s="397"/>
      <c r="QUE7" s="397"/>
      <c r="QUF7" s="397"/>
      <c r="QUG7" s="397"/>
      <c r="QUH7" s="397"/>
      <c r="QUI7" s="397"/>
      <c r="QUJ7" s="397"/>
      <c r="QUK7" s="397"/>
      <c r="QUL7" s="397"/>
      <c r="QUM7" s="397"/>
      <c r="QUN7" s="397"/>
      <c r="QUO7" s="397"/>
      <c r="QUP7" s="397"/>
      <c r="QUQ7" s="397"/>
      <c r="QUR7" s="397"/>
      <c r="QUS7" s="397"/>
      <c r="QUT7" s="397"/>
      <c r="QUU7" s="397"/>
      <c r="QUV7" s="397"/>
      <c r="QUW7" s="397"/>
      <c r="QUX7" s="397"/>
      <c r="QUY7" s="397"/>
      <c r="QUZ7" s="397"/>
      <c r="QVA7" s="397"/>
      <c r="QVB7" s="397"/>
      <c r="QVC7" s="397"/>
      <c r="QVD7" s="397"/>
      <c r="QVE7" s="397"/>
      <c r="QVF7" s="397"/>
      <c r="QVG7" s="397"/>
      <c r="QVH7" s="397"/>
      <c r="QVI7" s="397"/>
      <c r="QVJ7" s="397"/>
      <c r="QVK7" s="397"/>
      <c r="QVL7" s="397"/>
      <c r="QVM7" s="397"/>
      <c r="QVN7" s="397"/>
      <c r="QVO7" s="397"/>
      <c r="QVP7" s="397"/>
      <c r="QVQ7" s="397"/>
      <c r="QVR7" s="397"/>
      <c r="QVS7" s="397"/>
      <c r="QVT7" s="397"/>
      <c r="QVU7" s="397"/>
      <c r="QVV7" s="397"/>
      <c r="QVW7" s="397"/>
      <c r="QVX7" s="397"/>
      <c r="QVY7" s="397"/>
      <c r="QVZ7" s="397"/>
      <c r="QWA7" s="397"/>
      <c r="QWB7" s="397"/>
      <c r="QWC7" s="397"/>
      <c r="QWD7" s="397"/>
      <c r="QWE7" s="397"/>
      <c r="QWF7" s="397"/>
      <c r="QWG7" s="397"/>
      <c r="QWH7" s="397"/>
      <c r="QWI7" s="397"/>
      <c r="QWJ7" s="397"/>
      <c r="QWK7" s="397"/>
      <c r="QWL7" s="397"/>
      <c r="QWM7" s="397"/>
      <c r="QWN7" s="397"/>
      <c r="QWO7" s="397"/>
      <c r="QWP7" s="397"/>
      <c r="QWQ7" s="397"/>
      <c r="QWR7" s="397"/>
      <c r="QWS7" s="397"/>
      <c r="QWT7" s="397"/>
      <c r="QWU7" s="397"/>
      <c r="QWV7" s="397"/>
      <c r="QWW7" s="397"/>
      <c r="QWX7" s="397"/>
      <c r="QWY7" s="397"/>
      <c r="QWZ7" s="397"/>
      <c r="QXA7" s="397"/>
      <c r="QXB7" s="397"/>
      <c r="QXC7" s="397"/>
      <c r="QXD7" s="397"/>
      <c r="QXE7" s="397"/>
      <c r="QXF7" s="397"/>
      <c r="QXG7" s="397"/>
      <c r="QXH7" s="397"/>
      <c r="QXI7" s="397"/>
      <c r="QXJ7" s="397"/>
      <c r="QXK7" s="397"/>
      <c r="QXL7" s="397"/>
      <c r="QXM7" s="397"/>
      <c r="QXN7" s="397"/>
      <c r="QXO7" s="397"/>
      <c r="QXP7" s="397"/>
      <c r="QXQ7" s="397"/>
      <c r="QXR7" s="397"/>
      <c r="QXS7" s="397"/>
      <c r="QXT7" s="397"/>
      <c r="QXU7" s="397"/>
      <c r="QXV7" s="397"/>
      <c r="QXW7" s="397"/>
      <c r="QXX7" s="397"/>
      <c r="QXY7" s="397"/>
      <c r="QXZ7" s="397"/>
      <c r="QYA7" s="397"/>
      <c r="QYB7" s="397"/>
      <c r="QYC7" s="397"/>
      <c r="QYD7" s="397"/>
      <c r="QYE7" s="397"/>
      <c r="QYF7" s="397"/>
      <c r="QYG7" s="397"/>
      <c r="QYH7" s="397"/>
      <c r="QYI7" s="397"/>
      <c r="QYJ7" s="397"/>
      <c r="QYK7" s="397"/>
      <c r="QYL7" s="397"/>
      <c r="QYM7" s="397"/>
      <c r="QYN7" s="397"/>
      <c r="QYO7" s="397"/>
      <c r="QYP7" s="397"/>
      <c r="QYQ7" s="397"/>
      <c r="QYR7" s="397"/>
      <c r="QYS7" s="397"/>
      <c r="QYT7" s="397"/>
      <c r="QYU7" s="397"/>
      <c r="QYV7" s="397"/>
      <c r="QYW7" s="397"/>
      <c r="QYX7" s="397"/>
      <c r="QYY7" s="397"/>
      <c r="QYZ7" s="397"/>
      <c r="QZA7" s="397"/>
      <c r="QZB7" s="397"/>
      <c r="QZC7" s="397"/>
      <c r="QZD7" s="397"/>
      <c r="QZE7" s="397"/>
      <c r="QZF7" s="397"/>
      <c r="QZG7" s="397"/>
      <c r="QZH7" s="397"/>
      <c r="QZI7" s="397"/>
      <c r="QZJ7" s="397"/>
      <c r="QZK7" s="397"/>
      <c r="QZL7" s="397"/>
      <c r="QZM7" s="397"/>
      <c r="QZN7" s="397"/>
      <c r="QZO7" s="397"/>
      <c r="QZP7" s="397"/>
      <c r="QZQ7" s="397"/>
      <c r="QZR7" s="397"/>
      <c r="QZS7" s="397"/>
      <c r="QZT7" s="397"/>
      <c r="QZU7" s="397"/>
      <c r="QZV7" s="397"/>
      <c r="QZW7" s="397"/>
      <c r="QZX7" s="397"/>
      <c r="QZY7" s="397"/>
      <c r="QZZ7" s="397"/>
      <c r="RAA7" s="397"/>
      <c r="RAB7" s="397"/>
      <c r="RAC7" s="397"/>
      <c r="RAD7" s="397"/>
      <c r="RAE7" s="397"/>
      <c r="RAF7" s="397"/>
      <c r="RAG7" s="397"/>
      <c r="RAH7" s="397"/>
      <c r="RAI7" s="397"/>
      <c r="RAJ7" s="397"/>
      <c r="RAK7" s="397"/>
      <c r="RAL7" s="397"/>
      <c r="RAM7" s="397"/>
      <c r="RAN7" s="397"/>
      <c r="RAO7" s="397"/>
      <c r="RAP7" s="397"/>
      <c r="RAQ7" s="397"/>
      <c r="RAR7" s="397"/>
      <c r="RAS7" s="397"/>
      <c r="RAT7" s="397"/>
      <c r="RAU7" s="397"/>
      <c r="RAV7" s="397"/>
      <c r="RAW7" s="397"/>
      <c r="RAX7" s="397"/>
      <c r="RAY7" s="397"/>
      <c r="RAZ7" s="397"/>
      <c r="RBA7" s="397"/>
      <c r="RBB7" s="397"/>
      <c r="RBC7" s="397"/>
      <c r="RBD7" s="397"/>
      <c r="RBE7" s="397"/>
      <c r="RBF7" s="397"/>
      <c r="RBG7" s="397"/>
      <c r="RBH7" s="397"/>
      <c r="RBI7" s="397"/>
      <c r="RBJ7" s="397"/>
      <c r="RBK7" s="397"/>
      <c r="RBL7" s="397"/>
      <c r="RBM7" s="397"/>
      <c r="RBN7" s="397"/>
      <c r="RBO7" s="397"/>
      <c r="RBP7" s="397"/>
      <c r="RBQ7" s="397"/>
      <c r="RBR7" s="397"/>
      <c r="RBS7" s="397"/>
      <c r="RBT7" s="397"/>
      <c r="RBU7" s="397"/>
      <c r="RBV7" s="397"/>
      <c r="RBW7" s="397"/>
      <c r="RBX7" s="397"/>
      <c r="RBY7" s="397"/>
      <c r="RBZ7" s="397"/>
      <c r="RCA7" s="397"/>
      <c r="RCB7" s="397"/>
      <c r="RCC7" s="397"/>
      <c r="RCD7" s="397"/>
      <c r="RCE7" s="397"/>
      <c r="RCF7" s="397"/>
      <c r="RCG7" s="397"/>
      <c r="RCH7" s="397"/>
      <c r="RCI7" s="397"/>
      <c r="RCJ7" s="397"/>
      <c r="RCK7" s="397"/>
      <c r="RCL7" s="397"/>
      <c r="RCM7" s="397"/>
      <c r="RCN7" s="397"/>
      <c r="RCO7" s="397"/>
      <c r="RCP7" s="397"/>
      <c r="RCQ7" s="397"/>
      <c r="RCR7" s="397"/>
      <c r="RCS7" s="397"/>
      <c r="RCT7" s="397"/>
      <c r="RCU7" s="397"/>
      <c r="RCV7" s="397"/>
      <c r="RCW7" s="397"/>
      <c r="RCX7" s="397"/>
      <c r="RCY7" s="397"/>
      <c r="RCZ7" s="397"/>
      <c r="RDA7" s="397"/>
      <c r="RDB7" s="397"/>
      <c r="RDC7" s="397"/>
      <c r="RDD7" s="397"/>
      <c r="RDE7" s="397"/>
      <c r="RDF7" s="397"/>
      <c r="RDG7" s="397"/>
      <c r="RDH7" s="397"/>
      <c r="RDI7" s="397"/>
      <c r="RDJ7" s="397"/>
      <c r="RDK7" s="397"/>
      <c r="RDL7" s="397"/>
      <c r="RDM7" s="397"/>
      <c r="RDN7" s="397"/>
      <c r="RDO7" s="397"/>
      <c r="RDP7" s="397"/>
      <c r="RDQ7" s="397"/>
      <c r="RDR7" s="397"/>
      <c r="RDS7" s="397"/>
      <c r="RDT7" s="397"/>
      <c r="RDU7" s="397"/>
      <c r="RDV7" s="397"/>
      <c r="RDW7" s="397"/>
      <c r="RDX7" s="397"/>
      <c r="RDY7" s="397"/>
      <c r="RDZ7" s="397"/>
      <c r="REA7" s="397"/>
      <c r="REB7" s="397"/>
      <c r="REC7" s="397"/>
      <c r="RED7" s="397"/>
      <c r="REE7" s="397"/>
      <c r="REF7" s="397"/>
      <c r="REG7" s="397"/>
      <c r="REH7" s="397"/>
      <c r="REI7" s="397"/>
      <c r="REJ7" s="397"/>
      <c r="REK7" s="397"/>
      <c r="REL7" s="397"/>
      <c r="REM7" s="397"/>
      <c r="REN7" s="397"/>
      <c r="REO7" s="397"/>
      <c r="REP7" s="397"/>
      <c r="REQ7" s="397"/>
      <c r="RER7" s="397"/>
      <c r="RES7" s="397"/>
      <c r="RET7" s="397"/>
      <c r="REU7" s="397"/>
      <c r="REV7" s="397"/>
      <c r="REW7" s="397"/>
      <c r="REX7" s="397"/>
      <c r="REY7" s="397"/>
      <c r="REZ7" s="397"/>
      <c r="RFA7" s="397"/>
      <c r="RFB7" s="397"/>
      <c r="RFC7" s="397"/>
      <c r="RFD7" s="397"/>
      <c r="RFE7" s="397"/>
      <c r="RFF7" s="397"/>
      <c r="RFG7" s="397"/>
      <c r="RFH7" s="397"/>
      <c r="RFI7" s="397"/>
      <c r="RFJ7" s="397"/>
      <c r="RFK7" s="397"/>
      <c r="RFL7" s="397"/>
      <c r="RFM7" s="397"/>
      <c r="RFN7" s="397"/>
      <c r="RFO7" s="397"/>
      <c r="RFP7" s="397"/>
      <c r="RFQ7" s="397"/>
      <c r="RFR7" s="397"/>
      <c r="RFS7" s="397"/>
      <c r="RFT7" s="397"/>
      <c r="RFU7" s="397"/>
      <c r="RFV7" s="397"/>
      <c r="RFW7" s="397"/>
      <c r="RFX7" s="397"/>
      <c r="RFY7" s="397"/>
      <c r="RFZ7" s="397"/>
      <c r="RGA7" s="397"/>
      <c r="RGB7" s="397"/>
      <c r="RGC7" s="397"/>
      <c r="RGD7" s="397"/>
      <c r="RGE7" s="397"/>
      <c r="RGF7" s="397"/>
      <c r="RGG7" s="397"/>
      <c r="RGH7" s="397"/>
      <c r="RGI7" s="397"/>
      <c r="RGJ7" s="397"/>
      <c r="RGK7" s="397"/>
      <c r="RGL7" s="397"/>
      <c r="RGM7" s="397"/>
      <c r="RGN7" s="397"/>
      <c r="RGO7" s="397"/>
      <c r="RGP7" s="397"/>
      <c r="RGQ7" s="397"/>
      <c r="RGR7" s="397"/>
      <c r="RGS7" s="397"/>
      <c r="RGT7" s="397"/>
      <c r="RGU7" s="397"/>
      <c r="RGV7" s="397"/>
      <c r="RGW7" s="397"/>
      <c r="RGX7" s="397"/>
      <c r="RGY7" s="397"/>
      <c r="RGZ7" s="397"/>
      <c r="RHA7" s="397"/>
      <c r="RHB7" s="397"/>
      <c r="RHC7" s="397"/>
      <c r="RHD7" s="397"/>
      <c r="RHE7" s="397"/>
      <c r="RHF7" s="397"/>
      <c r="RHG7" s="397"/>
      <c r="RHH7" s="397"/>
      <c r="RHI7" s="397"/>
      <c r="RHJ7" s="397"/>
      <c r="RHK7" s="397"/>
      <c r="RHL7" s="397"/>
      <c r="RHM7" s="397"/>
      <c r="RHN7" s="397"/>
      <c r="RHO7" s="397"/>
      <c r="RHP7" s="397"/>
      <c r="RHQ7" s="397"/>
      <c r="RHR7" s="397"/>
      <c r="RHS7" s="397"/>
      <c r="RHT7" s="397"/>
      <c r="RHU7" s="397"/>
      <c r="RHV7" s="397"/>
      <c r="RHW7" s="397"/>
      <c r="RHX7" s="397"/>
      <c r="RHY7" s="397"/>
      <c r="RHZ7" s="397"/>
      <c r="RIA7" s="397"/>
      <c r="RIB7" s="397"/>
      <c r="RIC7" s="397"/>
      <c r="RID7" s="397"/>
      <c r="RIE7" s="397"/>
      <c r="RIF7" s="397"/>
      <c r="RIG7" s="397"/>
      <c r="RIH7" s="397"/>
      <c r="RII7" s="397"/>
      <c r="RIJ7" s="397"/>
      <c r="RIK7" s="397"/>
      <c r="RIL7" s="397"/>
      <c r="RIM7" s="397"/>
      <c r="RIN7" s="397"/>
      <c r="RIO7" s="397"/>
      <c r="RIP7" s="397"/>
      <c r="RIQ7" s="397"/>
      <c r="RIR7" s="397"/>
      <c r="RIS7" s="397"/>
      <c r="RIT7" s="397"/>
      <c r="RIU7" s="397"/>
      <c r="RIV7" s="397"/>
      <c r="RIW7" s="397"/>
      <c r="RIX7" s="397"/>
      <c r="RIY7" s="397"/>
      <c r="RIZ7" s="397"/>
      <c r="RJA7" s="397"/>
      <c r="RJB7" s="397"/>
      <c r="RJC7" s="397"/>
      <c r="RJD7" s="397"/>
      <c r="RJE7" s="397"/>
      <c r="RJF7" s="397"/>
      <c r="RJG7" s="397"/>
      <c r="RJH7" s="397"/>
      <c r="RJI7" s="397"/>
      <c r="RJJ7" s="397"/>
      <c r="RJK7" s="397"/>
      <c r="RJL7" s="397"/>
      <c r="RJM7" s="397"/>
      <c r="RJN7" s="397"/>
      <c r="RJO7" s="397"/>
      <c r="RJP7" s="397"/>
      <c r="RJQ7" s="397"/>
      <c r="RJR7" s="397"/>
      <c r="RJS7" s="397"/>
      <c r="RJT7" s="397"/>
      <c r="RJU7" s="397"/>
      <c r="RJV7" s="397"/>
      <c r="RJW7" s="397"/>
      <c r="RJX7" s="397"/>
      <c r="RJY7" s="397"/>
      <c r="RJZ7" s="397"/>
      <c r="RKA7" s="397"/>
      <c r="RKB7" s="397"/>
      <c r="RKC7" s="397"/>
      <c r="RKD7" s="397"/>
      <c r="RKE7" s="397"/>
      <c r="RKF7" s="397"/>
      <c r="RKG7" s="397"/>
      <c r="RKH7" s="397"/>
      <c r="RKI7" s="397"/>
      <c r="RKJ7" s="397"/>
      <c r="RKK7" s="397"/>
      <c r="RKL7" s="397"/>
      <c r="RKM7" s="397"/>
      <c r="RKN7" s="397"/>
      <c r="RKO7" s="397"/>
      <c r="RKP7" s="397"/>
      <c r="RKQ7" s="397"/>
      <c r="RKR7" s="397"/>
      <c r="RKS7" s="397"/>
      <c r="RKT7" s="397"/>
      <c r="RKU7" s="397"/>
      <c r="RKV7" s="397"/>
      <c r="RKW7" s="397"/>
      <c r="RKX7" s="397"/>
      <c r="RKY7" s="397"/>
      <c r="RKZ7" s="397"/>
      <c r="RLA7" s="397"/>
      <c r="RLB7" s="397"/>
      <c r="RLC7" s="397"/>
      <c r="RLD7" s="397"/>
      <c r="RLE7" s="397"/>
      <c r="RLF7" s="397"/>
      <c r="RLG7" s="397"/>
      <c r="RLH7" s="397"/>
      <c r="RLI7" s="397"/>
      <c r="RLJ7" s="397"/>
      <c r="RLK7" s="397"/>
      <c r="RLL7" s="397"/>
      <c r="RLM7" s="397"/>
      <c r="RLN7" s="397"/>
      <c r="RLO7" s="397"/>
      <c r="RLP7" s="397"/>
      <c r="RLQ7" s="397"/>
      <c r="RLR7" s="397"/>
      <c r="RLS7" s="397"/>
      <c r="RLT7" s="397"/>
      <c r="RLU7" s="397"/>
      <c r="RLV7" s="397"/>
      <c r="RLW7" s="397"/>
      <c r="RLX7" s="397"/>
      <c r="RLY7" s="397"/>
      <c r="RLZ7" s="397"/>
      <c r="RMA7" s="397"/>
      <c r="RMB7" s="397"/>
      <c r="RMC7" s="397"/>
      <c r="RMD7" s="397"/>
      <c r="RME7" s="397"/>
      <c r="RMF7" s="397"/>
      <c r="RMG7" s="397"/>
      <c r="RMH7" s="397"/>
      <c r="RMI7" s="397"/>
      <c r="RMJ7" s="397"/>
      <c r="RMK7" s="397"/>
      <c r="RML7" s="397"/>
      <c r="RMM7" s="397"/>
      <c r="RMN7" s="397"/>
      <c r="RMO7" s="397"/>
      <c r="RMP7" s="397"/>
      <c r="RMQ7" s="397"/>
      <c r="RMR7" s="397"/>
      <c r="RMS7" s="397"/>
      <c r="RMT7" s="397"/>
      <c r="RMU7" s="397"/>
      <c r="RMV7" s="397"/>
      <c r="RMW7" s="397"/>
      <c r="RMX7" s="397"/>
      <c r="RMY7" s="397"/>
      <c r="RMZ7" s="397"/>
      <c r="RNA7" s="397"/>
      <c r="RNB7" s="397"/>
      <c r="RNC7" s="397"/>
      <c r="RND7" s="397"/>
      <c r="RNE7" s="397"/>
      <c r="RNF7" s="397"/>
      <c r="RNG7" s="397"/>
      <c r="RNH7" s="397"/>
      <c r="RNI7" s="397"/>
      <c r="RNJ7" s="397"/>
      <c r="RNK7" s="397"/>
      <c r="RNL7" s="397"/>
      <c r="RNM7" s="397"/>
      <c r="RNN7" s="397"/>
      <c r="RNO7" s="397"/>
      <c r="RNP7" s="397"/>
      <c r="RNQ7" s="397"/>
      <c r="RNR7" s="397"/>
      <c r="RNS7" s="397"/>
      <c r="RNT7" s="397"/>
      <c r="RNU7" s="397"/>
      <c r="RNV7" s="397"/>
      <c r="RNW7" s="397"/>
      <c r="RNX7" s="397"/>
      <c r="RNY7" s="397"/>
      <c r="RNZ7" s="397"/>
      <c r="ROA7" s="397"/>
      <c r="ROB7" s="397"/>
      <c r="ROC7" s="397"/>
      <c r="ROD7" s="397"/>
      <c r="ROE7" s="397"/>
      <c r="ROF7" s="397"/>
      <c r="ROG7" s="397"/>
      <c r="ROH7" s="397"/>
      <c r="ROI7" s="397"/>
      <c r="ROJ7" s="397"/>
      <c r="ROK7" s="397"/>
      <c r="ROL7" s="397"/>
      <c r="ROM7" s="397"/>
      <c r="RON7" s="397"/>
      <c r="ROO7" s="397"/>
      <c r="ROP7" s="397"/>
      <c r="ROQ7" s="397"/>
      <c r="ROR7" s="397"/>
      <c r="ROS7" s="397"/>
      <c r="ROT7" s="397"/>
      <c r="ROU7" s="397"/>
      <c r="ROV7" s="397"/>
      <c r="ROW7" s="397"/>
      <c r="ROX7" s="397"/>
      <c r="ROY7" s="397"/>
      <c r="ROZ7" s="397"/>
      <c r="RPA7" s="397"/>
      <c r="RPB7" s="397"/>
      <c r="RPC7" s="397"/>
      <c r="RPD7" s="397"/>
      <c r="RPE7" s="397"/>
      <c r="RPF7" s="397"/>
      <c r="RPG7" s="397"/>
      <c r="RPH7" s="397"/>
      <c r="RPI7" s="397"/>
      <c r="RPJ7" s="397"/>
      <c r="RPK7" s="397"/>
      <c r="RPL7" s="397"/>
      <c r="RPM7" s="397"/>
      <c r="RPN7" s="397"/>
      <c r="RPO7" s="397"/>
      <c r="RPP7" s="397"/>
      <c r="RPQ7" s="397"/>
      <c r="RPR7" s="397"/>
      <c r="RPS7" s="397"/>
      <c r="RPT7" s="397"/>
      <c r="RPU7" s="397"/>
      <c r="RPV7" s="397"/>
      <c r="RPW7" s="397"/>
      <c r="RPX7" s="397"/>
      <c r="RPY7" s="397"/>
      <c r="RPZ7" s="397"/>
      <c r="RQA7" s="397"/>
      <c r="RQB7" s="397"/>
      <c r="RQC7" s="397"/>
      <c r="RQD7" s="397"/>
      <c r="RQE7" s="397"/>
      <c r="RQF7" s="397"/>
      <c r="RQG7" s="397"/>
      <c r="RQH7" s="397"/>
      <c r="RQI7" s="397"/>
      <c r="RQJ7" s="397"/>
      <c r="RQK7" s="397"/>
      <c r="RQL7" s="397"/>
      <c r="RQM7" s="397"/>
      <c r="RQN7" s="397"/>
      <c r="RQO7" s="397"/>
      <c r="RQP7" s="397"/>
      <c r="RQQ7" s="397"/>
      <c r="RQR7" s="397"/>
      <c r="RQS7" s="397"/>
      <c r="RQT7" s="397"/>
      <c r="RQU7" s="397"/>
      <c r="RQV7" s="397"/>
      <c r="RQW7" s="397"/>
      <c r="RQX7" s="397"/>
      <c r="RQY7" s="397"/>
      <c r="RQZ7" s="397"/>
      <c r="RRA7" s="397"/>
      <c r="RRB7" s="397"/>
      <c r="RRC7" s="397"/>
      <c r="RRD7" s="397"/>
      <c r="RRE7" s="397"/>
      <c r="RRF7" s="397"/>
      <c r="RRG7" s="397"/>
      <c r="RRH7" s="397"/>
      <c r="RRI7" s="397"/>
      <c r="RRJ7" s="397"/>
      <c r="RRK7" s="397"/>
      <c r="RRL7" s="397"/>
      <c r="RRM7" s="397"/>
      <c r="RRN7" s="397"/>
      <c r="RRO7" s="397"/>
      <c r="RRP7" s="397"/>
      <c r="RRQ7" s="397"/>
      <c r="RRR7" s="397"/>
      <c r="RRS7" s="397"/>
      <c r="RRT7" s="397"/>
      <c r="RRU7" s="397"/>
      <c r="RRV7" s="397"/>
      <c r="RRW7" s="397"/>
      <c r="RRX7" s="397"/>
      <c r="RRY7" s="397"/>
      <c r="RRZ7" s="397"/>
      <c r="RSA7" s="397"/>
      <c r="RSB7" s="397"/>
      <c r="RSC7" s="397"/>
      <c r="RSD7" s="397"/>
      <c r="RSE7" s="397"/>
      <c r="RSF7" s="397"/>
      <c r="RSG7" s="397"/>
      <c r="RSH7" s="397"/>
      <c r="RSI7" s="397"/>
      <c r="RSJ7" s="397"/>
      <c r="RSK7" s="397"/>
      <c r="RSL7" s="397"/>
      <c r="RSM7" s="397"/>
      <c r="RSN7" s="397"/>
      <c r="RSO7" s="397"/>
      <c r="RSP7" s="397"/>
      <c r="RSQ7" s="397"/>
      <c r="RSR7" s="397"/>
      <c r="RSS7" s="397"/>
      <c r="RST7" s="397"/>
      <c r="RSU7" s="397"/>
      <c r="RSV7" s="397"/>
      <c r="RSW7" s="397"/>
      <c r="RSX7" s="397"/>
      <c r="RSY7" s="397"/>
      <c r="RSZ7" s="397"/>
      <c r="RTA7" s="397"/>
      <c r="RTB7" s="397"/>
      <c r="RTC7" s="397"/>
      <c r="RTD7" s="397"/>
      <c r="RTE7" s="397"/>
      <c r="RTF7" s="397"/>
      <c r="RTG7" s="397"/>
      <c r="RTH7" s="397"/>
      <c r="RTI7" s="397"/>
      <c r="RTJ7" s="397"/>
      <c r="RTK7" s="397"/>
      <c r="RTL7" s="397"/>
      <c r="RTM7" s="397"/>
      <c r="RTN7" s="397"/>
      <c r="RTO7" s="397"/>
      <c r="RTP7" s="397"/>
      <c r="RTQ7" s="397"/>
      <c r="RTR7" s="397"/>
      <c r="RTS7" s="397"/>
      <c r="RTT7" s="397"/>
      <c r="RTU7" s="397"/>
      <c r="RTV7" s="397"/>
      <c r="RTW7" s="397"/>
      <c r="RTX7" s="397"/>
      <c r="RTY7" s="397"/>
      <c r="RTZ7" s="397"/>
      <c r="RUA7" s="397"/>
      <c r="RUB7" s="397"/>
      <c r="RUC7" s="397"/>
      <c r="RUD7" s="397"/>
      <c r="RUE7" s="397"/>
      <c r="RUF7" s="397"/>
      <c r="RUG7" s="397"/>
      <c r="RUH7" s="397"/>
      <c r="RUI7" s="397"/>
      <c r="RUJ7" s="397"/>
      <c r="RUK7" s="397"/>
      <c r="RUL7" s="397"/>
      <c r="RUM7" s="397"/>
      <c r="RUN7" s="397"/>
      <c r="RUO7" s="397"/>
      <c r="RUP7" s="397"/>
      <c r="RUQ7" s="397"/>
      <c r="RUR7" s="397"/>
      <c r="RUS7" s="397"/>
      <c r="RUT7" s="397"/>
      <c r="RUU7" s="397"/>
      <c r="RUV7" s="397"/>
      <c r="RUW7" s="397"/>
      <c r="RUX7" s="397"/>
      <c r="RUY7" s="397"/>
      <c r="RUZ7" s="397"/>
      <c r="RVA7" s="397"/>
      <c r="RVB7" s="397"/>
      <c r="RVC7" s="397"/>
      <c r="RVD7" s="397"/>
      <c r="RVE7" s="397"/>
      <c r="RVF7" s="397"/>
      <c r="RVG7" s="397"/>
      <c r="RVH7" s="397"/>
      <c r="RVI7" s="397"/>
      <c r="RVJ7" s="397"/>
      <c r="RVK7" s="397"/>
      <c r="RVL7" s="397"/>
      <c r="RVM7" s="397"/>
      <c r="RVN7" s="397"/>
      <c r="RVO7" s="397"/>
      <c r="RVP7" s="397"/>
      <c r="RVQ7" s="397"/>
      <c r="RVR7" s="397"/>
      <c r="RVS7" s="397"/>
      <c r="RVT7" s="397"/>
      <c r="RVU7" s="397"/>
      <c r="RVV7" s="397"/>
      <c r="RVW7" s="397"/>
      <c r="RVX7" s="397"/>
      <c r="RVY7" s="397"/>
      <c r="RVZ7" s="397"/>
      <c r="RWA7" s="397"/>
      <c r="RWB7" s="397"/>
      <c r="RWC7" s="397"/>
      <c r="RWD7" s="397"/>
      <c r="RWE7" s="397"/>
      <c r="RWF7" s="397"/>
      <c r="RWG7" s="397"/>
      <c r="RWH7" s="397"/>
      <c r="RWI7" s="397"/>
      <c r="RWJ7" s="397"/>
      <c r="RWK7" s="397"/>
      <c r="RWL7" s="397"/>
      <c r="RWM7" s="397"/>
      <c r="RWN7" s="397"/>
      <c r="RWO7" s="397"/>
      <c r="RWP7" s="397"/>
      <c r="RWQ7" s="397"/>
      <c r="RWR7" s="397"/>
      <c r="RWS7" s="397"/>
      <c r="RWT7" s="397"/>
      <c r="RWU7" s="397"/>
      <c r="RWV7" s="397"/>
      <c r="RWW7" s="397"/>
      <c r="RWX7" s="397"/>
      <c r="RWY7" s="397"/>
      <c r="RWZ7" s="397"/>
      <c r="RXA7" s="397"/>
      <c r="RXB7" s="397"/>
      <c r="RXC7" s="397"/>
      <c r="RXD7" s="397"/>
      <c r="RXE7" s="397"/>
      <c r="RXF7" s="397"/>
      <c r="RXG7" s="397"/>
      <c r="RXH7" s="397"/>
      <c r="RXI7" s="397"/>
      <c r="RXJ7" s="397"/>
      <c r="RXK7" s="397"/>
      <c r="RXL7" s="397"/>
      <c r="RXM7" s="397"/>
      <c r="RXN7" s="397"/>
      <c r="RXO7" s="397"/>
      <c r="RXP7" s="397"/>
      <c r="RXQ7" s="397"/>
      <c r="RXR7" s="397"/>
      <c r="RXS7" s="397"/>
      <c r="RXT7" s="397"/>
      <c r="RXU7" s="397"/>
      <c r="RXV7" s="397"/>
      <c r="RXW7" s="397"/>
      <c r="RXX7" s="397"/>
      <c r="RXY7" s="397"/>
      <c r="RXZ7" s="397"/>
      <c r="RYA7" s="397"/>
      <c r="RYB7" s="397"/>
      <c r="RYC7" s="397"/>
      <c r="RYD7" s="397"/>
      <c r="RYE7" s="397"/>
      <c r="RYF7" s="397"/>
      <c r="RYG7" s="397"/>
      <c r="RYH7" s="397"/>
      <c r="RYI7" s="397"/>
      <c r="RYJ7" s="397"/>
      <c r="RYK7" s="397"/>
      <c r="RYL7" s="397"/>
      <c r="RYM7" s="397"/>
      <c r="RYN7" s="397"/>
      <c r="RYO7" s="397"/>
      <c r="RYP7" s="397"/>
      <c r="RYQ7" s="397"/>
      <c r="RYR7" s="397"/>
      <c r="RYS7" s="397"/>
      <c r="RYT7" s="397"/>
      <c r="RYU7" s="397"/>
      <c r="RYV7" s="397"/>
      <c r="RYW7" s="397"/>
      <c r="RYX7" s="397"/>
      <c r="RYY7" s="397"/>
      <c r="RYZ7" s="397"/>
      <c r="RZA7" s="397"/>
      <c r="RZB7" s="397"/>
      <c r="RZC7" s="397"/>
      <c r="RZD7" s="397"/>
      <c r="RZE7" s="397"/>
      <c r="RZF7" s="397"/>
      <c r="RZG7" s="397"/>
      <c r="RZH7" s="397"/>
      <c r="RZI7" s="397"/>
      <c r="RZJ7" s="397"/>
      <c r="RZK7" s="397"/>
      <c r="RZL7" s="397"/>
      <c r="RZM7" s="397"/>
      <c r="RZN7" s="397"/>
      <c r="RZO7" s="397"/>
      <c r="RZP7" s="397"/>
      <c r="RZQ7" s="397"/>
      <c r="RZR7" s="397"/>
      <c r="RZS7" s="397"/>
      <c r="RZT7" s="397"/>
      <c r="RZU7" s="397"/>
      <c r="RZV7" s="397"/>
      <c r="RZW7" s="397"/>
      <c r="RZX7" s="397"/>
      <c r="RZY7" s="397"/>
      <c r="RZZ7" s="397"/>
      <c r="SAA7" s="397"/>
      <c r="SAB7" s="397"/>
      <c r="SAC7" s="397"/>
      <c r="SAD7" s="397"/>
      <c r="SAE7" s="397"/>
      <c r="SAF7" s="397"/>
      <c r="SAG7" s="397"/>
      <c r="SAH7" s="397"/>
      <c r="SAI7" s="397"/>
      <c r="SAJ7" s="397"/>
      <c r="SAK7" s="397"/>
      <c r="SAL7" s="397"/>
      <c r="SAM7" s="397"/>
      <c r="SAN7" s="397"/>
      <c r="SAO7" s="397"/>
      <c r="SAP7" s="397"/>
      <c r="SAQ7" s="397"/>
      <c r="SAR7" s="397"/>
      <c r="SAS7" s="397"/>
      <c r="SAT7" s="397"/>
      <c r="SAU7" s="397"/>
      <c r="SAV7" s="397"/>
      <c r="SAW7" s="397"/>
      <c r="SAX7" s="397"/>
      <c r="SAY7" s="397"/>
      <c r="SAZ7" s="397"/>
      <c r="SBA7" s="397"/>
      <c r="SBB7" s="397"/>
      <c r="SBC7" s="397"/>
      <c r="SBD7" s="397"/>
      <c r="SBE7" s="397"/>
      <c r="SBF7" s="397"/>
      <c r="SBG7" s="397"/>
      <c r="SBH7" s="397"/>
      <c r="SBI7" s="397"/>
      <c r="SBJ7" s="397"/>
      <c r="SBK7" s="397"/>
      <c r="SBL7" s="397"/>
      <c r="SBM7" s="397"/>
      <c r="SBN7" s="397"/>
      <c r="SBO7" s="397"/>
      <c r="SBP7" s="397"/>
      <c r="SBQ7" s="397"/>
      <c r="SBR7" s="397"/>
      <c r="SBS7" s="397"/>
      <c r="SBT7" s="397"/>
      <c r="SBU7" s="397"/>
      <c r="SBV7" s="397"/>
      <c r="SBW7" s="397"/>
      <c r="SBX7" s="397"/>
      <c r="SBY7" s="397"/>
      <c r="SBZ7" s="397"/>
      <c r="SCA7" s="397"/>
      <c r="SCB7" s="397"/>
      <c r="SCC7" s="397"/>
      <c r="SCD7" s="397"/>
      <c r="SCE7" s="397"/>
      <c r="SCF7" s="397"/>
      <c r="SCG7" s="397"/>
      <c r="SCH7" s="397"/>
      <c r="SCI7" s="397"/>
      <c r="SCJ7" s="397"/>
      <c r="SCK7" s="397"/>
      <c r="SCL7" s="397"/>
      <c r="SCM7" s="397"/>
      <c r="SCN7" s="397"/>
      <c r="SCO7" s="397"/>
      <c r="SCP7" s="397"/>
      <c r="SCQ7" s="397"/>
      <c r="SCR7" s="397"/>
      <c r="SCS7" s="397"/>
      <c r="SCT7" s="397"/>
      <c r="SCU7" s="397"/>
      <c r="SCV7" s="397"/>
      <c r="SCW7" s="397"/>
      <c r="SCX7" s="397"/>
      <c r="SCY7" s="397"/>
      <c r="SCZ7" s="397"/>
      <c r="SDA7" s="397"/>
      <c r="SDB7" s="397"/>
      <c r="SDC7" s="397"/>
      <c r="SDD7" s="397"/>
      <c r="SDE7" s="397"/>
      <c r="SDF7" s="397"/>
      <c r="SDG7" s="397"/>
      <c r="SDH7" s="397"/>
      <c r="SDI7" s="397"/>
      <c r="SDJ7" s="397"/>
      <c r="SDK7" s="397"/>
      <c r="SDL7" s="397"/>
      <c r="SDM7" s="397"/>
      <c r="SDN7" s="397"/>
      <c r="SDO7" s="397"/>
      <c r="SDP7" s="397"/>
      <c r="SDQ7" s="397"/>
      <c r="SDR7" s="397"/>
      <c r="SDS7" s="397"/>
      <c r="SDT7" s="397"/>
      <c r="SDU7" s="397"/>
      <c r="SDV7" s="397"/>
      <c r="SDW7" s="397"/>
      <c r="SDX7" s="397"/>
      <c r="SDY7" s="397"/>
      <c r="SDZ7" s="397"/>
      <c r="SEA7" s="397"/>
      <c r="SEB7" s="397"/>
      <c r="SEC7" s="397"/>
      <c r="SED7" s="397"/>
      <c r="SEE7" s="397"/>
      <c r="SEF7" s="397"/>
      <c r="SEG7" s="397"/>
      <c r="SEH7" s="397"/>
      <c r="SEI7" s="397"/>
      <c r="SEJ7" s="397"/>
      <c r="SEK7" s="397"/>
      <c r="SEL7" s="397"/>
      <c r="SEM7" s="397"/>
      <c r="SEN7" s="397"/>
      <c r="SEO7" s="397"/>
      <c r="SEP7" s="397"/>
      <c r="SEQ7" s="397"/>
      <c r="SER7" s="397"/>
      <c r="SES7" s="397"/>
      <c r="SET7" s="397"/>
      <c r="SEU7" s="397"/>
      <c r="SEV7" s="397"/>
      <c r="SEW7" s="397"/>
      <c r="SEX7" s="397"/>
      <c r="SEY7" s="397"/>
      <c r="SEZ7" s="397"/>
      <c r="SFA7" s="397"/>
      <c r="SFB7" s="397"/>
      <c r="SFC7" s="397"/>
      <c r="SFD7" s="397"/>
      <c r="SFE7" s="397"/>
      <c r="SFF7" s="397"/>
      <c r="SFG7" s="397"/>
      <c r="SFH7" s="397"/>
      <c r="SFI7" s="397"/>
      <c r="SFJ7" s="397"/>
      <c r="SFK7" s="397"/>
      <c r="SFL7" s="397"/>
      <c r="SFM7" s="397"/>
      <c r="SFN7" s="397"/>
      <c r="SFO7" s="397"/>
      <c r="SFP7" s="397"/>
      <c r="SFQ7" s="397"/>
      <c r="SFR7" s="397"/>
      <c r="SFS7" s="397"/>
      <c r="SFT7" s="397"/>
      <c r="SFU7" s="397"/>
      <c r="SFV7" s="397"/>
      <c r="SFW7" s="397"/>
      <c r="SFX7" s="397"/>
      <c r="SFY7" s="397"/>
      <c r="SFZ7" s="397"/>
      <c r="SGA7" s="397"/>
      <c r="SGB7" s="397"/>
      <c r="SGC7" s="397"/>
      <c r="SGD7" s="397"/>
      <c r="SGE7" s="397"/>
      <c r="SGF7" s="397"/>
      <c r="SGG7" s="397"/>
      <c r="SGH7" s="397"/>
      <c r="SGI7" s="397"/>
      <c r="SGJ7" s="397"/>
      <c r="SGK7" s="397"/>
      <c r="SGL7" s="397"/>
      <c r="SGM7" s="397"/>
      <c r="SGN7" s="397"/>
      <c r="SGO7" s="397"/>
      <c r="SGP7" s="397"/>
      <c r="SGQ7" s="397"/>
      <c r="SGR7" s="397"/>
      <c r="SGS7" s="397"/>
      <c r="SGT7" s="397"/>
      <c r="SGU7" s="397"/>
      <c r="SGV7" s="397"/>
      <c r="SGW7" s="397"/>
      <c r="SGX7" s="397"/>
      <c r="SGY7" s="397"/>
      <c r="SGZ7" s="397"/>
      <c r="SHA7" s="397"/>
      <c r="SHB7" s="397"/>
      <c r="SHC7" s="397"/>
      <c r="SHD7" s="397"/>
      <c r="SHE7" s="397"/>
      <c r="SHF7" s="397"/>
      <c r="SHG7" s="397"/>
      <c r="SHH7" s="397"/>
      <c r="SHI7" s="397"/>
      <c r="SHJ7" s="397"/>
      <c r="SHK7" s="397"/>
      <c r="SHL7" s="397"/>
      <c r="SHM7" s="397"/>
      <c r="SHN7" s="397"/>
      <c r="SHO7" s="397"/>
      <c r="SHP7" s="397"/>
      <c r="SHQ7" s="397"/>
      <c r="SHR7" s="397"/>
      <c r="SHS7" s="397"/>
      <c r="SHT7" s="397"/>
      <c r="SHU7" s="397"/>
      <c r="SHV7" s="397"/>
      <c r="SHW7" s="397"/>
      <c r="SHX7" s="397"/>
      <c r="SHY7" s="397"/>
      <c r="SHZ7" s="397"/>
      <c r="SIA7" s="397"/>
      <c r="SIB7" s="397"/>
      <c r="SIC7" s="397"/>
      <c r="SID7" s="397"/>
      <c r="SIE7" s="397"/>
      <c r="SIF7" s="397"/>
      <c r="SIG7" s="397"/>
      <c r="SIH7" s="397"/>
      <c r="SII7" s="397"/>
      <c r="SIJ7" s="397"/>
      <c r="SIK7" s="397"/>
      <c r="SIL7" s="397"/>
      <c r="SIM7" s="397"/>
      <c r="SIN7" s="397"/>
      <c r="SIO7" s="397"/>
      <c r="SIP7" s="397"/>
      <c r="SIQ7" s="397"/>
      <c r="SIR7" s="397"/>
      <c r="SIS7" s="397"/>
      <c r="SIT7" s="397"/>
      <c r="SIU7" s="397"/>
      <c r="SIV7" s="397"/>
      <c r="SIW7" s="397"/>
      <c r="SIX7" s="397"/>
      <c r="SIY7" s="397"/>
      <c r="SIZ7" s="397"/>
      <c r="SJA7" s="397"/>
      <c r="SJB7" s="397"/>
      <c r="SJC7" s="397"/>
      <c r="SJD7" s="397"/>
      <c r="SJE7" s="397"/>
      <c r="SJF7" s="397"/>
      <c r="SJG7" s="397"/>
      <c r="SJH7" s="397"/>
      <c r="SJI7" s="397"/>
      <c r="SJJ7" s="397"/>
      <c r="SJK7" s="397"/>
      <c r="SJL7" s="397"/>
      <c r="SJM7" s="397"/>
      <c r="SJN7" s="397"/>
      <c r="SJO7" s="397"/>
      <c r="SJP7" s="397"/>
      <c r="SJQ7" s="397"/>
      <c r="SJR7" s="397"/>
      <c r="SJS7" s="397"/>
      <c r="SJT7" s="397"/>
      <c r="SJU7" s="397"/>
      <c r="SJV7" s="397"/>
      <c r="SJW7" s="397"/>
      <c r="SJX7" s="397"/>
      <c r="SJY7" s="397"/>
      <c r="SJZ7" s="397"/>
      <c r="SKA7" s="397"/>
      <c r="SKB7" s="397"/>
      <c r="SKC7" s="397"/>
      <c r="SKD7" s="397"/>
      <c r="SKE7" s="397"/>
      <c r="SKF7" s="397"/>
      <c r="SKG7" s="397"/>
      <c r="SKH7" s="397"/>
      <c r="SKI7" s="397"/>
      <c r="SKJ7" s="397"/>
      <c r="SKK7" s="397"/>
      <c r="SKL7" s="397"/>
      <c r="SKM7" s="397"/>
      <c r="SKN7" s="397"/>
      <c r="SKO7" s="397"/>
      <c r="SKP7" s="397"/>
      <c r="SKQ7" s="397"/>
      <c r="SKR7" s="397"/>
      <c r="SKS7" s="397"/>
      <c r="SKT7" s="397"/>
      <c r="SKU7" s="397"/>
      <c r="SKV7" s="397"/>
      <c r="SKW7" s="397"/>
      <c r="SKX7" s="397"/>
      <c r="SKY7" s="397"/>
      <c r="SKZ7" s="397"/>
      <c r="SLA7" s="397"/>
      <c r="SLB7" s="397"/>
      <c r="SLC7" s="397"/>
      <c r="SLD7" s="397"/>
      <c r="SLE7" s="397"/>
      <c r="SLF7" s="397"/>
      <c r="SLG7" s="397"/>
      <c r="SLH7" s="397"/>
      <c r="SLI7" s="397"/>
      <c r="SLJ7" s="397"/>
      <c r="SLK7" s="397"/>
      <c r="SLL7" s="397"/>
      <c r="SLM7" s="397"/>
      <c r="SLN7" s="397"/>
      <c r="SLO7" s="397"/>
      <c r="SLP7" s="397"/>
      <c r="SLQ7" s="397"/>
      <c r="SLR7" s="397"/>
      <c r="SLS7" s="397"/>
      <c r="SLT7" s="397"/>
      <c r="SLU7" s="397"/>
      <c r="SLV7" s="397"/>
      <c r="SLW7" s="397"/>
      <c r="SLX7" s="397"/>
      <c r="SLY7" s="397"/>
      <c r="SLZ7" s="397"/>
      <c r="SMA7" s="397"/>
      <c r="SMB7" s="397"/>
      <c r="SMC7" s="397"/>
      <c r="SMD7" s="397"/>
      <c r="SME7" s="397"/>
      <c r="SMF7" s="397"/>
      <c r="SMG7" s="397"/>
      <c r="SMH7" s="397"/>
      <c r="SMI7" s="397"/>
      <c r="SMJ7" s="397"/>
      <c r="SMK7" s="397"/>
      <c r="SML7" s="397"/>
      <c r="SMM7" s="397"/>
      <c r="SMN7" s="397"/>
      <c r="SMO7" s="397"/>
      <c r="SMP7" s="397"/>
      <c r="SMQ7" s="397"/>
      <c r="SMR7" s="397"/>
      <c r="SMS7" s="397"/>
      <c r="SMT7" s="397"/>
      <c r="SMU7" s="397"/>
      <c r="SMV7" s="397"/>
      <c r="SMW7" s="397"/>
      <c r="SMX7" s="397"/>
      <c r="SMY7" s="397"/>
      <c r="SMZ7" s="397"/>
      <c r="SNA7" s="397"/>
      <c r="SNB7" s="397"/>
      <c r="SNC7" s="397"/>
      <c r="SND7" s="397"/>
      <c r="SNE7" s="397"/>
      <c r="SNF7" s="397"/>
      <c r="SNG7" s="397"/>
      <c r="SNH7" s="397"/>
      <c r="SNI7" s="397"/>
      <c r="SNJ7" s="397"/>
      <c r="SNK7" s="397"/>
      <c r="SNL7" s="397"/>
      <c r="SNM7" s="397"/>
      <c r="SNN7" s="397"/>
      <c r="SNO7" s="397"/>
      <c r="SNP7" s="397"/>
      <c r="SNQ7" s="397"/>
      <c r="SNR7" s="397"/>
      <c r="SNS7" s="397"/>
      <c r="SNT7" s="397"/>
      <c r="SNU7" s="397"/>
      <c r="SNV7" s="397"/>
      <c r="SNW7" s="397"/>
      <c r="SNX7" s="397"/>
      <c r="SNY7" s="397"/>
      <c r="SNZ7" s="397"/>
      <c r="SOA7" s="397"/>
      <c r="SOB7" s="397"/>
      <c r="SOC7" s="397"/>
      <c r="SOD7" s="397"/>
      <c r="SOE7" s="397"/>
      <c r="SOF7" s="397"/>
      <c r="SOG7" s="397"/>
      <c r="SOH7" s="397"/>
      <c r="SOI7" s="397"/>
      <c r="SOJ7" s="397"/>
      <c r="SOK7" s="397"/>
      <c r="SOL7" s="397"/>
      <c r="SOM7" s="397"/>
      <c r="SON7" s="397"/>
      <c r="SOO7" s="397"/>
      <c r="SOP7" s="397"/>
      <c r="SOQ7" s="397"/>
      <c r="SOR7" s="397"/>
      <c r="SOS7" s="397"/>
      <c r="SOT7" s="397"/>
      <c r="SOU7" s="397"/>
      <c r="SOV7" s="397"/>
      <c r="SOW7" s="397"/>
      <c r="SOX7" s="397"/>
      <c r="SOY7" s="397"/>
      <c r="SOZ7" s="397"/>
      <c r="SPA7" s="397"/>
      <c r="SPB7" s="397"/>
      <c r="SPC7" s="397"/>
      <c r="SPD7" s="397"/>
      <c r="SPE7" s="397"/>
      <c r="SPF7" s="397"/>
      <c r="SPG7" s="397"/>
      <c r="SPH7" s="397"/>
      <c r="SPI7" s="397"/>
      <c r="SPJ7" s="397"/>
      <c r="SPK7" s="397"/>
      <c r="SPL7" s="397"/>
      <c r="SPM7" s="397"/>
      <c r="SPN7" s="397"/>
      <c r="SPO7" s="397"/>
      <c r="SPP7" s="397"/>
      <c r="SPQ7" s="397"/>
      <c r="SPR7" s="397"/>
      <c r="SPS7" s="397"/>
      <c r="SPT7" s="397"/>
      <c r="SPU7" s="397"/>
      <c r="SPV7" s="397"/>
      <c r="SPW7" s="397"/>
      <c r="SPX7" s="397"/>
      <c r="SPY7" s="397"/>
      <c r="SPZ7" s="397"/>
      <c r="SQA7" s="397"/>
      <c r="SQB7" s="397"/>
      <c r="SQC7" s="397"/>
      <c r="SQD7" s="397"/>
      <c r="SQE7" s="397"/>
      <c r="SQF7" s="397"/>
      <c r="SQG7" s="397"/>
      <c r="SQH7" s="397"/>
      <c r="SQI7" s="397"/>
      <c r="SQJ7" s="397"/>
      <c r="SQK7" s="397"/>
      <c r="SQL7" s="397"/>
      <c r="SQM7" s="397"/>
      <c r="SQN7" s="397"/>
      <c r="SQO7" s="397"/>
      <c r="SQP7" s="397"/>
      <c r="SQQ7" s="397"/>
      <c r="SQR7" s="397"/>
      <c r="SQS7" s="397"/>
      <c r="SQT7" s="397"/>
      <c r="SQU7" s="397"/>
      <c r="SQV7" s="397"/>
      <c r="SQW7" s="397"/>
      <c r="SQX7" s="397"/>
      <c r="SQY7" s="397"/>
      <c r="SQZ7" s="397"/>
      <c r="SRA7" s="397"/>
      <c r="SRB7" s="397"/>
      <c r="SRC7" s="397"/>
      <c r="SRD7" s="397"/>
      <c r="SRE7" s="397"/>
      <c r="SRF7" s="397"/>
      <c r="SRG7" s="397"/>
      <c r="SRH7" s="397"/>
      <c r="SRI7" s="397"/>
      <c r="SRJ7" s="397"/>
      <c r="SRK7" s="397"/>
      <c r="SRL7" s="397"/>
      <c r="SRM7" s="397"/>
      <c r="SRN7" s="397"/>
      <c r="SRO7" s="397"/>
      <c r="SRP7" s="397"/>
      <c r="SRQ7" s="397"/>
      <c r="SRR7" s="397"/>
      <c r="SRS7" s="397"/>
      <c r="SRT7" s="397"/>
      <c r="SRU7" s="397"/>
      <c r="SRV7" s="397"/>
      <c r="SRW7" s="397"/>
      <c r="SRX7" s="397"/>
      <c r="SRY7" s="397"/>
      <c r="SRZ7" s="397"/>
      <c r="SSA7" s="397"/>
      <c r="SSB7" s="397"/>
      <c r="SSC7" s="397"/>
      <c r="SSD7" s="397"/>
      <c r="SSE7" s="397"/>
      <c r="SSF7" s="397"/>
      <c r="SSG7" s="397"/>
      <c r="SSH7" s="397"/>
      <c r="SSI7" s="397"/>
      <c r="SSJ7" s="397"/>
      <c r="SSK7" s="397"/>
      <c r="SSL7" s="397"/>
      <c r="SSM7" s="397"/>
      <c r="SSN7" s="397"/>
      <c r="SSO7" s="397"/>
      <c r="SSP7" s="397"/>
      <c r="SSQ7" s="397"/>
      <c r="SSR7" s="397"/>
      <c r="SSS7" s="397"/>
      <c r="SST7" s="397"/>
      <c r="SSU7" s="397"/>
      <c r="SSV7" s="397"/>
      <c r="SSW7" s="397"/>
      <c r="SSX7" s="397"/>
      <c r="SSY7" s="397"/>
      <c r="SSZ7" s="397"/>
      <c r="STA7" s="397"/>
      <c r="STB7" s="397"/>
      <c r="STC7" s="397"/>
      <c r="STD7" s="397"/>
      <c r="STE7" s="397"/>
      <c r="STF7" s="397"/>
      <c r="STG7" s="397"/>
      <c r="STH7" s="397"/>
      <c r="STI7" s="397"/>
      <c r="STJ7" s="397"/>
      <c r="STK7" s="397"/>
      <c r="STL7" s="397"/>
      <c r="STM7" s="397"/>
      <c r="STN7" s="397"/>
      <c r="STO7" s="397"/>
      <c r="STP7" s="397"/>
      <c r="STQ7" s="397"/>
      <c r="STR7" s="397"/>
      <c r="STS7" s="397"/>
      <c r="STT7" s="397"/>
      <c r="STU7" s="397"/>
      <c r="STV7" s="397"/>
      <c r="STW7" s="397"/>
      <c r="STX7" s="397"/>
      <c r="STY7" s="397"/>
      <c r="STZ7" s="397"/>
      <c r="SUA7" s="397"/>
      <c r="SUB7" s="397"/>
      <c r="SUC7" s="397"/>
      <c r="SUD7" s="397"/>
      <c r="SUE7" s="397"/>
      <c r="SUF7" s="397"/>
      <c r="SUG7" s="397"/>
      <c r="SUH7" s="397"/>
      <c r="SUI7" s="397"/>
      <c r="SUJ7" s="397"/>
      <c r="SUK7" s="397"/>
      <c r="SUL7" s="397"/>
      <c r="SUM7" s="397"/>
      <c r="SUN7" s="397"/>
      <c r="SUO7" s="397"/>
      <c r="SUP7" s="397"/>
      <c r="SUQ7" s="397"/>
      <c r="SUR7" s="397"/>
      <c r="SUS7" s="397"/>
      <c r="SUT7" s="397"/>
      <c r="SUU7" s="397"/>
      <c r="SUV7" s="397"/>
      <c r="SUW7" s="397"/>
      <c r="SUX7" s="397"/>
      <c r="SUY7" s="397"/>
      <c r="SUZ7" s="397"/>
      <c r="SVA7" s="397"/>
      <c r="SVB7" s="397"/>
      <c r="SVC7" s="397"/>
      <c r="SVD7" s="397"/>
      <c r="SVE7" s="397"/>
      <c r="SVF7" s="397"/>
      <c r="SVG7" s="397"/>
      <c r="SVH7" s="397"/>
      <c r="SVI7" s="397"/>
      <c r="SVJ7" s="397"/>
      <c r="SVK7" s="397"/>
      <c r="SVL7" s="397"/>
      <c r="SVM7" s="397"/>
      <c r="SVN7" s="397"/>
      <c r="SVO7" s="397"/>
      <c r="SVP7" s="397"/>
      <c r="SVQ7" s="397"/>
      <c r="SVR7" s="397"/>
      <c r="SVS7" s="397"/>
      <c r="SVT7" s="397"/>
      <c r="SVU7" s="397"/>
      <c r="SVV7" s="397"/>
      <c r="SVW7" s="397"/>
      <c r="SVX7" s="397"/>
      <c r="SVY7" s="397"/>
      <c r="SVZ7" s="397"/>
      <c r="SWA7" s="397"/>
      <c r="SWB7" s="397"/>
      <c r="SWC7" s="397"/>
      <c r="SWD7" s="397"/>
      <c r="SWE7" s="397"/>
      <c r="SWF7" s="397"/>
      <c r="SWG7" s="397"/>
      <c r="SWH7" s="397"/>
      <c r="SWI7" s="397"/>
      <c r="SWJ7" s="397"/>
      <c r="SWK7" s="397"/>
      <c r="SWL7" s="397"/>
      <c r="SWM7" s="397"/>
      <c r="SWN7" s="397"/>
      <c r="SWO7" s="397"/>
      <c r="SWP7" s="397"/>
      <c r="SWQ7" s="397"/>
      <c r="SWR7" s="397"/>
      <c r="SWS7" s="397"/>
      <c r="SWT7" s="397"/>
      <c r="SWU7" s="397"/>
      <c r="SWV7" s="397"/>
      <c r="SWW7" s="397"/>
      <c r="SWX7" s="397"/>
      <c r="SWY7" s="397"/>
      <c r="SWZ7" s="397"/>
      <c r="SXA7" s="397"/>
      <c r="SXB7" s="397"/>
      <c r="SXC7" s="397"/>
      <c r="SXD7" s="397"/>
      <c r="SXE7" s="397"/>
      <c r="SXF7" s="397"/>
      <c r="SXG7" s="397"/>
      <c r="SXH7" s="397"/>
      <c r="SXI7" s="397"/>
      <c r="SXJ7" s="397"/>
      <c r="SXK7" s="397"/>
      <c r="SXL7" s="397"/>
      <c r="SXM7" s="397"/>
      <c r="SXN7" s="397"/>
      <c r="SXO7" s="397"/>
      <c r="SXP7" s="397"/>
      <c r="SXQ7" s="397"/>
      <c r="SXR7" s="397"/>
      <c r="SXS7" s="397"/>
      <c r="SXT7" s="397"/>
      <c r="SXU7" s="397"/>
      <c r="SXV7" s="397"/>
      <c r="SXW7" s="397"/>
      <c r="SXX7" s="397"/>
      <c r="SXY7" s="397"/>
      <c r="SXZ7" s="397"/>
      <c r="SYA7" s="397"/>
      <c r="SYB7" s="397"/>
      <c r="SYC7" s="397"/>
      <c r="SYD7" s="397"/>
      <c r="SYE7" s="397"/>
      <c r="SYF7" s="397"/>
      <c r="SYG7" s="397"/>
      <c r="SYH7" s="397"/>
      <c r="SYI7" s="397"/>
      <c r="SYJ7" s="397"/>
      <c r="SYK7" s="397"/>
      <c r="SYL7" s="397"/>
      <c r="SYM7" s="397"/>
      <c r="SYN7" s="397"/>
      <c r="SYO7" s="397"/>
      <c r="SYP7" s="397"/>
      <c r="SYQ7" s="397"/>
      <c r="SYR7" s="397"/>
      <c r="SYS7" s="397"/>
      <c r="SYT7" s="397"/>
      <c r="SYU7" s="397"/>
      <c r="SYV7" s="397"/>
      <c r="SYW7" s="397"/>
      <c r="SYX7" s="397"/>
      <c r="SYY7" s="397"/>
      <c r="SYZ7" s="397"/>
      <c r="SZA7" s="397"/>
      <c r="SZB7" s="397"/>
      <c r="SZC7" s="397"/>
      <c r="SZD7" s="397"/>
      <c r="SZE7" s="397"/>
      <c r="SZF7" s="397"/>
      <c r="SZG7" s="397"/>
      <c r="SZH7" s="397"/>
      <c r="SZI7" s="397"/>
      <c r="SZJ7" s="397"/>
      <c r="SZK7" s="397"/>
      <c r="SZL7" s="397"/>
      <c r="SZM7" s="397"/>
      <c r="SZN7" s="397"/>
      <c r="SZO7" s="397"/>
      <c r="SZP7" s="397"/>
      <c r="SZQ7" s="397"/>
      <c r="SZR7" s="397"/>
      <c r="SZS7" s="397"/>
      <c r="SZT7" s="397"/>
      <c r="SZU7" s="397"/>
      <c r="SZV7" s="397"/>
      <c r="SZW7" s="397"/>
      <c r="SZX7" s="397"/>
      <c r="SZY7" s="397"/>
      <c r="SZZ7" s="397"/>
      <c r="TAA7" s="397"/>
      <c r="TAB7" s="397"/>
      <c r="TAC7" s="397"/>
      <c r="TAD7" s="397"/>
      <c r="TAE7" s="397"/>
      <c r="TAF7" s="397"/>
      <c r="TAG7" s="397"/>
      <c r="TAH7" s="397"/>
      <c r="TAI7" s="397"/>
      <c r="TAJ7" s="397"/>
      <c r="TAK7" s="397"/>
      <c r="TAL7" s="397"/>
      <c r="TAM7" s="397"/>
      <c r="TAN7" s="397"/>
      <c r="TAO7" s="397"/>
      <c r="TAP7" s="397"/>
      <c r="TAQ7" s="397"/>
      <c r="TAR7" s="397"/>
      <c r="TAS7" s="397"/>
      <c r="TAT7" s="397"/>
      <c r="TAU7" s="397"/>
      <c r="TAV7" s="397"/>
      <c r="TAW7" s="397"/>
      <c r="TAX7" s="397"/>
      <c r="TAY7" s="397"/>
      <c r="TAZ7" s="397"/>
      <c r="TBA7" s="397"/>
      <c r="TBB7" s="397"/>
      <c r="TBC7" s="397"/>
      <c r="TBD7" s="397"/>
      <c r="TBE7" s="397"/>
      <c r="TBF7" s="397"/>
      <c r="TBG7" s="397"/>
      <c r="TBH7" s="397"/>
      <c r="TBI7" s="397"/>
      <c r="TBJ7" s="397"/>
      <c r="TBK7" s="397"/>
      <c r="TBL7" s="397"/>
      <c r="TBM7" s="397"/>
      <c r="TBN7" s="397"/>
      <c r="TBO7" s="397"/>
      <c r="TBP7" s="397"/>
      <c r="TBQ7" s="397"/>
      <c r="TBR7" s="397"/>
      <c r="TBS7" s="397"/>
      <c r="TBT7" s="397"/>
      <c r="TBU7" s="397"/>
      <c r="TBV7" s="397"/>
      <c r="TBW7" s="397"/>
      <c r="TBX7" s="397"/>
      <c r="TBY7" s="397"/>
      <c r="TBZ7" s="397"/>
      <c r="TCA7" s="397"/>
      <c r="TCB7" s="397"/>
      <c r="TCC7" s="397"/>
      <c r="TCD7" s="397"/>
      <c r="TCE7" s="397"/>
      <c r="TCF7" s="397"/>
      <c r="TCG7" s="397"/>
      <c r="TCH7" s="397"/>
      <c r="TCI7" s="397"/>
      <c r="TCJ7" s="397"/>
      <c r="TCK7" s="397"/>
      <c r="TCL7" s="397"/>
      <c r="TCM7" s="397"/>
      <c r="TCN7" s="397"/>
      <c r="TCO7" s="397"/>
      <c r="TCP7" s="397"/>
      <c r="TCQ7" s="397"/>
      <c r="TCR7" s="397"/>
      <c r="TCS7" s="397"/>
      <c r="TCT7" s="397"/>
      <c r="TCU7" s="397"/>
      <c r="TCV7" s="397"/>
      <c r="TCW7" s="397"/>
      <c r="TCX7" s="397"/>
      <c r="TCY7" s="397"/>
      <c r="TCZ7" s="397"/>
      <c r="TDA7" s="397"/>
      <c r="TDB7" s="397"/>
      <c r="TDC7" s="397"/>
      <c r="TDD7" s="397"/>
      <c r="TDE7" s="397"/>
      <c r="TDF7" s="397"/>
      <c r="TDG7" s="397"/>
      <c r="TDH7" s="397"/>
      <c r="TDI7" s="397"/>
      <c r="TDJ7" s="397"/>
      <c r="TDK7" s="397"/>
      <c r="TDL7" s="397"/>
      <c r="TDM7" s="397"/>
      <c r="TDN7" s="397"/>
      <c r="TDO7" s="397"/>
      <c r="TDP7" s="397"/>
      <c r="TDQ7" s="397"/>
      <c r="TDR7" s="397"/>
      <c r="TDS7" s="397"/>
      <c r="TDT7" s="397"/>
      <c r="TDU7" s="397"/>
      <c r="TDV7" s="397"/>
      <c r="TDW7" s="397"/>
      <c r="TDX7" s="397"/>
      <c r="TDY7" s="397"/>
      <c r="TDZ7" s="397"/>
      <c r="TEA7" s="397"/>
      <c r="TEB7" s="397"/>
      <c r="TEC7" s="397"/>
      <c r="TED7" s="397"/>
      <c r="TEE7" s="397"/>
      <c r="TEF7" s="397"/>
      <c r="TEG7" s="397"/>
      <c r="TEH7" s="397"/>
      <c r="TEI7" s="397"/>
      <c r="TEJ7" s="397"/>
      <c r="TEK7" s="397"/>
      <c r="TEL7" s="397"/>
      <c r="TEM7" s="397"/>
      <c r="TEN7" s="397"/>
      <c r="TEO7" s="397"/>
      <c r="TEP7" s="397"/>
      <c r="TEQ7" s="397"/>
      <c r="TER7" s="397"/>
      <c r="TES7" s="397"/>
      <c r="TET7" s="397"/>
      <c r="TEU7" s="397"/>
      <c r="TEV7" s="397"/>
      <c r="TEW7" s="397"/>
      <c r="TEX7" s="397"/>
      <c r="TEY7" s="397"/>
      <c r="TEZ7" s="397"/>
      <c r="TFA7" s="397"/>
      <c r="TFB7" s="397"/>
      <c r="TFC7" s="397"/>
      <c r="TFD7" s="397"/>
      <c r="TFE7" s="397"/>
      <c r="TFF7" s="397"/>
      <c r="TFG7" s="397"/>
      <c r="TFH7" s="397"/>
      <c r="TFI7" s="397"/>
      <c r="TFJ7" s="397"/>
      <c r="TFK7" s="397"/>
      <c r="TFL7" s="397"/>
      <c r="TFM7" s="397"/>
      <c r="TFN7" s="397"/>
      <c r="TFO7" s="397"/>
      <c r="TFP7" s="397"/>
      <c r="TFQ7" s="397"/>
      <c r="TFR7" s="397"/>
      <c r="TFS7" s="397"/>
      <c r="TFT7" s="397"/>
      <c r="TFU7" s="397"/>
      <c r="TFV7" s="397"/>
      <c r="TFW7" s="397"/>
      <c r="TFX7" s="397"/>
      <c r="TFY7" s="397"/>
      <c r="TFZ7" s="397"/>
      <c r="TGA7" s="397"/>
      <c r="TGB7" s="397"/>
      <c r="TGC7" s="397"/>
      <c r="TGD7" s="397"/>
      <c r="TGE7" s="397"/>
      <c r="TGF7" s="397"/>
      <c r="TGG7" s="397"/>
      <c r="TGH7" s="397"/>
      <c r="TGI7" s="397"/>
      <c r="TGJ7" s="397"/>
      <c r="TGK7" s="397"/>
      <c r="TGL7" s="397"/>
      <c r="TGM7" s="397"/>
      <c r="TGN7" s="397"/>
      <c r="TGO7" s="397"/>
      <c r="TGP7" s="397"/>
      <c r="TGQ7" s="397"/>
      <c r="TGR7" s="397"/>
      <c r="TGS7" s="397"/>
      <c r="TGT7" s="397"/>
      <c r="TGU7" s="397"/>
      <c r="TGV7" s="397"/>
      <c r="TGW7" s="397"/>
      <c r="TGX7" s="397"/>
      <c r="TGY7" s="397"/>
      <c r="TGZ7" s="397"/>
      <c r="THA7" s="397"/>
      <c r="THB7" s="397"/>
      <c r="THC7" s="397"/>
      <c r="THD7" s="397"/>
      <c r="THE7" s="397"/>
      <c r="THF7" s="397"/>
      <c r="THG7" s="397"/>
      <c r="THH7" s="397"/>
      <c r="THI7" s="397"/>
      <c r="THJ7" s="397"/>
      <c r="THK7" s="397"/>
      <c r="THL7" s="397"/>
      <c r="THM7" s="397"/>
      <c r="THN7" s="397"/>
      <c r="THO7" s="397"/>
      <c r="THP7" s="397"/>
      <c r="THQ7" s="397"/>
      <c r="THR7" s="397"/>
      <c r="THS7" s="397"/>
      <c r="THT7" s="397"/>
      <c r="THU7" s="397"/>
      <c r="THV7" s="397"/>
      <c r="THW7" s="397"/>
      <c r="THX7" s="397"/>
      <c r="THY7" s="397"/>
      <c r="THZ7" s="397"/>
      <c r="TIA7" s="397"/>
      <c r="TIB7" s="397"/>
      <c r="TIC7" s="397"/>
      <c r="TID7" s="397"/>
      <c r="TIE7" s="397"/>
      <c r="TIF7" s="397"/>
      <c r="TIG7" s="397"/>
      <c r="TIH7" s="397"/>
      <c r="TII7" s="397"/>
      <c r="TIJ7" s="397"/>
      <c r="TIK7" s="397"/>
      <c r="TIL7" s="397"/>
      <c r="TIM7" s="397"/>
      <c r="TIN7" s="397"/>
      <c r="TIO7" s="397"/>
      <c r="TIP7" s="397"/>
      <c r="TIQ7" s="397"/>
      <c r="TIR7" s="397"/>
      <c r="TIS7" s="397"/>
      <c r="TIT7" s="397"/>
      <c r="TIU7" s="397"/>
      <c r="TIV7" s="397"/>
      <c r="TIW7" s="397"/>
      <c r="TIX7" s="397"/>
      <c r="TIY7" s="397"/>
      <c r="TIZ7" s="397"/>
      <c r="TJA7" s="397"/>
      <c r="TJB7" s="397"/>
      <c r="TJC7" s="397"/>
      <c r="TJD7" s="397"/>
      <c r="TJE7" s="397"/>
      <c r="TJF7" s="397"/>
      <c r="TJG7" s="397"/>
      <c r="TJH7" s="397"/>
      <c r="TJI7" s="397"/>
      <c r="TJJ7" s="397"/>
      <c r="TJK7" s="397"/>
      <c r="TJL7" s="397"/>
      <c r="TJM7" s="397"/>
      <c r="TJN7" s="397"/>
      <c r="TJO7" s="397"/>
      <c r="TJP7" s="397"/>
      <c r="TJQ7" s="397"/>
      <c r="TJR7" s="397"/>
      <c r="TJS7" s="397"/>
      <c r="TJT7" s="397"/>
      <c r="TJU7" s="397"/>
      <c r="TJV7" s="397"/>
      <c r="TJW7" s="397"/>
      <c r="TJX7" s="397"/>
      <c r="TJY7" s="397"/>
      <c r="TJZ7" s="397"/>
      <c r="TKA7" s="397"/>
      <c r="TKB7" s="397"/>
      <c r="TKC7" s="397"/>
      <c r="TKD7" s="397"/>
      <c r="TKE7" s="397"/>
      <c r="TKF7" s="397"/>
      <c r="TKG7" s="397"/>
      <c r="TKH7" s="397"/>
      <c r="TKI7" s="397"/>
      <c r="TKJ7" s="397"/>
      <c r="TKK7" s="397"/>
      <c r="TKL7" s="397"/>
      <c r="TKM7" s="397"/>
      <c r="TKN7" s="397"/>
      <c r="TKO7" s="397"/>
      <c r="TKP7" s="397"/>
      <c r="TKQ7" s="397"/>
      <c r="TKR7" s="397"/>
      <c r="TKS7" s="397"/>
      <c r="TKT7" s="397"/>
      <c r="TKU7" s="397"/>
      <c r="TKV7" s="397"/>
      <c r="TKW7" s="397"/>
      <c r="TKX7" s="397"/>
      <c r="TKY7" s="397"/>
      <c r="TKZ7" s="397"/>
      <c r="TLA7" s="397"/>
      <c r="TLB7" s="397"/>
      <c r="TLC7" s="397"/>
      <c r="TLD7" s="397"/>
      <c r="TLE7" s="397"/>
      <c r="TLF7" s="397"/>
      <c r="TLG7" s="397"/>
      <c r="TLH7" s="397"/>
      <c r="TLI7" s="397"/>
      <c r="TLJ7" s="397"/>
      <c r="TLK7" s="397"/>
      <c r="TLL7" s="397"/>
      <c r="TLM7" s="397"/>
      <c r="TLN7" s="397"/>
      <c r="TLO7" s="397"/>
      <c r="TLP7" s="397"/>
      <c r="TLQ7" s="397"/>
      <c r="TLR7" s="397"/>
      <c r="TLS7" s="397"/>
      <c r="TLT7" s="397"/>
      <c r="TLU7" s="397"/>
      <c r="TLV7" s="397"/>
      <c r="TLW7" s="397"/>
      <c r="TLX7" s="397"/>
      <c r="TLY7" s="397"/>
      <c r="TLZ7" s="397"/>
      <c r="TMA7" s="397"/>
      <c r="TMB7" s="397"/>
      <c r="TMC7" s="397"/>
      <c r="TMD7" s="397"/>
      <c r="TME7" s="397"/>
      <c r="TMF7" s="397"/>
      <c r="TMG7" s="397"/>
      <c r="TMH7" s="397"/>
      <c r="TMI7" s="397"/>
      <c r="TMJ7" s="397"/>
      <c r="TMK7" s="397"/>
      <c r="TML7" s="397"/>
      <c r="TMM7" s="397"/>
      <c r="TMN7" s="397"/>
      <c r="TMO7" s="397"/>
      <c r="TMP7" s="397"/>
      <c r="TMQ7" s="397"/>
      <c r="TMR7" s="397"/>
      <c r="TMS7" s="397"/>
      <c r="TMT7" s="397"/>
      <c r="TMU7" s="397"/>
      <c r="TMV7" s="397"/>
      <c r="TMW7" s="397"/>
      <c r="TMX7" s="397"/>
      <c r="TMY7" s="397"/>
      <c r="TMZ7" s="397"/>
      <c r="TNA7" s="397"/>
      <c r="TNB7" s="397"/>
      <c r="TNC7" s="397"/>
      <c r="TND7" s="397"/>
      <c r="TNE7" s="397"/>
      <c r="TNF7" s="397"/>
      <c r="TNG7" s="397"/>
      <c r="TNH7" s="397"/>
      <c r="TNI7" s="397"/>
      <c r="TNJ7" s="397"/>
      <c r="TNK7" s="397"/>
      <c r="TNL7" s="397"/>
      <c r="TNM7" s="397"/>
      <c r="TNN7" s="397"/>
      <c r="TNO7" s="397"/>
      <c r="TNP7" s="397"/>
      <c r="TNQ7" s="397"/>
      <c r="TNR7" s="397"/>
      <c r="TNS7" s="397"/>
      <c r="TNT7" s="397"/>
      <c r="TNU7" s="397"/>
      <c r="TNV7" s="397"/>
      <c r="TNW7" s="397"/>
      <c r="TNX7" s="397"/>
      <c r="TNY7" s="397"/>
      <c r="TNZ7" s="397"/>
      <c r="TOA7" s="397"/>
      <c r="TOB7" s="397"/>
      <c r="TOC7" s="397"/>
      <c r="TOD7" s="397"/>
      <c r="TOE7" s="397"/>
      <c r="TOF7" s="397"/>
      <c r="TOG7" s="397"/>
      <c r="TOH7" s="397"/>
      <c r="TOI7" s="397"/>
      <c r="TOJ7" s="397"/>
      <c r="TOK7" s="397"/>
      <c r="TOL7" s="397"/>
      <c r="TOM7" s="397"/>
      <c r="TON7" s="397"/>
      <c r="TOO7" s="397"/>
      <c r="TOP7" s="397"/>
      <c r="TOQ7" s="397"/>
      <c r="TOR7" s="397"/>
      <c r="TOS7" s="397"/>
      <c r="TOT7" s="397"/>
      <c r="TOU7" s="397"/>
      <c r="TOV7" s="397"/>
      <c r="TOW7" s="397"/>
      <c r="TOX7" s="397"/>
      <c r="TOY7" s="397"/>
      <c r="TOZ7" s="397"/>
      <c r="TPA7" s="397"/>
      <c r="TPB7" s="397"/>
      <c r="TPC7" s="397"/>
      <c r="TPD7" s="397"/>
      <c r="TPE7" s="397"/>
      <c r="TPF7" s="397"/>
      <c r="TPG7" s="397"/>
      <c r="TPH7" s="397"/>
      <c r="TPI7" s="397"/>
      <c r="TPJ7" s="397"/>
      <c r="TPK7" s="397"/>
      <c r="TPL7" s="397"/>
      <c r="TPM7" s="397"/>
      <c r="TPN7" s="397"/>
      <c r="TPO7" s="397"/>
      <c r="TPP7" s="397"/>
      <c r="TPQ7" s="397"/>
      <c r="TPR7" s="397"/>
      <c r="TPS7" s="397"/>
      <c r="TPT7" s="397"/>
      <c r="TPU7" s="397"/>
      <c r="TPV7" s="397"/>
      <c r="TPW7" s="397"/>
      <c r="TPX7" s="397"/>
      <c r="TPY7" s="397"/>
      <c r="TPZ7" s="397"/>
      <c r="TQA7" s="397"/>
      <c r="TQB7" s="397"/>
      <c r="TQC7" s="397"/>
      <c r="TQD7" s="397"/>
      <c r="TQE7" s="397"/>
      <c r="TQF7" s="397"/>
      <c r="TQG7" s="397"/>
      <c r="TQH7" s="397"/>
      <c r="TQI7" s="397"/>
      <c r="TQJ7" s="397"/>
      <c r="TQK7" s="397"/>
      <c r="TQL7" s="397"/>
      <c r="TQM7" s="397"/>
      <c r="TQN7" s="397"/>
      <c r="TQO7" s="397"/>
      <c r="TQP7" s="397"/>
      <c r="TQQ7" s="397"/>
      <c r="TQR7" s="397"/>
      <c r="TQS7" s="397"/>
      <c r="TQT7" s="397"/>
      <c r="TQU7" s="397"/>
      <c r="TQV7" s="397"/>
      <c r="TQW7" s="397"/>
      <c r="TQX7" s="397"/>
      <c r="TQY7" s="397"/>
      <c r="TQZ7" s="397"/>
      <c r="TRA7" s="397"/>
      <c r="TRB7" s="397"/>
      <c r="TRC7" s="397"/>
      <c r="TRD7" s="397"/>
      <c r="TRE7" s="397"/>
      <c r="TRF7" s="397"/>
      <c r="TRG7" s="397"/>
      <c r="TRH7" s="397"/>
      <c r="TRI7" s="397"/>
      <c r="TRJ7" s="397"/>
      <c r="TRK7" s="397"/>
      <c r="TRL7" s="397"/>
      <c r="TRM7" s="397"/>
      <c r="TRN7" s="397"/>
      <c r="TRO7" s="397"/>
      <c r="TRP7" s="397"/>
      <c r="TRQ7" s="397"/>
      <c r="TRR7" s="397"/>
      <c r="TRS7" s="397"/>
      <c r="TRT7" s="397"/>
      <c r="TRU7" s="397"/>
      <c r="TRV7" s="397"/>
      <c r="TRW7" s="397"/>
      <c r="TRX7" s="397"/>
      <c r="TRY7" s="397"/>
      <c r="TRZ7" s="397"/>
      <c r="TSA7" s="397"/>
      <c r="TSB7" s="397"/>
      <c r="TSC7" s="397"/>
      <c r="TSD7" s="397"/>
      <c r="TSE7" s="397"/>
      <c r="TSF7" s="397"/>
      <c r="TSG7" s="397"/>
      <c r="TSH7" s="397"/>
      <c r="TSI7" s="397"/>
      <c r="TSJ7" s="397"/>
      <c r="TSK7" s="397"/>
      <c r="TSL7" s="397"/>
      <c r="TSM7" s="397"/>
      <c r="TSN7" s="397"/>
      <c r="TSO7" s="397"/>
      <c r="TSP7" s="397"/>
      <c r="TSQ7" s="397"/>
      <c r="TSR7" s="397"/>
      <c r="TSS7" s="397"/>
      <c r="TST7" s="397"/>
      <c r="TSU7" s="397"/>
      <c r="TSV7" s="397"/>
      <c r="TSW7" s="397"/>
      <c r="TSX7" s="397"/>
      <c r="TSY7" s="397"/>
      <c r="TSZ7" s="397"/>
      <c r="TTA7" s="397"/>
      <c r="TTB7" s="397"/>
      <c r="TTC7" s="397"/>
      <c r="TTD7" s="397"/>
      <c r="TTE7" s="397"/>
      <c r="TTF7" s="397"/>
      <c r="TTG7" s="397"/>
      <c r="TTH7" s="397"/>
      <c r="TTI7" s="397"/>
      <c r="TTJ7" s="397"/>
      <c r="TTK7" s="397"/>
      <c r="TTL7" s="397"/>
      <c r="TTM7" s="397"/>
      <c r="TTN7" s="397"/>
      <c r="TTO7" s="397"/>
      <c r="TTP7" s="397"/>
      <c r="TTQ7" s="397"/>
      <c r="TTR7" s="397"/>
      <c r="TTS7" s="397"/>
      <c r="TTT7" s="397"/>
      <c r="TTU7" s="397"/>
      <c r="TTV7" s="397"/>
      <c r="TTW7" s="397"/>
      <c r="TTX7" s="397"/>
      <c r="TTY7" s="397"/>
      <c r="TTZ7" s="397"/>
      <c r="TUA7" s="397"/>
      <c r="TUB7" s="397"/>
      <c r="TUC7" s="397"/>
      <c r="TUD7" s="397"/>
      <c r="TUE7" s="397"/>
      <c r="TUF7" s="397"/>
      <c r="TUG7" s="397"/>
      <c r="TUH7" s="397"/>
      <c r="TUI7" s="397"/>
      <c r="TUJ7" s="397"/>
      <c r="TUK7" s="397"/>
      <c r="TUL7" s="397"/>
      <c r="TUM7" s="397"/>
      <c r="TUN7" s="397"/>
      <c r="TUO7" s="397"/>
      <c r="TUP7" s="397"/>
      <c r="TUQ7" s="397"/>
      <c r="TUR7" s="397"/>
      <c r="TUS7" s="397"/>
      <c r="TUT7" s="397"/>
      <c r="TUU7" s="397"/>
      <c r="TUV7" s="397"/>
      <c r="TUW7" s="397"/>
      <c r="TUX7" s="397"/>
      <c r="TUY7" s="397"/>
      <c r="TUZ7" s="397"/>
      <c r="TVA7" s="397"/>
      <c r="TVB7" s="397"/>
      <c r="TVC7" s="397"/>
      <c r="TVD7" s="397"/>
      <c r="TVE7" s="397"/>
      <c r="TVF7" s="397"/>
      <c r="TVG7" s="397"/>
      <c r="TVH7" s="397"/>
      <c r="TVI7" s="397"/>
      <c r="TVJ7" s="397"/>
      <c r="TVK7" s="397"/>
      <c r="TVL7" s="397"/>
      <c r="TVM7" s="397"/>
      <c r="TVN7" s="397"/>
      <c r="TVO7" s="397"/>
      <c r="TVP7" s="397"/>
      <c r="TVQ7" s="397"/>
      <c r="TVR7" s="397"/>
      <c r="TVS7" s="397"/>
      <c r="TVT7" s="397"/>
      <c r="TVU7" s="397"/>
      <c r="TVV7" s="397"/>
      <c r="TVW7" s="397"/>
      <c r="TVX7" s="397"/>
      <c r="TVY7" s="397"/>
      <c r="TVZ7" s="397"/>
      <c r="TWA7" s="397"/>
      <c r="TWB7" s="397"/>
      <c r="TWC7" s="397"/>
      <c r="TWD7" s="397"/>
      <c r="TWE7" s="397"/>
      <c r="TWF7" s="397"/>
      <c r="TWG7" s="397"/>
      <c r="TWH7" s="397"/>
      <c r="TWI7" s="397"/>
      <c r="TWJ7" s="397"/>
      <c r="TWK7" s="397"/>
      <c r="TWL7" s="397"/>
      <c r="TWM7" s="397"/>
      <c r="TWN7" s="397"/>
      <c r="TWO7" s="397"/>
      <c r="TWP7" s="397"/>
      <c r="TWQ7" s="397"/>
      <c r="TWR7" s="397"/>
      <c r="TWS7" s="397"/>
      <c r="TWT7" s="397"/>
      <c r="TWU7" s="397"/>
      <c r="TWV7" s="397"/>
      <c r="TWW7" s="397"/>
      <c r="TWX7" s="397"/>
      <c r="TWY7" s="397"/>
      <c r="TWZ7" s="397"/>
      <c r="TXA7" s="397"/>
      <c r="TXB7" s="397"/>
      <c r="TXC7" s="397"/>
      <c r="TXD7" s="397"/>
      <c r="TXE7" s="397"/>
      <c r="TXF7" s="397"/>
      <c r="TXG7" s="397"/>
      <c r="TXH7" s="397"/>
      <c r="TXI7" s="397"/>
      <c r="TXJ7" s="397"/>
      <c r="TXK7" s="397"/>
      <c r="TXL7" s="397"/>
      <c r="TXM7" s="397"/>
      <c r="TXN7" s="397"/>
      <c r="TXO7" s="397"/>
      <c r="TXP7" s="397"/>
      <c r="TXQ7" s="397"/>
      <c r="TXR7" s="397"/>
      <c r="TXS7" s="397"/>
      <c r="TXT7" s="397"/>
      <c r="TXU7" s="397"/>
      <c r="TXV7" s="397"/>
      <c r="TXW7" s="397"/>
      <c r="TXX7" s="397"/>
      <c r="TXY7" s="397"/>
      <c r="TXZ7" s="397"/>
      <c r="TYA7" s="397"/>
      <c r="TYB7" s="397"/>
      <c r="TYC7" s="397"/>
      <c r="TYD7" s="397"/>
      <c r="TYE7" s="397"/>
      <c r="TYF7" s="397"/>
      <c r="TYG7" s="397"/>
      <c r="TYH7" s="397"/>
      <c r="TYI7" s="397"/>
      <c r="TYJ7" s="397"/>
      <c r="TYK7" s="397"/>
      <c r="TYL7" s="397"/>
      <c r="TYM7" s="397"/>
      <c r="TYN7" s="397"/>
      <c r="TYO7" s="397"/>
      <c r="TYP7" s="397"/>
      <c r="TYQ7" s="397"/>
      <c r="TYR7" s="397"/>
      <c r="TYS7" s="397"/>
      <c r="TYT7" s="397"/>
      <c r="TYU7" s="397"/>
      <c r="TYV7" s="397"/>
      <c r="TYW7" s="397"/>
      <c r="TYX7" s="397"/>
      <c r="TYY7" s="397"/>
      <c r="TYZ7" s="397"/>
      <c r="TZA7" s="397"/>
      <c r="TZB7" s="397"/>
      <c r="TZC7" s="397"/>
      <c r="TZD7" s="397"/>
      <c r="TZE7" s="397"/>
      <c r="TZF7" s="397"/>
      <c r="TZG7" s="397"/>
      <c r="TZH7" s="397"/>
      <c r="TZI7" s="397"/>
      <c r="TZJ7" s="397"/>
      <c r="TZK7" s="397"/>
      <c r="TZL7" s="397"/>
      <c r="TZM7" s="397"/>
      <c r="TZN7" s="397"/>
      <c r="TZO7" s="397"/>
      <c r="TZP7" s="397"/>
      <c r="TZQ7" s="397"/>
      <c r="TZR7" s="397"/>
      <c r="TZS7" s="397"/>
      <c r="TZT7" s="397"/>
      <c r="TZU7" s="397"/>
      <c r="TZV7" s="397"/>
      <c r="TZW7" s="397"/>
      <c r="TZX7" s="397"/>
      <c r="TZY7" s="397"/>
      <c r="TZZ7" s="397"/>
      <c r="UAA7" s="397"/>
      <c r="UAB7" s="397"/>
      <c r="UAC7" s="397"/>
      <c r="UAD7" s="397"/>
      <c r="UAE7" s="397"/>
      <c r="UAF7" s="397"/>
      <c r="UAG7" s="397"/>
      <c r="UAH7" s="397"/>
      <c r="UAI7" s="397"/>
      <c r="UAJ7" s="397"/>
      <c r="UAK7" s="397"/>
      <c r="UAL7" s="397"/>
      <c r="UAM7" s="397"/>
      <c r="UAN7" s="397"/>
      <c r="UAO7" s="397"/>
      <c r="UAP7" s="397"/>
      <c r="UAQ7" s="397"/>
      <c r="UAR7" s="397"/>
      <c r="UAS7" s="397"/>
      <c r="UAT7" s="397"/>
      <c r="UAU7" s="397"/>
      <c r="UAV7" s="397"/>
      <c r="UAW7" s="397"/>
      <c r="UAX7" s="397"/>
      <c r="UAY7" s="397"/>
      <c r="UAZ7" s="397"/>
      <c r="UBA7" s="397"/>
      <c r="UBB7" s="397"/>
      <c r="UBC7" s="397"/>
      <c r="UBD7" s="397"/>
      <c r="UBE7" s="397"/>
      <c r="UBF7" s="397"/>
      <c r="UBG7" s="397"/>
      <c r="UBH7" s="397"/>
      <c r="UBI7" s="397"/>
      <c r="UBJ7" s="397"/>
      <c r="UBK7" s="397"/>
      <c r="UBL7" s="397"/>
      <c r="UBM7" s="397"/>
      <c r="UBN7" s="397"/>
      <c r="UBO7" s="397"/>
      <c r="UBP7" s="397"/>
      <c r="UBQ7" s="397"/>
      <c r="UBR7" s="397"/>
      <c r="UBS7" s="397"/>
      <c r="UBT7" s="397"/>
      <c r="UBU7" s="397"/>
      <c r="UBV7" s="397"/>
      <c r="UBW7" s="397"/>
      <c r="UBX7" s="397"/>
      <c r="UBY7" s="397"/>
      <c r="UBZ7" s="397"/>
      <c r="UCA7" s="397"/>
      <c r="UCB7" s="397"/>
      <c r="UCC7" s="397"/>
      <c r="UCD7" s="397"/>
      <c r="UCE7" s="397"/>
      <c r="UCF7" s="397"/>
      <c r="UCG7" s="397"/>
      <c r="UCH7" s="397"/>
      <c r="UCI7" s="397"/>
      <c r="UCJ7" s="397"/>
      <c r="UCK7" s="397"/>
      <c r="UCL7" s="397"/>
      <c r="UCM7" s="397"/>
      <c r="UCN7" s="397"/>
      <c r="UCO7" s="397"/>
      <c r="UCP7" s="397"/>
      <c r="UCQ7" s="397"/>
      <c r="UCR7" s="397"/>
      <c r="UCS7" s="397"/>
      <c r="UCT7" s="397"/>
      <c r="UCU7" s="397"/>
      <c r="UCV7" s="397"/>
      <c r="UCW7" s="397"/>
      <c r="UCX7" s="397"/>
      <c r="UCY7" s="397"/>
      <c r="UCZ7" s="397"/>
      <c r="UDA7" s="397"/>
      <c r="UDB7" s="397"/>
      <c r="UDC7" s="397"/>
      <c r="UDD7" s="397"/>
      <c r="UDE7" s="397"/>
      <c r="UDF7" s="397"/>
      <c r="UDG7" s="397"/>
      <c r="UDH7" s="397"/>
      <c r="UDI7" s="397"/>
      <c r="UDJ7" s="397"/>
      <c r="UDK7" s="397"/>
      <c r="UDL7" s="397"/>
      <c r="UDM7" s="397"/>
      <c r="UDN7" s="397"/>
      <c r="UDO7" s="397"/>
      <c r="UDP7" s="397"/>
      <c r="UDQ7" s="397"/>
      <c r="UDR7" s="397"/>
      <c r="UDS7" s="397"/>
      <c r="UDT7" s="397"/>
      <c r="UDU7" s="397"/>
      <c r="UDV7" s="397"/>
      <c r="UDW7" s="397"/>
      <c r="UDX7" s="397"/>
      <c r="UDY7" s="397"/>
      <c r="UDZ7" s="397"/>
      <c r="UEA7" s="397"/>
      <c r="UEB7" s="397"/>
      <c r="UEC7" s="397"/>
      <c r="UED7" s="397"/>
      <c r="UEE7" s="397"/>
      <c r="UEF7" s="397"/>
      <c r="UEG7" s="397"/>
      <c r="UEH7" s="397"/>
      <c r="UEI7" s="397"/>
      <c r="UEJ7" s="397"/>
      <c r="UEK7" s="397"/>
      <c r="UEL7" s="397"/>
      <c r="UEM7" s="397"/>
      <c r="UEN7" s="397"/>
      <c r="UEO7" s="397"/>
      <c r="UEP7" s="397"/>
      <c r="UEQ7" s="397"/>
      <c r="UER7" s="397"/>
      <c r="UES7" s="397"/>
      <c r="UET7" s="397"/>
      <c r="UEU7" s="397"/>
      <c r="UEV7" s="397"/>
      <c r="UEW7" s="397"/>
      <c r="UEX7" s="397"/>
      <c r="UEY7" s="397"/>
      <c r="UEZ7" s="397"/>
      <c r="UFA7" s="397"/>
      <c r="UFB7" s="397"/>
      <c r="UFC7" s="397"/>
      <c r="UFD7" s="397"/>
      <c r="UFE7" s="397"/>
      <c r="UFF7" s="397"/>
      <c r="UFG7" s="397"/>
      <c r="UFH7" s="397"/>
      <c r="UFI7" s="397"/>
      <c r="UFJ7" s="397"/>
      <c r="UFK7" s="397"/>
      <c r="UFL7" s="397"/>
      <c r="UFM7" s="397"/>
      <c r="UFN7" s="397"/>
      <c r="UFO7" s="397"/>
      <c r="UFP7" s="397"/>
      <c r="UFQ7" s="397"/>
      <c r="UFR7" s="397"/>
      <c r="UFS7" s="397"/>
      <c r="UFT7" s="397"/>
      <c r="UFU7" s="397"/>
      <c r="UFV7" s="397"/>
      <c r="UFW7" s="397"/>
      <c r="UFX7" s="397"/>
      <c r="UFY7" s="397"/>
      <c r="UFZ7" s="397"/>
      <c r="UGA7" s="397"/>
      <c r="UGB7" s="397"/>
      <c r="UGC7" s="397"/>
      <c r="UGD7" s="397"/>
      <c r="UGE7" s="397"/>
      <c r="UGF7" s="397"/>
      <c r="UGG7" s="397"/>
      <c r="UGH7" s="397"/>
      <c r="UGI7" s="397"/>
      <c r="UGJ7" s="397"/>
      <c r="UGK7" s="397"/>
      <c r="UGL7" s="397"/>
      <c r="UGM7" s="397"/>
      <c r="UGN7" s="397"/>
      <c r="UGO7" s="397"/>
      <c r="UGP7" s="397"/>
      <c r="UGQ7" s="397"/>
      <c r="UGR7" s="397"/>
      <c r="UGS7" s="397"/>
      <c r="UGT7" s="397"/>
      <c r="UGU7" s="397"/>
      <c r="UGV7" s="397"/>
      <c r="UGW7" s="397"/>
      <c r="UGX7" s="397"/>
      <c r="UGY7" s="397"/>
      <c r="UGZ7" s="397"/>
      <c r="UHA7" s="397"/>
      <c r="UHB7" s="397"/>
      <c r="UHC7" s="397"/>
      <c r="UHD7" s="397"/>
      <c r="UHE7" s="397"/>
      <c r="UHF7" s="397"/>
      <c r="UHG7" s="397"/>
      <c r="UHH7" s="397"/>
      <c r="UHI7" s="397"/>
      <c r="UHJ7" s="397"/>
      <c r="UHK7" s="397"/>
      <c r="UHL7" s="397"/>
      <c r="UHM7" s="397"/>
      <c r="UHN7" s="397"/>
      <c r="UHO7" s="397"/>
      <c r="UHP7" s="397"/>
      <c r="UHQ7" s="397"/>
      <c r="UHR7" s="397"/>
      <c r="UHS7" s="397"/>
      <c r="UHT7" s="397"/>
      <c r="UHU7" s="397"/>
      <c r="UHV7" s="397"/>
      <c r="UHW7" s="397"/>
      <c r="UHX7" s="397"/>
      <c r="UHY7" s="397"/>
      <c r="UHZ7" s="397"/>
      <c r="UIA7" s="397"/>
      <c r="UIB7" s="397"/>
      <c r="UIC7" s="397"/>
      <c r="UID7" s="397"/>
      <c r="UIE7" s="397"/>
      <c r="UIF7" s="397"/>
      <c r="UIG7" s="397"/>
      <c r="UIH7" s="397"/>
      <c r="UII7" s="397"/>
      <c r="UIJ7" s="397"/>
      <c r="UIK7" s="397"/>
      <c r="UIL7" s="397"/>
      <c r="UIM7" s="397"/>
      <c r="UIN7" s="397"/>
      <c r="UIO7" s="397"/>
      <c r="UIP7" s="397"/>
      <c r="UIQ7" s="397"/>
      <c r="UIR7" s="397"/>
      <c r="UIS7" s="397"/>
      <c r="UIT7" s="397"/>
      <c r="UIU7" s="397"/>
      <c r="UIV7" s="397"/>
      <c r="UIW7" s="397"/>
      <c r="UIX7" s="397"/>
      <c r="UIY7" s="397"/>
      <c r="UIZ7" s="397"/>
      <c r="UJA7" s="397"/>
      <c r="UJB7" s="397"/>
      <c r="UJC7" s="397"/>
      <c r="UJD7" s="397"/>
      <c r="UJE7" s="397"/>
      <c r="UJF7" s="397"/>
      <c r="UJG7" s="397"/>
      <c r="UJH7" s="397"/>
      <c r="UJI7" s="397"/>
      <c r="UJJ7" s="397"/>
      <c r="UJK7" s="397"/>
      <c r="UJL7" s="397"/>
      <c r="UJM7" s="397"/>
      <c r="UJN7" s="397"/>
      <c r="UJO7" s="397"/>
      <c r="UJP7" s="397"/>
      <c r="UJQ7" s="397"/>
      <c r="UJR7" s="397"/>
      <c r="UJS7" s="397"/>
      <c r="UJT7" s="397"/>
      <c r="UJU7" s="397"/>
      <c r="UJV7" s="397"/>
      <c r="UJW7" s="397"/>
      <c r="UJX7" s="397"/>
      <c r="UJY7" s="397"/>
      <c r="UJZ7" s="397"/>
      <c r="UKA7" s="397"/>
      <c r="UKB7" s="397"/>
      <c r="UKC7" s="397"/>
      <c r="UKD7" s="397"/>
      <c r="UKE7" s="397"/>
      <c r="UKF7" s="397"/>
      <c r="UKG7" s="397"/>
      <c r="UKH7" s="397"/>
      <c r="UKI7" s="397"/>
      <c r="UKJ7" s="397"/>
      <c r="UKK7" s="397"/>
      <c r="UKL7" s="397"/>
      <c r="UKM7" s="397"/>
      <c r="UKN7" s="397"/>
      <c r="UKO7" s="397"/>
      <c r="UKP7" s="397"/>
      <c r="UKQ7" s="397"/>
      <c r="UKR7" s="397"/>
      <c r="UKS7" s="397"/>
      <c r="UKT7" s="397"/>
      <c r="UKU7" s="397"/>
      <c r="UKV7" s="397"/>
      <c r="UKW7" s="397"/>
      <c r="UKX7" s="397"/>
      <c r="UKY7" s="397"/>
      <c r="UKZ7" s="397"/>
      <c r="ULA7" s="397"/>
      <c r="ULB7" s="397"/>
      <c r="ULC7" s="397"/>
      <c r="ULD7" s="397"/>
      <c r="ULE7" s="397"/>
      <c r="ULF7" s="397"/>
      <c r="ULG7" s="397"/>
      <c r="ULH7" s="397"/>
      <c r="ULI7" s="397"/>
      <c r="ULJ7" s="397"/>
      <c r="ULK7" s="397"/>
      <c r="ULL7" s="397"/>
      <c r="ULM7" s="397"/>
      <c r="ULN7" s="397"/>
      <c r="ULO7" s="397"/>
      <c r="ULP7" s="397"/>
      <c r="ULQ7" s="397"/>
      <c r="ULR7" s="397"/>
      <c r="ULS7" s="397"/>
      <c r="ULT7" s="397"/>
      <c r="ULU7" s="397"/>
      <c r="ULV7" s="397"/>
      <c r="ULW7" s="397"/>
      <c r="ULX7" s="397"/>
      <c r="ULY7" s="397"/>
      <c r="ULZ7" s="397"/>
      <c r="UMA7" s="397"/>
      <c r="UMB7" s="397"/>
      <c r="UMC7" s="397"/>
      <c r="UMD7" s="397"/>
      <c r="UME7" s="397"/>
      <c r="UMF7" s="397"/>
      <c r="UMG7" s="397"/>
      <c r="UMH7" s="397"/>
      <c r="UMI7" s="397"/>
      <c r="UMJ7" s="397"/>
      <c r="UMK7" s="397"/>
      <c r="UML7" s="397"/>
      <c r="UMM7" s="397"/>
      <c r="UMN7" s="397"/>
      <c r="UMO7" s="397"/>
      <c r="UMP7" s="397"/>
      <c r="UMQ7" s="397"/>
      <c r="UMR7" s="397"/>
      <c r="UMS7" s="397"/>
      <c r="UMT7" s="397"/>
      <c r="UMU7" s="397"/>
      <c r="UMV7" s="397"/>
      <c r="UMW7" s="397"/>
      <c r="UMX7" s="397"/>
      <c r="UMY7" s="397"/>
      <c r="UMZ7" s="397"/>
      <c r="UNA7" s="397"/>
      <c r="UNB7" s="397"/>
      <c r="UNC7" s="397"/>
      <c r="UND7" s="397"/>
      <c r="UNE7" s="397"/>
      <c r="UNF7" s="397"/>
      <c r="UNG7" s="397"/>
      <c r="UNH7" s="397"/>
      <c r="UNI7" s="397"/>
      <c r="UNJ7" s="397"/>
      <c r="UNK7" s="397"/>
      <c r="UNL7" s="397"/>
      <c r="UNM7" s="397"/>
      <c r="UNN7" s="397"/>
      <c r="UNO7" s="397"/>
      <c r="UNP7" s="397"/>
      <c r="UNQ7" s="397"/>
      <c r="UNR7" s="397"/>
      <c r="UNS7" s="397"/>
      <c r="UNT7" s="397"/>
      <c r="UNU7" s="397"/>
      <c r="UNV7" s="397"/>
      <c r="UNW7" s="397"/>
      <c r="UNX7" s="397"/>
      <c r="UNY7" s="397"/>
      <c r="UNZ7" s="397"/>
      <c r="UOA7" s="397"/>
      <c r="UOB7" s="397"/>
      <c r="UOC7" s="397"/>
      <c r="UOD7" s="397"/>
      <c r="UOE7" s="397"/>
      <c r="UOF7" s="397"/>
      <c r="UOG7" s="397"/>
      <c r="UOH7" s="397"/>
      <c r="UOI7" s="397"/>
      <c r="UOJ7" s="397"/>
      <c r="UOK7" s="397"/>
      <c r="UOL7" s="397"/>
      <c r="UOM7" s="397"/>
      <c r="UON7" s="397"/>
      <c r="UOO7" s="397"/>
      <c r="UOP7" s="397"/>
      <c r="UOQ7" s="397"/>
      <c r="UOR7" s="397"/>
      <c r="UOS7" s="397"/>
      <c r="UOT7" s="397"/>
      <c r="UOU7" s="397"/>
      <c r="UOV7" s="397"/>
      <c r="UOW7" s="397"/>
      <c r="UOX7" s="397"/>
      <c r="UOY7" s="397"/>
      <c r="UOZ7" s="397"/>
      <c r="UPA7" s="397"/>
      <c r="UPB7" s="397"/>
      <c r="UPC7" s="397"/>
      <c r="UPD7" s="397"/>
      <c r="UPE7" s="397"/>
      <c r="UPF7" s="397"/>
      <c r="UPG7" s="397"/>
      <c r="UPH7" s="397"/>
      <c r="UPI7" s="397"/>
      <c r="UPJ7" s="397"/>
      <c r="UPK7" s="397"/>
      <c r="UPL7" s="397"/>
      <c r="UPM7" s="397"/>
      <c r="UPN7" s="397"/>
      <c r="UPO7" s="397"/>
      <c r="UPP7" s="397"/>
      <c r="UPQ7" s="397"/>
      <c r="UPR7" s="397"/>
      <c r="UPS7" s="397"/>
      <c r="UPT7" s="397"/>
      <c r="UPU7" s="397"/>
      <c r="UPV7" s="397"/>
      <c r="UPW7" s="397"/>
      <c r="UPX7" s="397"/>
      <c r="UPY7" s="397"/>
      <c r="UPZ7" s="397"/>
      <c r="UQA7" s="397"/>
      <c r="UQB7" s="397"/>
      <c r="UQC7" s="397"/>
      <c r="UQD7" s="397"/>
      <c r="UQE7" s="397"/>
      <c r="UQF7" s="397"/>
      <c r="UQG7" s="397"/>
      <c r="UQH7" s="397"/>
      <c r="UQI7" s="397"/>
      <c r="UQJ7" s="397"/>
      <c r="UQK7" s="397"/>
      <c r="UQL7" s="397"/>
      <c r="UQM7" s="397"/>
      <c r="UQN7" s="397"/>
      <c r="UQO7" s="397"/>
      <c r="UQP7" s="397"/>
      <c r="UQQ7" s="397"/>
      <c r="UQR7" s="397"/>
      <c r="UQS7" s="397"/>
      <c r="UQT7" s="397"/>
      <c r="UQU7" s="397"/>
      <c r="UQV7" s="397"/>
      <c r="UQW7" s="397"/>
      <c r="UQX7" s="397"/>
      <c r="UQY7" s="397"/>
      <c r="UQZ7" s="397"/>
      <c r="URA7" s="397"/>
      <c r="URB7" s="397"/>
      <c r="URC7" s="397"/>
      <c r="URD7" s="397"/>
      <c r="URE7" s="397"/>
      <c r="URF7" s="397"/>
      <c r="URG7" s="397"/>
      <c r="URH7" s="397"/>
      <c r="URI7" s="397"/>
      <c r="URJ7" s="397"/>
      <c r="URK7" s="397"/>
      <c r="URL7" s="397"/>
      <c r="URM7" s="397"/>
      <c r="URN7" s="397"/>
      <c r="URO7" s="397"/>
      <c r="URP7" s="397"/>
      <c r="URQ7" s="397"/>
      <c r="URR7" s="397"/>
      <c r="URS7" s="397"/>
      <c r="URT7" s="397"/>
      <c r="URU7" s="397"/>
      <c r="URV7" s="397"/>
      <c r="URW7" s="397"/>
      <c r="URX7" s="397"/>
      <c r="URY7" s="397"/>
      <c r="URZ7" s="397"/>
      <c r="USA7" s="397"/>
      <c r="USB7" s="397"/>
      <c r="USC7" s="397"/>
      <c r="USD7" s="397"/>
      <c r="USE7" s="397"/>
      <c r="USF7" s="397"/>
      <c r="USG7" s="397"/>
      <c r="USH7" s="397"/>
      <c r="USI7" s="397"/>
      <c r="USJ7" s="397"/>
      <c r="USK7" s="397"/>
      <c r="USL7" s="397"/>
      <c r="USM7" s="397"/>
      <c r="USN7" s="397"/>
      <c r="USO7" s="397"/>
      <c r="USP7" s="397"/>
      <c r="USQ7" s="397"/>
      <c r="USR7" s="397"/>
      <c r="USS7" s="397"/>
      <c r="UST7" s="397"/>
      <c r="USU7" s="397"/>
      <c r="USV7" s="397"/>
      <c r="USW7" s="397"/>
      <c r="USX7" s="397"/>
      <c r="USY7" s="397"/>
      <c r="USZ7" s="397"/>
      <c r="UTA7" s="397"/>
      <c r="UTB7" s="397"/>
      <c r="UTC7" s="397"/>
      <c r="UTD7" s="397"/>
      <c r="UTE7" s="397"/>
      <c r="UTF7" s="397"/>
      <c r="UTG7" s="397"/>
      <c r="UTH7" s="397"/>
      <c r="UTI7" s="397"/>
      <c r="UTJ7" s="397"/>
      <c r="UTK7" s="397"/>
      <c r="UTL7" s="397"/>
      <c r="UTM7" s="397"/>
      <c r="UTN7" s="397"/>
      <c r="UTO7" s="397"/>
      <c r="UTP7" s="397"/>
      <c r="UTQ7" s="397"/>
      <c r="UTR7" s="397"/>
      <c r="UTS7" s="397"/>
      <c r="UTT7" s="397"/>
      <c r="UTU7" s="397"/>
      <c r="UTV7" s="397"/>
      <c r="UTW7" s="397"/>
      <c r="UTX7" s="397"/>
      <c r="UTY7" s="397"/>
      <c r="UTZ7" s="397"/>
      <c r="UUA7" s="397"/>
      <c r="UUB7" s="397"/>
      <c r="UUC7" s="397"/>
      <c r="UUD7" s="397"/>
      <c r="UUE7" s="397"/>
      <c r="UUF7" s="397"/>
      <c r="UUG7" s="397"/>
      <c r="UUH7" s="397"/>
      <c r="UUI7" s="397"/>
      <c r="UUJ7" s="397"/>
      <c r="UUK7" s="397"/>
      <c r="UUL7" s="397"/>
      <c r="UUM7" s="397"/>
      <c r="UUN7" s="397"/>
      <c r="UUO7" s="397"/>
      <c r="UUP7" s="397"/>
      <c r="UUQ7" s="397"/>
      <c r="UUR7" s="397"/>
      <c r="UUS7" s="397"/>
      <c r="UUT7" s="397"/>
      <c r="UUU7" s="397"/>
      <c r="UUV7" s="397"/>
      <c r="UUW7" s="397"/>
      <c r="UUX7" s="397"/>
      <c r="UUY7" s="397"/>
      <c r="UUZ7" s="397"/>
      <c r="UVA7" s="397"/>
      <c r="UVB7" s="397"/>
      <c r="UVC7" s="397"/>
      <c r="UVD7" s="397"/>
      <c r="UVE7" s="397"/>
      <c r="UVF7" s="397"/>
      <c r="UVG7" s="397"/>
      <c r="UVH7" s="397"/>
      <c r="UVI7" s="397"/>
      <c r="UVJ7" s="397"/>
      <c r="UVK7" s="397"/>
      <c r="UVL7" s="397"/>
      <c r="UVM7" s="397"/>
      <c r="UVN7" s="397"/>
      <c r="UVO7" s="397"/>
      <c r="UVP7" s="397"/>
      <c r="UVQ7" s="397"/>
      <c r="UVR7" s="397"/>
      <c r="UVS7" s="397"/>
      <c r="UVT7" s="397"/>
      <c r="UVU7" s="397"/>
      <c r="UVV7" s="397"/>
      <c r="UVW7" s="397"/>
      <c r="UVX7" s="397"/>
      <c r="UVY7" s="397"/>
      <c r="UVZ7" s="397"/>
      <c r="UWA7" s="397"/>
      <c r="UWB7" s="397"/>
      <c r="UWC7" s="397"/>
      <c r="UWD7" s="397"/>
      <c r="UWE7" s="397"/>
      <c r="UWF7" s="397"/>
      <c r="UWG7" s="397"/>
      <c r="UWH7" s="397"/>
      <c r="UWI7" s="397"/>
      <c r="UWJ7" s="397"/>
      <c r="UWK7" s="397"/>
      <c r="UWL7" s="397"/>
      <c r="UWM7" s="397"/>
      <c r="UWN7" s="397"/>
      <c r="UWO7" s="397"/>
      <c r="UWP7" s="397"/>
      <c r="UWQ7" s="397"/>
      <c r="UWR7" s="397"/>
      <c r="UWS7" s="397"/>
      <c r="UWT7" s="397"/>
      <c r="UWU7" s="397"/>
      <c r="UWV7" s="397"/>
      <c r="UWW7" s="397"/>
      <c r="UWX7" s="397"/>
      <c r="UWY7" s="397"/>
      <c r="UWZ7" s="397"/>
      <c r="UXA7" s="397"/>
      <c r="UXB7" s="397"/>
      <c r="UXC7" s="397"/>
      <c r="UXD7" s="397"/>
      <c r="UXE7" s="397"/>
      <c r="UXF7" s="397"/>
      <c r="UXG7" s="397"/>
      <c r="UXH7" s="397"/>
      <c r="UXI7" s="397"/>
      <c r="UXJ7" s="397"/>
      <c r="UXK7" s="397"/>
      <c r="UXL7" s="397"/>
      <c r="UXM7" s="397"/>
      <c r="UXN7" s="397"/>
      <c r="UXO7" s="397"/>
      <c r="UXP7" s="397"/>
      <c r="UXQ7" s="397"/>
      <c r="UXR7" s="397"/>
      <c r="UXS7" s="397"/>
      <c r="UXT7" s="397"/>
      <c r="UXU7" s="397"/>
      <c r="UXV7" s="397"/>
      <c r="UXW7" s="397"/>
      <c r="UXX7" s="397"/>
      <c r="UXY7" s="397"/>
      <c r="UXZ7" s="397"/>
      <c r="UYA7" s="397"/>
      <c r="UYB7" s="397"/>
      <c r="UYC7" s="397"/>
      <c r="UYD7" s="397"/>
      <c r="UYE7" s="397"/>
      <c r="UYF7" s="397"/>
      <c r="UYG7" s="397"/>
      <c r="UYH7" s="397"/>
      <c r="UYI7" s="397"/>
      <c r="UYJ7" s="397"/>
      <c r="UYK7" s="397"/>
      <c r="UYL7" s="397"/>
      <c r="UYM7" s="397"/>
      <c r="UYN7" s="397"/>
      <c r="UYO7" s="397"/>
      <c r="UYP7" s="397"/>
      <c r="UYQ7" s="397"/>
      <c r="UYR7" s="397"/>
      <c r="UYS7" s="397"/>
      <c r="UYT7" s="397"/>
      <c r="UYU7" s="397"/>
      <c r="UYV7" s="397"/>
      <c r="UYW7" s="397"/>
      <c r="UYX7" s="397"/>
      <c r="UYY7" s="397"/>
      <c r="UYZ7" s="397"/>
      <c r="UZA7" s="397"/>
      <c r="UZB7" s="397"/>
      <c r="UZC7" s="397"/>
      <c r="UZD7" s="397"/>
      <c r="UZE7" s="397"/>
      <c r="UZF7" s="397"/>
      <c r="UZG7" s="397"/>
      <c r="UZH7" s="397"/>
      <c r="UZI7" s="397"/>
      <c r="UZJ7" s="397"/>
      <c r="UZK7" s="397"/>
      <c r="UZL7" s="397"/>
      <c r="UZM7" s="397"/>
      <c r="UZN7" s="397"/>
      <c r="UZO7" s="397"/>
      <c r="UZP7" s="397"/>
      <c r="UZQ7" s="397"/>
      <c r="UZR7" s="397"/>
      <c r="UZS7" s="397"/>
      <c r="UZT7" s="397"/>
      <c r="UZU7" s="397"/>
      <c r="UZV7" s="397"/>
      <c r="UZW7" s="397"/>
      <c r="UZX7" s="397"/>
      <c r="UZY7" s="397"/>
      <c r="UZZ7" s="397"/>
      <c r="VAA7" s="397"/>
      <c r="VAB7" s="397"/>
      <c r="VAC7" s="397"/>
      <c r="VAD7" s="397"/>
      <c r="VAE7" s="397"/>
      <c r="VAF7" s="397"/>
      <c r="VAG7" s="397"/>
      <c r="VAH7" s="397"/>
      <c r="VAI7" s="397"/>
      <c r="VAJ7" s="397"/>
      <c r="VAK7" s="397"/>
      <c r="VAL7" s="397"/>
      <c r="VAM7" s="397"/>
      <c r="VAN7" s="397"/>
      <c r="VAO7" s="397"/>
      <c r="VAP7" s="397"/>
      <c r="VAQ7" s="397"/>
      <c r="VAR7" s="397"/>
      <c r="VAS7" s="397"/>
      <c r="VAT7" s="397"/>
      <c r="VAU7" s="397"/>
      <c r="VAV7" s="397"/>
      <c r="VAW7" s="397"/>
      <c r="VAX7" s="397"/>
      <c r="VAY7" s="397"/>
      <c r="VAZ7" s="397"/>
      <c r="VBA7" s="397"/>
      <c r="VBB7" s="397"/>
      <c r="VBC7" s="397"/>
      <c r="VBD7" s="397"/>
      <c r="VBE7" s="397"/>
      <c r="VBF7" s="397"/>
      <c r="VBG7" s="397"/>
      <c r="VBH7" s="397"/>
      <c r="VBI7" s="397"/>
      <c r="VBJ7" s="397"/>
      <c r="VBK7" s="397"/>
      <c r="VBL7" s="397"/>
      <c r="VBM7" s="397"/>
      <c r="VBN7" s="397"/>
      <c r="VBO7" s="397"/>
      <c r="VBP7" s="397"/>
      <c r="VBQ7" s="397"/>
      <c r="VBR7" s="397"/>
      <c r="VBS7" s="397"/>
      <c r="VBT7" s="397"/>
      <c r="VBU7" s="397"/>
      <c r="VBV7" s="397"/>
      <c r="VBW7" s="397"/>
      <c r="VBX7" s="397"/>
      <c r="VBY7" s="397"/>
      <c r="VBZ7" s="397"/>
      <c r="VCA7" s="397"/>
      <c r="VCB7" s="397"/>
      <c r="VCC7" s="397"/>
      <c r="VCD7" s="397"/>
      <c r="VCE7" s="397"/>
      <c r="VCF7" s="397"/>
      <c r="VCG7" s="397"/>
      <c r="VCH7" s="397"/>
      <c r="VCI7" s="397"/>
      <c r="VCJ7" s="397"/>
      <c r="VCK7" s="397"/>
      <c r="VCL7" s="397"/>
      <c r="VCM7" s="397"/>
      <c r="VCN7" s="397"/>
      <c r="VCO7" s="397"/>
      <c r="VCP7" s="397"/>
      <c r="VCQ7" s="397"/>
      <c r="VCR7" s="397"/>
      <c r="VCS7" s="397"/>
      <c r="VCT7" s="397"/>
      <c r="VCU7" s="397"/>
      <c r="VCV7" s="397"/>
      <c r="VCW7" s="397"/>
      <c r="VCX7" s="397"/>
      <c r="VCY7" s="397"/>
      <c r="VCZ7" s="397"/>
      <c r="VDA7" s="397"/>
      <c r="VDB7" s="397"/>
      <c r="VDC7" s="397"/>
      <c r="VDD7" s="397"/>
      <c r="VDE7" s="397"/>
      <c r="VDF7" s="397"/>
      <c r="VDG7" s="397"/>
      <c r="VDH7" s="397"/>
      <c r="VDI7" s="397"/>
      <c r="VDJ7" s="397"/>
      <c r="VDK7" s="397"/>
      <c r="VDL7" s="397"/>
      <c r="VDM7" s="397"/>
      <c r="VDN7" s="397"/>
      <c r="VDO7" s="397"/>
      <c r="VDP7" s="397"/>
      <c r="VDQ7" s="397"/>
      <c r="VDR7" s="397"/>
      <c r="VDS7" s="397"/>
      <c r="VDT7" s="397"/>
      <c r="VDU7" s="397"/>
      <c r="VDV7" s="397"/>
      <c r="VDW7" s="397"/>
      <c r="VDX7" s="397"/>
      <c r="VDY7" s="397"/>
      <c r="VDZ7" s="397"/>
      <c r="VEA7" s="397"/>
      <c r="VEB7" s="397"/>
      <c r="VEC7" s="397"/>
      <c r="VED7" s="397"/>
      <c r="VEE7" s="397"/>
      <c r="VEF7" s="397"/>
      <c r="VEG7" s="397"/>
      <c r="VEH7" s="397"/>
      <c r="VEI7" s="397"/>
      <c r="VEJ7" s="397"/>
      <c r="VEK7" s="397"/>
      <c r="VEL7" s="397"/>
      <c r="VEM7" s="397"/>
      <c r="VEN7" s="397"/>
      <c r="VEO7" s="397"/>
      <c r="VEP7" s="397"/>
      <c r="VEQ7" s="397"/>
      <c r="VER7" s="397"/>
      <c r="VES7" s="397"/>
      <c r="VET7" s="397"/>
      <c r="VEU7" s="397"/>
      <c r="VEV7" s="397"/>
      <c r="VEW7" s="397"/>
      <c r="VEX7" s="397"/>
      <c r="VEY7" s="397"/>
      <c r="VEZ7" s="397"/>
      <c r="VFA7" s="397"/>
      <c r="VFB7" s="397"/>
      <c r="VFC7" s="397"/>
      <c r="VFD7" s="397"/>
      <c r="VFE7" s="397"/>
      <c r="VFF7" s="397"/>
      <c r="VFG7" s="397"/>
      <c r="VFH7" s="397"/>
      <c r="VFI7" s="397"/>
      <c r="VFJ7" s="397"/>
      <c r="VFK7" s="397"/>
      <c r="VFL7" s="397"/>
      <c r="VFM7" s="397"/>
      <c r="VFN7" s="397"/>
      <c r="VFO7" s="397"/>
      <c r="VFP7" s="397"/>
      <c r="VFQ7" s="397"/>
      <c r="VFR7" s="397"/>
      <c r="VFS7" s="397"/>
      <c r="VFT7" s="397"/>
      <c r="VFU7" s="397"/>
      <c r="VFV7" s="397"/>
      <c r="VFW7" s="397"/>
      <c r="VFX7" s="397"/>
      <c r="VFY7" s="397"/>
      <c r="VFZ7" s="397"/>
      <c r="VGA7" s="397"/>
      <c r="VGB7" s="397"/>
      <c r="VGC7" s="397"/>
      <c r="VGD7" s="397"/>
      <c r="VGE7" s="397"/>
      <c r="VGF7" s="397"/>
      <c r="VGG7" s="397"/>
      <c r="VGH7" s="397"/>
      <c r="VGI7" s="397"/>
      <c r="VGJ7" s="397"/>
      <c r="VGK7" s="397"/>
      <c r="VGL7" s="397"/>
      <c r="VGM7" s="397"/>
      <c r="VGN7" s="397"/>
      <c r="VGO7" s="397"/>
      <c r="VGP7" s="397"/>
      <c r="VGQ7" s="397"/>
      <c r="VGR7" s="397"/>
      <c r="VGS7" s="397"/>
      <c r="VGT7" s="397"/>
      <c r="VGU7" s="397"/>
      <c r="VGV7" s="397"/>
      <c r="VGW7" s="397"/>
      <c r="VGX7" s="397"/>
      <c r="VGY7" s="397"/>
      <c r="VGZ7" s="397"/>
      <c r="VHA7" s="397"/>
      <c r="VHB7" s="397"/>
      <c r="VHC7" s="397"/>
      <c r="VHD7" s="397"/>
      <c r="VHE7" s="397"/>
      <c r="VHF7" s="397"/>
      <c r="VHG7" s="397"/>
      <c r="VHH7" s="397"/>
      <c r="VHI7" s="397"/>
      <c r="VHJ7" s="397"/>
      <c r="VHK7" s="397"/>
      <c r="VHL7" s="397"/>
      <c r="VHM7" s="397"/>
      <c r="VHN7" s="397"/>
      <c r="VHO7" s="397"/>
      <c r="VHP7" s="397"/>
      <c r="VHQ7" s="397"/>
      <c r="VHR7" s="397"/>
      <c r="VHS7" s="397"/>
      <c r="VHT7" s="397"/>
      <c r="VHU7" s="397"/>
      <c r="VHV7" s="397"/>
      <c r="VHW7" s="397"/>
      <c r="VHX7" s="397"/>
      <c r="VHY7" s="397"/>
      <c r="VHZ7" s="397"/>
      <c r="VIA7" s="397"/>
      <c r="VIB7" s="397"/>
      <c r="VIC7" s="397"/>
      <c r="VID7" s="397"/>
      <c r="VIE7" s="397"/>
      <c r="VIF7" s="397"/>
      <c r="VIG7" s="397"/>
      <c r="VIH7" s="397"/>
      <c r="VII7" s="397"/>
      <c r="VIJ7" s="397"/>
      <c r="VIK7" s="397"/>
      <c r="VIL7" s="397"/>
      <c r="VIM7" s="397"/>
      <c r="VIN7" s="397"/>
      <c r="VIO7" s="397"/>
      <c r="VIP7" s="397"/>
      <c r="VIQ7" s="397"/>
      <c r="VIR7" s="397"/>
      <c r="VIS7" s="397"/>
      <c r="VIT7" s="397"/>
      <c r="VIU7" s="397"/>
      <c r="VIV7" s="397"/>
      <c r="VIW7" s="397"/>
      <c r="VIX7" s="397"/>
      <c r="VIY7" s="397"/>
      <c r="VIZ7" s="397"/>
      <c r="VJA7" s="397"/>
      <c r="VJB7" s="397"/>
      <c r="VJC7" s="397"/>
      <c r="VJD7" s="397"/>
      <c r="VJE7" s="397"/>
      <c r="VJF7" s="397"/>
      <c r="VJG7" s="397"/>
      <c r="VJH7" s="397"/>
      <c r="VJI7" s="397"/>
      <c r="VJJ7" s="397"/>
      <c r="VJK7" s="397"/>
      <c r="VJL7" s="397"/>
      <c r="VJM7" s="397"/>
      <c r="VJN7" s="397"/>
      <c r="VJO7" s="397"/>
      <c r="VJP7" s="397"/>
      <c r="VJQ7" s="397"/>
      <c r="VJR7" s="397"/>
      <c r="VJS7" s="397"/>
      <c r="VJT7" s="397"/>
      <c r="VJU7" s="397"/>
      <c r="VJV7" s="397"/>
      <c r="VJW7" s="397"/>
      <c r="VJX7" s="397"/>
      <c r="VJY7" s="397"/>
      <c r="VJZ7" s="397"/>
      <c r="VKA7" s="397"/>
      <c r="VKB7" s="397"/>
      <c r="VKC7" s="397"/>
      <c r="VKD7" s="397"/>
      <c r="VKE7" s="397"/>
      <c r="VKF7" s="397"/>
      <c r="VKG7" s="397"/>
      <c r="VKH7" s="397"/>
      <c r="VKI7" s="397"/>
      <c r="VKJ7" s="397"/>
      <c r="VKK7" s="397"/>
      <c r="VKL7" s="397"/>
      <c r="VKM7" s="397"/>
      <c r="VKN7" s="397"/>
      <c r="VKO7" s="397"/>
      <c r="VKP7" s="397"/>
      <c r="VKQ7" s="397"/>
      <c r="VKR7" s="397"/>
      <c r="VKS7" s="397"/>
      <c r="VKT7" s="397"/>
      <c r="VKU7" s="397"/>
      <c r="VKV7" s="397"/>
      <c r="VKW7" s="397"/>
      <c r="VKX7" s="397"/>
      <c r="VKY7" s="397"/>
      <c r="VKZ7" s="397"/>
      <c r="VLA7" s="397"/>
      <c r="VLB7" s="397"/>
      <c r="VLC7" s="397"/>
      <c r="VLD7" s="397"/>
      <c r="VLE7" s="397"/>
      <c r="VLF7" s="397"/>
      <c r="VLG7" s="397"/>
      <c r="VLH7" s="397"/>
      <c r="VLI7" s="397"/>
      <c r="VLJ7" s="397"/>
      <c r="VLK7" s="397"/>
      <c r="VLL7" s="397"/>
      <c r="VLM7" s="397"/>
      <c r="VLN7" s="397"/>
      <c r="VLO7" s="397"/>
      <c r="VLP7" s="397"/>
      <c r="VLQ7" s="397"/>
      <c r="VLR7" s="397"/>
      <c r="VLS7" s="397"/>
      <c r="VLT7" s="397"/>
      <c r="VLU7" s="397"/>
      <c r="VLV7" s="397"/>
      <c r="VLW7" s="397"/>
      <c r="VLX7" s="397"/>
      <c r="VLY7" s="397"/>
      <c r="VLZ7" s="397"/>
      <c r="VMA7" s="397"/>
      <c r="VMB7" s="397"/>
      <c r="VMC7" s="397"/>
      <c r="VMD7" s="397"/>
      <c r="VME7" s="397"/>
      <c r="VMF7" s="397"/>
      <c r="VMG7" s="397"/>
      <c r="VMH7" s="397"/>
      <c r="VMI7" s="397"/>
      <c r="VMJ7" s="397"/>
      <c r="VMK7" s="397"/>
      <c r="VML7" s="397"/>
      <c r="VMM7" s="397"/>
      <c r="VMN7" s="397"/>
      <c r="VMO7" s="397"/>
      <c r="VMP7" s="397"/>
      <c r="VMQ7" s="397"/>
      <c r="VMR7" s="397"/>
      <c r="VMS7" s="397"/>
      <c r="VMT7" s="397"/>
      <c r="VMU7" s="397"/>
      <c r="VMV7" s="397"/>
      <c r="VMW7" s="397"/>
      <c r="VMX7" s="397"/>
      <c r="VMY7" s="397"/>
      <c r="VMZ7" s="397"/>
      <c r="VNA7" s="397"/>
      <c r="VNB7" s="397"/>
      <c r="VNC7" s="397"/>
      <c r="VND7" s="397"/>
      <c r="VNE7" s="397"/>
      <c r="VNF7" s="397"/>
      <c r="VNG7" s="397"/>
      <c r="VNH7" s="397"/>
      <c r="VNI7" s="397"/>
      <c r="VNJ7" s="397"/>
      <c r="VNK7" s="397"/>
      <c r="VNL7" s="397"/>
      <c r="VNM7" s="397"/>
      <c r="VNN7" s="397"/>
      <c r="VNO7" s="397"/>
      <c r="VNP7" s="397"/>
      <c r="VNQ7" s="397"/>
      <c r="VNR7" s="397"/>
      <c r="VNS7" s="397"/>
      <c r="VNT7" s="397"/>
      <c r="VNU7" s="397"/>
      <c r="VNV7" s="397"/>
      <c r="VNW7" s="397"/>
      <c r="VNX7" s="397"/>
      <c r="VNY7" s="397"/>
      <c r="VNZ7" s="397"/>
      <c r="VOA7" s="397"/>
      <c r="VOB7" s="397"/>
      <c r="VOC7" s="397"/>
      <c r="VOD7" s="397"/>
      <c r="VOE7" s="397"/>
      <c r="VOF7" s="397"/>
      <c r="VOG7" s="397"/>
      <c r="VOH7" s="397"/>
      <c r="VOI7" s="397"/>
      <c r="VOJ7" s="397"/>
      <c r="VOK7" s="397"/>
      <c r="VOL7" s="397"/>
      <c r="VOM7" s="397"/>
      <c r="VON7" s="397"/>
      <c r="VOO7" s="397"/>
      <c r="VOP7" s="397"/>
      <c r="VOQ7" s="397"/>
      <c r="VOR7" s="397"/>
      <c r="VOS7" s="397"/>
      <c r="VOT7" s="397"/>
      <c r="VOU7" s="397"/>
      <c r="VOV7" s="397"/>
      <c r="VOW7" s="397"/>
      <c r="VOX7" s="397"/>
      <c r="VOY7" s="397"/>
      <c r="VOZ7" s="397"/>
      <c r="VPA7" s="397"/>
      <c r="VPB7" s="397"/>
      <c r="VPC7" s="397"/>
      <c r="VPD7" s="397"/>
      <c r="VPE7" s="397"/>
      <c r="VPF7" s="397"/>
      <c r="VPG7" s="397"/>
      <c r="VPH7" s="397"/>
      <c r="VPI7" s="397"/>
      <c r="VPJ7" s="397"/>
      <c r="VPK7" s="397"/>
      <c r="VPL7" s="397"/>
      <c r="VPM7" s="397"/>
      <c r="VPN7" s="397"/>
      <c r="VPO7" s="397"/>
      <c r="VPP7" s="397"/>
      <c r="VPQ7" s="397"/>
      <c r="VPR7" s="397"/>
      <c r="VPS7" s="397"/>
      <c r="VPT7" s="397"/>
      <c r="VPU7" s="397"/>
      <c r="VPV7" s="397"/>
      <c r="VPW7" s="397"/>
      <c r="VPX7" s="397"/>
      <c r="VPY7" s="397"/>
      <c r="VPZ7" s="397"/>
      <c r="VQA7" s="397"/>
      <c r="VQB7" s="397"/>
      <c r="VQC7" s="397"/>
      <c r="VQD7" s="397"/>
      <c r="VQE7" s="397"/>
      <c r="VQF7" s="397"/>
      <c r="VQG7" s="397"/>
      <c r="VQH7" s="397"/>
      <c r="VQI7" s="397"/>
      <c r="VQJ7" s="397"/>
      <c r="VQK7" s="397"/>
      <c r="VQL7" s="397"/>
      <c r="VQM7" s="397"/>
      <c r="VQN7" s="397"/>
      <c r="VQO7" s="397"/>
      <c r="VQP7" s="397"/>
      <c r="VQQ7" s="397"/>
      <c r="VQR7" s="397"/>
      <c r="VQS7" s="397"/>
      <c r="VQT7" s="397"/>
      <c r="VQU7" s="397"/>
      <c r="VQV7" s="397"/>
      <c r="VQW7" s="397"/>
      <c r="VQX7" s="397"/>
      <c r="VQY7" s="397"/>
      <c r="VQZ7" s="397"/>
      <c r="VRA7" s="397"/>
      <c r="VRB7" s="397"/>
      <c r="VRC7" s="397"/>
      <c r="VRD7" s="397"/>
      <c r="VRE7" s="397"/>
      <c r="VRF7" s="397"/>
      <c r="VRG7" s="397"/>
      <c r="VRH7" s="397"/>
      <c r="VRI7" s="397"/>
      <c r="VRJ7" s="397"/>
      <c r="VRK7" s="397"/>
      <c r="VRL7" s="397"/>
      <c r="VRM7" s="397"/>
      <c r="VRN7" s="397"/>
      <c r="VRO7" s="397"/>
      <c r="VRP7" s="397"/>
      <c r="VRQ7" s="397"/>
      <c r="VRR7" s="397"/>
      <c r="VRS7" s="397"/>
      <c r="VRT7" s="397"/>
      <c r="VRU7" s="397"/>
      <c r="VRV7" s="397"/>
      <c r="VRW7" s="397"/>
      <c r="VRX7" s="397"/>
      <c r="VRY7" s="397"/>
      <c r="VRZ7" s="397"/>
      <c r="VSA7" s="397"/>
      <c r="VSB7" s="397"/>
      <c r="VSC7" s="397"/>
      <c r="VSD7" s="397"/>
      <c r="VSE7" s="397"/>
      <c r="VSF7" s="397"/>
      <c r="VSG7" s="397"/>
      <c r="VSH7" s="397"/>
      <c r="VSI7" s="397"/>
      <c r="VSJ7" s="397"/>
      <c r="VSK7" s="397"/>
      <c r="VSL7" s="397"/>
      <c r="VSM7" s="397"/>
      <c r="VSN7" s="397"/>
      <c r="VSO7" s="397"/>
      <c r="VSP7" s="397"/>
      <c r="VSQ7" s="397"/>
      <c r="VSR7" s="397"/>
      <c r="VSS7" s="397"/>
      <c r="VST7" s="397"/>
      <c r="VSU7" s="397"/>
      <c r="VSV7" s="397"/>
      <c r="VSW7" s="397"/>
      <c r="VSX7" s="397"/>
      <c r="VSY7" s="397"/>
      <c r="VSZ7" s="397"/>
      <c r="VTA7" s="397"/>
      <c r="VTB7" s="397"/>
      <c r="VTC7" s="397"/>
      <c r="VTD7" s="397"/>
      <c r="VTE7" s="397"/>
      <c r="VTF7" s="397"/>
      <c r="VTG7" s="397"/>
      <c r="VTH7" s="397"/>
      <c r="VTI7" s="397"/>
      <c r="VTJ7" s="397"/>
      <c r="VTK7" s="397"/>
      <c r="VTL7" s="397"/>
      <c r="VTM7" s="397"/>
      <c r="VTN7" s="397"/>
      <c r="VTO7" s="397"/>
      <c r="VTP7" s="397"/>
      <c r="VTQ7" s="397"/>
      <c r="VTR7" s="397"/>
      <c r="VTS7" s="397"/>
      <c r="VTT7" s="397"/>
      <c r="VTU7" s="397"/>
      <c r="VTV7" s="397"/>
      <c r="VTW7" s="397"/>
      <c r="VTX7" s="397"/>
      <c r="VTY7" s="397"/>
      <c r="VTZ7" s="397"/>
      <c r="VUA7" s="397"/>
      <c r="VUB7" s="397"/>
      <c r="VUC7" s="397"/>
      <c r="VUD7" s="397"/>
      <c r="VUE7" s="397"/>
      <c r="VUF7" s="397"/>
      <c r="VUG7" s="397"/>
      <c r="VUH7" s="397"/>
      <c r="VUI7" s="397"/>
      <c r="VUJ7" s="397"/>
      <c r="VUK7" s="397"/>
      <c r="VUL7" s="397"/>
      <c r="VUM7" s="397"/>
      <c r="VUN7" s="397"/>
      <c r="VUO7" s="397"/>
      <c r="VUP7" s="397"/>
      <c r="VUQ7" s="397"/>
      <c r="VUR7" s="397"/>
      <c r="VUS7" s="397"/>
      <c r="VUT7" s="397"/>
      <c r="VUU7" s="397"/>
      <c r="VUV7" s="397"/>
      <c r="VUW7" s="397"/>
      <c r="VUX7" s="397"/>
      <c r="VUY7" s="397"/>
      <c r="VUZ7" s="397"/>
      <c r="VVA7" s="397"/>
      <c r="VVB7" s="397"/>
      <c r="VVC7" s="397"/>
      <c r="VVD7" s="397"/>
      <c r="VVE7" s="397"/>
      <c r="VVF7" s="397"/>
      <c r="VVG7" s="397"/>
      <c r="VVH7" s="397"/>
      <c r="VVI7" s="397"/>
      <c r="VVJ7" s="397"/>
      <c r="VVK7" s="397"/>
      <c r="VVL7" s="397"/>
      <c r="VVM7" s="397"/>
      <c r="VVN7" s="397"/>
      <c r="VVO7" s="397"/>
      <c r="VVP7" s="397"/>
      <c r="VVQ7" s="397"/>
      <c r="VVR7" s="397"/>
      <c r="VVS7" s="397"/>
      <c r="VVT7" s="397"/>
      <c r="VVU7" s="397"/>
      <c r="VVV7" s="397"/>
      <c r="VVW7" s="397"/>
      <c r="VVX7" s="397"/>
      <c r="VVY7" s="397"/>
      <c r="VVZ7" s="397"/>
      <c r="VWA7" s="397"/>
      <c r="VWB7" s="397"/>
      <c r="VWC7" s="397"/>
      <c r="VWD7" s="397"/>
      <c r="VWE7" s="397"/>
      <c r="VWF7" s="397"/>
      <c r="VWG7" s="397"/>
      <c r="VWH7" s="397"/>
      <c r="VWI7" s="397"/>
      <c r="VWJ7" s="397"/>
      <c r="VWK7" s="397"/>
      <c r="VWL7" s="397"/>
      <c r="VWM7" s="397"/>
      <c r="VWN7" s="397"/>
      <c r="VWO7" s="397"/>
      <c r="VWP7" s="397"/>
      <c r="VWQ7" s="397"/>
      <c r="VWR7" s="397"/>
      <c r="VWS7" s="397"/>
      <c r="VWT7" s="397"/>
      <c r="VWU7" s="397"/>
      <c r="VWV7" s="397"/>
      <c r="VWW7" s="397"/>
      <c r="VWX7" s="397"/>
      <c r="VWY7" s="397"/>
      <c r="VWZ7" s="397"/>
      <c r="VXA7" s="397"/>
      <c r="VXB7" s="397"/>
      <c r="VXC7" s="397"/>
      <c r="VXD7" s="397"/>
      <c r="VXE7" s="397"/>
      <c r="VXF7" s="397"/>
      <c r="VXG7" s="397"/>
      <c r="VXH7" s="397"/>
      <c r="VXI7" s="397"/>
      <c r="VXJ7" s="397"/>
      <c r="VXK7" s="397"/>
      <c r="VXL7" s="397"/>
      <c r="VXM7" s="397"/>
      <c r="VXN7" s="397"/>
      <c r="VXO7" s="397"/>
      <c r="VXP7" s="397"/>
      <c r="VXQ7" s="397"/>
      <c r="VXR7" s="397"/>
      <c r="VXS7" s="397"/>
      <c r="VXT7" s="397"/>
      <c r="VXU7" s="397"/>
      <c r="VXV7" s="397"/>
      <c r="VXW7" s="397"/>
      <c r="VXX7" s="397"/>
      <c r="VXY7" s="397"/>
      <c r="VXZ7" s="397"/>
      <c r="VYA7" s="397"/>
      <c r="VYB7" s="397"/>
      <c r="VYC7" s="397"/>
      <c r="VYD7" s="397"/>
      <c r="VYE7" s="397"/>
      <c r="VYF7" s="397"/>
      <c r="VYG7" s="397"/>
      <c r="VYH7" s="397"/>
      <c r="VYI7" s="397"/>
      <c r="VYJ7" s="397"/>
      <c r="VYK7" s="397"/>
      <c r="VYL7" s="397"/>
      <c r="VYM7" s="397"/>
      <c r="VYN7" s="397"/>
      <c r="VYO7" s="397"/>
      <c r="VYP7" s="397"/>
      <c r="VYQ7" s="397"/>
      <c r="VYR7" s="397"/>
      <c r="VYS7" s="397"/>
      <c r="VYT7" s="397"/>
      <c r="VYU7" s="397"/>
      <c r="VYV7" s="397"/>
      <c r="VYW7" s="397"/>
      <c r="VYX7" s="397"/>
      <c r="VYY7" s="397"/>
      <c r="VYZ7" s="397"/>
      <c r="VZA7" s="397"/>
      <c r="VZB7" s="397"/>
      <c r="VZC7" s="397"/>
      <c r="VZD7" s="397"/>
      <c r="VZE7" s="397"/>
      <c r="VZF7" s="397"/>
      <c r="VZG7" s="397"/>
      <c r="VZH7" s="397"/>
      <c r="VZI7" s="397"/>
      <c r="VZJ7" s="397"/>
      <c r="VZK7" s="397"/>
      <c r="VZL7" s="397"/>
      <c r="VZM7" s="397"/>
      <c r="VZN7" s="397"/>
      <c r="VZO7" s="397"/>
      <c r="VZP7" s="397"/>
      <c r="VZQ7" s="397"/>
      <c r="VZR7" s="397"/>
      <c r="VZS7" s="397"/>
      <c r="VZT7" s="397"/>
      <c r="VZU7" s="397"/>
      <c r="VZV7" s="397"/>
      <c r="VZW7" s="397"/>
      <c r="VZX7" s="397"/>
      <c r="VZY7" s="397"/>
      <c r="VZZ7" s="397"/>
      <c r="WAA7" s="397"/>
      <c r="WAB7" s="397"/>
      <c r="WAC7" s="397"/>
      <c r="WAD7" s="397"/>
      <c r="WAE7" s="397"/>
      <c r="WAF7" s="397"/>
      <c r="WAG7" s="397"/>
      <c r="WAH7" s="397"/>
      <c r="WAI7" s="397"/>
      <c r="WAJ7" s="397"/>
      <c r="WAK7" s="397"/>
      <c r="WAL7" s="397"/>
      <c r="WAM7" s="397"/>
      <c r="WAN7" s="397"/>
      <c r="WAO7" s="397"/>
      <c r="WAP7" s="397"/>
      <c r="WAQ7" s="397"/>
      <c r="WAR7" s="397"/>
      <c r="WAS7" s="397"/>
      <c r="WAT7" s="397"/>
      <c r="WAU7" s="397"/>
      <c r="WAV7" s="397"/>
      <c r="WAW7" s="397"/>
      <c r="WAX7" s="397"/>
      <c r="WAY7" s="397"/>
      <c r="WAZ7" s="397"/>
      <c r="WBA7" s="397"/>
      <c r="WBB7" s="397"/>
      <c r="WBC7" s="397"/>
      <c r="WBD7" s="397"/>
      <c r="WBE7" s="397"/>
      <c r="WBF7" s="397"/>
      <c r="WBG7" s="397"/>
      <c r="WBH7" s="397"/>
      <c r="WBI7" s="397"/>
      <c r="WBJ7" s="397"/>
      <c r="WBK7" s="397"/>
      <c r="WBL7" s="397"/>
      <c r="WBM7" s="397"/>
      <c r="WBN7" s="397"/>
      <c r="WBO7" s="397"/>
      <c r="WBP7" s="397"/>
      <c r="WBQ7" s="397"/>
      <c r="WBR7" s="397"/>
      <c r="WBS7" s="397"/>
      <c r="WBT7" s="397"/>
      <c r="WBU7" s="397"/>
      <c r="WBV7" s="397"/>
      <c r="WBW7" s="397"/>
      <c r="WBX7" s="397"/>
      <c r="WBY7" s="397"/>
      <c r="WBZ7" s="397"/>
      <c r="WCA7" s="397"/>
      <c r="WCB7" s="397"/>
      <c r="WCC7" s="397"/>
      <c r="WCD7" s="397"/>
      <c r="WCE7" s="397"/>
      <c r="WCF7" s="397"/>
      <c r="WCG7" s="397"/>
      <c r="WCH7" s="397"/>
      <c r="WCI7" s="397"/>
      <c r="WCJ7" s="397"/>
      <c r="WCK7" s="397"/>
      <c r="WCL7" s="397"/>
      <c r="WCM7" s="397"/>
      <c r="WCN7" s="397"/>
      <c r="WCO7" s="397"/>
      <c r="WCP7" s="397"/>
      <c r="WCQ7" s="397"/>
      <c r="WCR7" s="397"/>
      <c r="WCS7" s="397"/>
      <c r="WCT7" s="397"/>
      <c r="WCU7" s="397"/>
      <c r="WCV7" s="397"/>
      <c r="WCW7" s="397"/>
      <c r="WCX7" s="397"/>
      <c r="WCY7" s="397"/>
      <c r="WCZ7" s="397"/>
      <c r="WDA7" s="397"/>
      <c r="WDB7" s="397"/>
      <c r="WDC7" s="397"/>
      <c r="WDD7" s="397"/>
      <c r="WDE7" s="397"/>
      <c r="WDF7" s="397"/>
      <c r="WDG7" s="397"/>
      <c r="WDH7" s="397"/>
      <c r="WDI7" s="397"/>
      <c r="WDJ7" s="397"/>
      <c r="WDK7" s="397"/>
      <c r="WDL7" s="397"/>
      <c r="WDM7" s="397"/>
      <c r="WDN7" s="397"/>
      <c r="WDO7" s="397"/>
      <c r="WDP7" s="397"/>
      <c r="WDQ7" s="397"/>
      <c r="WDR7" s="397"/>
      <c r="WDS7" s="397"/>
      <c r="WDT7" s="397"/>
      <c r="WDU7" s="397"/>
      <c r="WDV7" s="397"/>
      <c r="WDW7" s="397"/>
      <c r="WDX7" s="397"/>
      <c r="WDY7" s="397"/>
      <c r="WDZ7" s="397"/>
      <c r="WEA7" s="397"/>
      <c r="WEB7" s="397"/>
      <c r="WEC7" s="397"/>
      <c r="WED7" s="397"/>
      <c r="WEE7" s="397"/>
      <c r="WEF7" s="397"/>
      <c r="WEG7" s="397"/>
      <c r="WEH7" s="397"/>
      <c r="WEI7" s="397"/>
      <c r="WEJ7" s="397"/>
      <c r="WEK7" s="397"/>
      <c r="WEL7" s="397"/>
      <c r="WEM7" s="397"/>
      <c r="WEN7" s="397"/>
      <c r="WEO7" s="397"/>
      <c r="WEP7" s="397"/>
      <c r="WEQ7" s="397"/>
      <c r="WER7" s="397"/>
      <c r="WES7" s="397"/>
      <c r="WET7" s="397"/>
      <c r="WEU7" s="397"/>
      <c r="WEV7" s="397"/>
      <c r="WEW7" s="397"/>
      <c r="WEX7" s="397"/>
      <c r="WEY7" s="397"/>
      <c r="WEZ7" s="397"/>
      <c r="WFA7" s="397"/>
      <c r="WFB7" s="397"/>
      <c r="WFC7" s="397"/>
      <c r="WFD7" s="397"/>
      <c r="WFE7" s="397"/>
      <c r="WFF7" s="397"/>
      <c r="WFG7" s="397"/>
      <c r="WFH7" s="397"/>
      <c r="WFI7" s="397"/>
      <c r="WFJ7" s="397"/>
      <c r="WFK7" s="397"/>
      <c r="WFL7" s="397"/>
      <c r="WFM7" s="397"/>
      <c r="WFN7" s="397"/>
      <c r="WFO7" s="397"/>
      <c r="WFP7" s="397"/>
      <c r="WFQ7" s="397"/>
      <c r="WFR7" s="397"/>
      <c r="WFS7" s="397"/>
      <c r="WFT7" s="397"/>
      <c r="WFU7" s="397"/>
      <c r="WFV7" s="397"/>
      <c r="WFW7" s="397"/>
      <c r="WFX7" s="397"/>
      <c r="WFY7" s="397"/>
      <c r="WFZ7" s="397"/>
      <c r="WGA7" s="397"/>
      <c r="WGB7" s="397"/>
      <c r="WGC7" s="397"/>
      <c r="WGD7" s="397"/>
      <c r="WGE7" s="397"/>
      <c r="WGF7" s="397"/>
      <c r="WGG7" s="397"/>
      <c r="WGH7" s="397"/>
      <c r="WGI7" s="397"/>
      <c r="WGJ7" s="397"/>
      <c r="WGK7" s="397"/>
      <c r="WGL7" s="397"/>
      <c r="WGM7" s="397"/>
      <c r="WGN7" s="397"/>
      <c r="WGO7" s="397"/>
      <c r="WGP7" s="397"/>
      <c r="WGQ7" s="397"/>
      <c r="WGR7" s="397"/>
      <c r="WGS7" s="397"/>
      <c r="WGT7" s="397"/>
      <c r="WGU7" s="397"/>
      <c r="WGV7" s="397"/>
      <c r="WGW7" s="397"/>
      <c r="WGX7" s="397"/>
      <c r="WGY7" s="397"/>
      <c r="WGZ7" s="397"/>
      <c r="WHA7" s="397"/>
      <c r="WHB7" s="397"/>
      <c r="WHC7" s="397"/>
      <c r="WHD7" s="397"/>
      <c r="WHE7" s="397"/>
      <c r="WHF7" s="397"/>
      <c r="WHG7" s="397"/>
      <c r="WHH7" s="397"/>
      <c r="WHI7" s="397"/>
      <c r="WHJ7" s="397"/>
      <c r="WHK7" s="397"/>
      <c r="WHL7" s="397"/>
      <c r="WHM7" s="397"/>
      <c r="WHN7" s="397"/>
      <c r="WHO7" s="397"/>
      <c r="WHP7" s="397"/>
      <c r="WHQ7" s="397"/>
      <c r="WHR7" s="397"/>
      <c r="WHS7" s="397"/>
      <c r="WHT7" s="397"/>
      <c r="WHU7" s="397"/>
      <c r="WHV7" s="397"/>
      <c r="WHW7" s="397"/>
      <c r="WHX7" s="397"/>
      <c r="WHY7" s="397"/>
      <c r="WHZ7" s="397"/>
      <c r="WIA7" s="397"/>
      <c r="WIB7" s="397"/>
      <c r="WIC7" s="397"/>
      <c r="WID7" s="397"/>
      <c r="WIE7" s="397"/>
      <c r="WIF7" s="397"/>
      <c r="WIG7" s="397"/>
      <c r="WIH7" s="397"/>
      <c r="WII7" s="397"/>
      <c r="WIJ7" s="397"/>
      <c r="WIK7" s="397"/>
      <c r="WIL7" s="397"/>
      <c r="WIM7" s="397"/>
      <c r="WIN7" s="397"/>
      <c r="WIO7" s="397"/>
      <c r="WIP7" s="397"/>
      <c r="WIQ7" s="397"/>
      <c r="WIR7" s="397"/>
      <c r="WIS7" s="397"/>
      <c r="WIT7" s="397"/>
      <c r="WIU7" s="397"/>
      <c r="WIV7" s="397"/>
      <c r="WIW7" s="397"/>
      <c r="WIX7" s="397"/>
      <c r="WIY7" s="397"/>
      <c r="WIZ7" s="397"/>
      <c r="WJA7" s="397"/>
      <c r="WJB7" s="397"/>
      <c r="WJC7" s="397"/>
      <c r="WJD7" s="397"/>
      <c r="WJE7" s="397"/>
      <c r="WJF7" s="397"/>
      <c r="WJG7" s="397"/>
      <c r="WJH7" s="397"/>
      <c r="WJI7" s="397"/>
      <c r="WJJ7" s="397"/>
      <c r="WJK7" s="397"/>
      <c r="WJL7" s="397"/>
      <c r="WJM7" s="397"/>
      <c r="WJN7" s="397"/>
      <c r="WJO7" s="397"/>
      <c r="WJP7" s="397"/>
      <c r="WJQ7" s="397"/>
      <c r="WJR7" s="397"/>
      <c r="WJS7" s="397"/>
      <c r="WJT7" s="397"/>
      <c r="WJU7" s="397"/>
      <c r="WJV7" s="397"/>
      <c r="WJW7" s="397"/>
      <c r="WJX7" s="397"/>
      <c r="WJY7" s="397"/>
      <c r="WJZ7" s="397"/>
      <c r="WKA7" s="397"/>
      <c r="WKB7" s="397"/>
      <c r="WKC7" s="397"/>
      <c r="WKD7" s="397"/>
      <c r="WKE7" s="397"/>
      <c r="WKF7" s="397"/>
      <c r="WKG7" s="397"/>
      <c r="WKH7" s="397"/>
      <c r="WKI7" s="397"/>
      <c r="WKJ7" s="397"/>
      <c r="WKK7" s="397"/>
      <c r="WKL7" s="397"/>
      <c r="WKM7" s="397"/>
      <c r="WKN7" s="397"/>
      <c r="WKO7" s="397"/>
      <c r="WKP7" s="397"/>
      <c r="WKQ7" s="397"/>
      <c r="WKR7" s="397"/>
      <c r="WKS7" s="397"/>
      <c r="WKT7" s="397"/>
      <c r="WKU7" s="397"/>
      <c r="WKV7" s="397"/>
      <c r="WKW7" s="397"/>
      <c r="WKX7" s="397"/>
      <c r="WKY7" s="397"/>
      <c r="WKZ7" s="397"/>
      <c r="WLA7" s="397"/>
      <c r="WLB7" s="397"/>
      <c r="WLC7" s="397"/>
      <c r="WLD7" s="397"/>
      <c r="WLE7" s="397"/>
      <c r="WLF7" s="397"/>
      <c r="WLG7" s="397"/>
      <c r="WLH7" s="397"/>
      <c r="WLI7" s="397"/>
      <c r="WLJ7" s="397"/>
      <c r="WLK7" s="397"/>
      <c r="WLL7" s="397"/>
      <c r="WLM7" s="397"/>
      <c r="WLN7" s="397"/>
      <c r="WLO7" s="397"/>
      <c r="WLP7" s="397"/>
      <c r="WLQ7" s="397"/>
      <c r="WLR7" s="397"/>
      <c r="WLS7" s="397"/>
      <c r="WLT7" s="397"/>
      <c r="WLU7" s="397"/>
      <c r="WLV7" s="397"/>
      <c r="WLW7" s="397"/>
      <c r="WLX7" s="397"/>
      <c r="WLY7" s="397"/>
      <c r="WLZ7" s="397"/>
      <c r="WMA7" s="397"/>
      <c r="WMB7" s="397"/>
      <c r="WMC7" s="397"/>
      <c r="WMD7" s="397"/>
      <c r="WME7" s="397"/>
      <c r="WMF7" s="397"/>
      <c r="WMG7" s="397"/>
      <c r="WMH7" s="397"/>
      <c r="WMI7" s="397"/>
      <c r="WMJ7" s="397"/>
      <c r="WMK7" s="397"/>
      <c r="WML7" s="397"/>
      <c r="WMM7" s="397"/>
      <c r="WMN7" s="397"/>
      <c r="WMO7" s="397"/>
      <c r="WMP7" s="397"/>
      <c r="WMQ7" s="397"/>
      <c r="WMR7" s="397"/>
      <c r="WMS7" s="397"/>
      <c r="WMT7" s="397"/>
      <c r="WMU7" s="397"/>
      <c r="WMV7" s="397"/>
      <c r="WMW7" s="397"/>
      <c r="WMX7" s="397"/>
      <c r="WMY7" s="397"/>
      <c r="WMZ7" s="397"/>
      <c r="WNA7" s="397"/>
      <c r="WNB7" s="397"/>
      <c r="WNC7" s="397"/>
      <c r="WND7" s="397"/>
      <c r="WNE7" s="397"/>
      <c r="WNF7" s="397"/>
      <c r="WNG7" s="397"/>
      <c r="WNH7" s="397"/>
      <c r="WNI7" s="397"/>
      <c r="WNJ7" s="397"/>
      <c r="WNK7" s="397"/>
      <c r="WNL7" s="397"/>
      <c r="WNM7" s="397"/>
      <c r="WNN7" s="397"/>
      <c r="WNO7" s="397"/>
      <c r="WNP7" s="397"/>
      <c r="WNQ7" s="397"/>
      <c r="WNR7" s="397"/>
      <c r="WNS7" s="397"/>
      <c r="WNT7" s="397"/>
      <c r="WNU7" s="397"/>
      <c r="WNV7" s="397"/>
      <c r="WNW7" s="397"/>
      <c r="WNX7" s="397"/>
      <c r="WNY7" s="397"/>
      <c r="WNZ7" s="397"/>
      <c r="WOA7" s="397"/>
      <c r="WOB7" s="397"/>
      <c r="WOC7" s="397"/>
      <c r="WOD7" s="397"/>
      <c r="WOE7" s="397"/>
      <c r="WOF7" s="397"/>
      <c r="WOG7" s="397"/>
      <c r="WOH7" s="397"/>
      <c r="WOI7" s="397"/>
      <c r="WOJ7" s="397"/>
      <c r="WOK7" s="397"/>
      <c r="WOL7" s="397"/>
      <c r="WOM7" s="397"/>
      <c r="WON7" s="397"/>
      <c r="WOO7" s="397"/>
      <c r="WOP7" s="397"/>
      <c r="WOQ7" s="397"/>
      <c r="WOR7" s="397"/>
      <c r="WOS7" s="397"/>
      <c r="WOT7" s="397"/>
      <c r="WOU7" s="397"/>
      <c r="WOV7" s="397"/>
      <c r="WOW7" s="397"/>
      <c r="WOX7" s="397"/>
      <c r="WOY7" s="397"/>
      <c r="WOZ7" s="397"/>
      <c r="WPA7" s="397"/>
      <c r="WPB7" s="397"/>
      <c r="WPC7" s="397"/>
      <c r="WPD7" s="397"/>
      <c r="WPE7" s="397"/>
      <c r="WPF7" s="397"/>
      <c r="WPG7" s="397"/>
      <c r="WPH7" s="397"/>
      <c r="WPI7" s="397"/>
      <c r="WPJ7" s="397"/>
      <c r="WPK7" s="397"/>
      <c r="WPL7" s="397"/>
      <c r="WPM7" s="397"/>
      <c r="WPN7" s="397"/>
      <c r="WPO7" s="397"/>
      <c r="WPP7" s="397"/>
      <c r="WPQ7" s="397"/>
      <c r="WPR7" s="397"/>
      <c r="WPS7" s="397"/>
      <c r="WPT7" s="397"/>
      <c r="WPU7" s="397"/>
      <c r="WPV7" s="397"/>
      <c r="WPW7" s="397"/>
      <c r="WPX7" s="397"/>
      <c r="WPY7" s="397"/>
      <c r="WPZ7" s="397"/>
      <c r="WQA7" s="397"/>
      <c r="WQB7" s="397"/>
      <c r="WQC7" s="397"/>
      <c r="WQD7" s="397"/>
      <c r="WQE7" s="397"/>
      <c r="WQF7" s="397"/>
      <c r="WQG7" s="397"/>
      <c r="WQH7" s="397"/>
      <c r="WQI7" s="397"/>
      <c r="WQJ7" s="397"/>
      <c r="WQK7" s="397"/>
      <c r="WQL7" s="397"/>
      <c r="WQM7" s="397"/>
      <c r="WQN7" s="397"/>
      <c r="WQO7" s="397"/>
      <c r="WQP7" s="397"/>
      <c r="WQQ7" s="397"/>
      <c r="WQR7" s="397"/>
      <c r="WQS7" s="397"/>
      <c r="WQT7" s="397"/>
      <c r="WQU7" s="397"/>
      <c r="WQV7" s="397"/>
      <c r="WQW7" s="397"/>
      <c r="WQX7" s="397"/>
      <c r="WQY7" s="397"/>
      <c r="WQZ7" s="397"/>
      <c r="WRA7" s="397"/>
      <c r="WRB7" s="397"/>
      <c r="WRC7" s="397"/>
      <c r="WRD7" s="397"/>
      <c r="WRE7" s="397"/>
      <c r="WRF7" s="397"/>
      <c r="WRG7" s="397"/>
      <c r="WRH7" s="397"/>
      <c r="WRI7" s="397"/>
      <c r="WRJ7" s="397"/>
      <c r="WRK7" s="397"/>
      <c r="WRL7" s="397"/>
      <c r="WRM7" s="397"/>
      <c r="WRN7" s="397"/>
      <c r="WRO7" s="397"/>
      <c r="WRP7" s="397"/>
      <c r="WRQ7" s="397"/>
      <c r="WRR7" s="397"/>
      <c r="WRS7" s="397"/>
      <c r="WRT7" s="397"/>
      <c r="WRU7" s="397"/>
      <c r="WRV7" s="397"/>
      <c r="WRW7" s="397"/>
      <c r="WRX7" s="397"/>
      <c r="WRY7" s="397"/>
      <c r="WRZ7" s="397"/>
      <c r="WSA7" s="397"/>
      <c r="WSB7" s="397"/>
      <c r="WSC7" s="397"/>
      <c r="WSD7" s="397"/>
      <c r="WSE7" s="397"/>
      <c r="WSF7" s="397"/>
      <c r="WSG7" s="397"/>
      <c r="WSH7" s="397"/>
      <c r="WSI7" s="397"/>
      <c r="WSJ7" s="397"/>
      <c r="WSK7" s="397"/>
      <c r="WSL7" s="397"/>
      <c r="WSM7" s="397"/>
      <c r="WSN7" s="397"/>
      <c r="WSO7" s="397"/>
      <c r="WSP7" s="397"/>
      <c r="WSQ7" s="397"/>
      <c r="WSR7" s="397"/>
      <c r="WSS7" s="397"/>
      <c r="WST7" s="397"/>
      <c r="WSU7" s="397"/>
      <c r="WSV7" s="397"/>
      <c r="WSW7" s="397"/>
      <c r="WSX7" s="397"/>
      <c r="WSY7" s="397"/>
      <c r="WSZ7" s="397"/>
      <c r="WTA7" s="397"/>
      <c r="WTB7" s="397"/>
      <c r="WTC7" s="397"/>
      <c r="WTD7" s="397"/>
      <c r="WTE7" s="397"/>
      <c r="WTF7" s="397"/>
      <c r="WTG7" s="397"/>
      <c r="WTH7" s="397"/>
      <c r="WTI7" s="397"/>
      <c r="WTJ7" s="397"/>
      <c r="WTK7" s="397"/>
      <c r="WTL7" s="397"/>
      <c r="WTM7" s="397"/>
      <c r="WTN7" s="397"/>
      <c r="WTO7" s="397"/>
      <c r="WTP7" s="397"/>
      <c r="WTQ7" s="397"/>
      <c r="WTR7" s="397"/>
      <c r="WTS7" s="397"/>
      <c r="WTT7" s="397"/>
      <c r="WTU7" s="397"/>
      <c r="WTV7" s="397"/>
      <c r="WTW7" s="397"/>
      <c r="WTX7" s="397"/>
      <c r="WTY7" s="397"/>
      <c r="WTZ7" s="397"/>
      <c r="WUA7" s="397"/>
      <c r="WUB7" s="397"/>
      <c r="WUC7" s="397"/>
      <c r="WUD7" s="397"/>
      <c r="WUE7" s="397"/>
      <c r="WUF7" s="397"/>
      <c r="WUG7" s="397"/>
      <c r="WUH7" s="397"/>
      <c r="WUI7" s="397"/>
      <c r="WUJ7" s="397"/>
      <c r="WUK7" s="397"/>
      <c r="WUL7" s="397"/>
      <c r="WUM7" s="397"/>
      <c r="WUN7" s="397"/>
      <c r="WUO7" s="397"/>
      <c r="WUP7" s="397"/>
      <c r="WUQ7" s="397"/>
      <c r="WUR7" s="397"/>
      <c r="WUS7" s="397"/>
      <c r="WUT7" s="397"/>
      <c r="WUU7" s="397"/>
      <c r="WUV7" s="397"/>
      <c r="WUW7" s="397"/>
      <c r="WUX7" s="397"/>
      <c r="WUY7" s="397"/>
      <c r="WUZ7" s="397"/>
      <c r="WVA7" s="397"/>
      <c r="WVB7" s="397"/>
      <c r="WVC7" s="397"/>
      <c r="WVD7" s="397"/>
      <c r="WVE7" s="397"/>
      <c r="WVF7" s="397"/>
      <c r="WVG7" s="397"/>
      <c r="WVH7" s="397"/>
      <c r="WVI7" s="397"/>
      <c r="WVJ7" s="397"/>
      <c r="WVK7" s="397"/>
      <c r="WVL7" s="397"/>
      <c r="WVM7" s="397"/>
      <c r="WVN7" s="397"/>
      <c r="WVO7" s="397"/>
      <c r="WVP7" s="397"/>
      <c r="WVQ7" s="397"/>
      <c r="WVR7" s="397"/>
      <c r="WVS7" s="397"/>
      <c r="WVT7" s="397"/>
      <c r="WVU7" s="397"/>
      <c r="WVV7" s="397"/>
      <c r="WVW7" s="397"/>
      <c r="WVX7" s="397"/>
      <c r="WVY7" s="397"/>
      <c r="WVZ7" s="397"/>
      <c r="WWA7" s="397"/>
      <c r="WWB7" s="397"/>
      <c r="WWC7" s="397"/>
      <c r="WWD7" s="397"/>
      <c r="WWE7" s="397"/>
      <c r="WWF7" s="397"/>
      <c r="WWG7" s="397"/>
      <c r="WWH7" s="397"/>
      <c r="WWI7" s="397"/>
      <c r="WWJ7" s="397"/>
      <c r="WWK7" s="397"/>
      <c r="WWL7" s="397"/>
      <c r="WWM7" s="397"/>
      <c r="WWN7" s="397"/>
      <c r="WWO7" s="397"/>
      <c r="WWP7" s="397"/>
      <c r="WWQ7" s="397"/>
      <c r="WWR7" s="397"/>
      <c r="WWS7" s="397"/>
      <c r="WWT7" s="397"/>
      <c r="WWU7" s="397"/>
      <c r="WWV7" s="397"/>
      <c r="WWW7" s="397"/>
      <c r="WWX7" s="397"/>
      <c r="WWY7" s="397"/>
      <c r="WWZ7" s="397"/>
      <c r="WXA7" s="397"/>
      <c r="WXB7" s="397"/>
      <c r="WXC7" s="397"/>
      <c r="WXD7" s="397"/>
      <c r="WXE7" s="397"/>
      <c r="WXF7" s="397"/>
      <c r="WXG7" s="397"/>
      <c r="WXH7" s="397"/>
      <c r="WXI7" s="397"/>
      <c r="WXJ7" s="397"/>
      <c r="WXK7" s="397"/>
      <c r="WXL7" s="397"/>
      <c r="WXM7" s="397"/>
      <c r="WXN7" s="397"/>
      <c r="WXO7" s="397"/>
      <c r="WXP7" s="397"/>
      <c r="WXQ7" s="397"/>
      <c r="WXR7" s="397"/>
      <c r="WXS7" s="397"/>
      <c r="WXT7" s="397"/>
      <c r="WXU7" s="397"/>
      <c r="WXV7" s="397"/>
      <c r="WXW7" s="397"/>
      <c r="WXX7" s="397"/>
      <c r="WXY7" s="397"/>
      <c r="WXZ7" s="397"/>
      <c r="WYA7" s="397"/>
      <c r="WYB7" s="397"/>
      <c r="WYC7" s="397"/>
      <c r="WYD7" s="397"/>
      <c r="WYE7" s="397"/>
      <c r="WYF7" s="397"/>
      <c r="WYG7" s="397"/>
      <c r="WYH7" s="397"/>
      <c r="WYI7" s="397"/>
      <c r="WYJ7" s="397"/>
      <c r="WYK7" s="397"/>
      <c r="WYL7" s="397"/>
      <c r="WYM7" s="397"/>
      <c r="WYN7" s="397"/>
      <c r="WYO7" s="397"/>
      <c r="WYP7" s="397"/>
      <c r="WYQ7" s="397"/>
      <c r="WYR7" s="397"/>
      <c r="WYS7" s="397"/>
      <c r="WYT7" s="397"/>
      <c r="WYU7" s="397"/>
      <c r="WYV7" s="397"/>
      <c r="WYW7" s="397"/>
      <c r="WYX7" s="397"/>
      <c r="WYY7" s="397"/>
      <c r="WYZ7" s="397"/>
      <c r="WZA7" s="397"/>
      <c r="WZB7" s="397"/>
      <c r="WZC7" s="397"/>
      <c r="WZD7" s="397"/>
      <c r="WZE7" s="397"/>
      <c r="WZF7" s="397"/>
      <c r="WZG7" s="397"/>
      <c r="WZH7" s="397"/>
      <c r="WZI7" s="397"/>
      <c r="WZJ7" s="397"/>
      <c r="WZK7" s="397"/>
      <c r="WZL7" s="397"/>
      <c r="WZM7" s="397"/>
      <c r="WZN7" s="397"/>
      <c r="WZO7" s="397"/>
      <c r="WZP7" s="397"/>
      <c r="WZQ7" s="397"/>
      <c r="WZR7" s="397"/>
      <c r="WZS7" s="397"/>
      <c r="WZT7" s="397"/>
      <c r="WZU7" s="397"/>
      <c r="WZV7" s="397"/>
      <c r="WZW7" s="397"/>
      <c r="WZX7" s="397"/>
      <c r="WZY7" s="397"/>
      <c r="WZZ7" s="397"/>
      <c r="XAA7" s="397"/>
      <c r="XAB7" s="397"/>
      <c r="XAC7" s="397"/>
      <c r="XAD7" s="397"/>
      <c r="XAE7" s="397"/>
      <c r="XAF7" s="397"/>
      <c r="XAG7" s="397"/>
      <c r="XAH7" s="397"/>
      <c r="XAI7" s="397"/>
      <c r="XAJ7" s="397"/>
      <c r="XAK7" s="397"/>
      <c r="XAL7" s="397"/>
      <c r="XAM7" s="397"/>
      <c r="XAN7" s="397"/>
      <c r="XAO7" s="397"/>
      <c r="XAP7" s="397"/>
      <c r="XAQ7" s="397"/>
      <c r="XAR7" s="397"/>
      <c r="XAS7" s="397"/>
      <c r="XAT7" s="397"/>
      <c r="XAU7" s="397"/>
      <c r="XAV7" s="397"/>
      <c r="XAW7" s="397"/>
      <c r="XAX7" s="397"/>
      <c r="XAY7" s="397"/>
      <c r="XAZ7" s="397"/>
      <c r="XBA7" s="397"/>
      <c r="XBB7" s="397"/>
      <c r="XBC7" s="397"/>
      <c r="XBD7" s="397"/>
      <c r="XBE7" s="397"/>
      <c r="XBF7" s="397"/>
      <c r="XBG7" s="397"/>
      <c r="XBH7" s="397"/>
      <c r="XBI7" s="397"/>
      <c r="XBJ7" s="397"/>
      <c r="XBK7" s="397"/>
      <c r="XBL7" s="397"/>
      <c r="XBM7" s="397"/>
      <c r="XBN7" s="397"/>
      <c r="XBO7" s="397"/>
      <c r="XBP7" s="397"/>
      <c r="XBQ7" s="397"/>
      <c r="XBR7" s="397"/>
      <c r="XBS7" s="397"/>
      <c r="XBT7" s="397"/>
      <c r="XBU7" s="397"/>
      <c r="XBV7" s="397"/>
      <c r="XBW7" s="397"/>
      <c r="XBX7" s="397"/>
      <c r="XBY7" s="397"/>
      <c r="XBZ7" s="397"/>
      <c r="XCA7" s="397"/>
      <c r="XCB7" s="397"/>
      <c r="XCC7" s="397"/>
      <c r="XCD7" s="397"/>
      <c r="XCE7" s="397"/>
      <c r="XCF7" s="397"/>
      <c r="XCG7" s="397"/>
      <c r="XCH7" s="397"/>
      <c r="XCI7" s="397"/>
      <c r="XCJ7" s="397"/>
      <c r="XCK7" s="397"/>
      <c r="XCL7" s="397"/>
      <c r="XCM7" s="397"/>
      <c r="XCN7" s="397"/>
      <c r="XCO7" s="397"/>
      <c r="XCP7" s="397"/>
      <c r="XCQ7" s="397"/>
      <c r="XCR7" s="397"/>
      <c r="XCS7" s="397"/>
      <c r="XCT7" s="397"/>
      <c r="XCU7" s="397"/>
      <c r="XCV7" s="397"/>
      <c r="XCW7" s="397"/>
      <c r="XCX7" s="397"/>
      <c r="XCY7" s="397"/>
      <c r="XCZ7" s="397"/>
      <c r="XDA7" s="397"/>
      <c r="XDB7" s="397"/>
      <c r="XDC7" s="397"/>
      <c r="XDD7" s="397"/>
      <c r="XDE7" s="397"/>
      <c r="XDF7" s="397"/>
      <c r="XDG7" s="397"/>
      <c r="XDH7" s="397"/>
      <c r="XDI7" s="397"/>
      <c r="XDJ7" s="397"/>
      <c r="XDK7" s="397"/>
      <c r="XDL7" s="397"/>
      <c r="XDM7" s="397"/>
      <c r="XDN7" s="397"/>
      <c r="XDO7" s="397"/>
      <c r="XDP7" s="397"/>
      <c r="XDQ7" s="397"/>
      <c r="XDR7" s="397"/>
      <c r="XDS7" s="397"/>
      <c r="XDT7" s="397"/>
      <c r="XDU7" s="397"/>
      <c r="XDV7" s="397"/>
      <c r="XDW7" s="397"/>
      <c r="XDX7" s="397"/>
      <c r="XDY7" s="397"/>
      <c r="XDZ7" s="397"/>
      <c r="XEA7" s="397"/>
      <c r="XEB7" s="397"/>
      <c r="XEC7" s="397"/>
      <c r="XED7" s="397"/>
      <c r="XEE7" s="397"/>
      <c r="XEF7" s="397"/>
      <c r="XEG7" s="397"/>
      <c r="XEH7" s="397"/>
      <c r="XEI7" s="397"/>
      <c r="XEJ7" s="397"/>
      <c r="XEK7" s="397"/>
      <c r="XEL7" s="397"/>
      <c r="XEM7" s="397"/>
      <c r="XEN7" s="397"/>
      <c r="XEO7" s="397"/>
      <c r="XEP7" s="397"/>
      <c r="XEQ7" s="397"/>
      <c r="XER7" s="397"/>
      <c r="XES7" s="397"/>
      <c r="XET7" s="397"/>
      <c r="XEU7" s="397"/>
      <c r="XEV7" s="397"/>
      <c r="XEW7" s="397"/>
      <c r="XEX7" s="397"/>
      <c r="XEY7" s="397"/>
      <c r="XEZ7" s="397"/>
      <c r="XFA7" s="397"/>
    </row>
    <row r="8" spans="1:16381" s="591" customFormat="1" ht="25.5">
      <c r="A8" s="591" t="str">
        <f t="shared" si="0"/>
        <v>Adler Modemaerkte Versorgungswerk e.V. v. 01.01.2019</v>
      </c>
      <c r="B8" s="591">
        <f>ROW()</f>
        <v>8</v>
      </c>
      <c r="C8" s="616" t="s">
        <v>1136</v>
      </c>
      <c r="D8" s="1146">
        <v>43466</v>
      </c>
      <c r="E8" s="617" t="s">
        <v>769</v>
      </c>
      <c r="F8" s="618" t="str">
        <f t="shared" si="1"/>
        <v/>
      </c>
      <c r="G8" s="615" t="str">
        <f t="shared" si="2"/>
        <v xml:space="preserve">TO ermöglicht: doppelten Kostenabzug; </v>
      </c>
      <c r="I8" s="615"/>
      <c r="J8" s="756"/>
      <c r="K8" s="1144"/>
      <c r="L8" s="1144">
        <v>2</v>
      </c>
      <c r="M8" s="1144"/>
      <c r="N8" s="1144"/>
      <c r="O8" s="761" t="s">
        <v>805</v>
      </c>
      <c r="P8" s="140">
        <f t="shared" si="3"/>
        <v>2</v>
      </c>
      <c r="S8" s="591">
        <f>IFERROR(SEARCH(MID(+Fallerfassung!D28,1,5),S$6),1)</f>
        <v>1</v>
      </c>
    </row>
    <row r="9" spans="1:16381" s="591" customFormat="1" ht="25.5">
      <c r="A9" s="591" t="str">
        <f t="shared" si="0"/>
        <v>allfrisch Unterstuetzungskasse e.V v. 28.12.2017</v>
      </c>
      <c r="B9" s="591">
        <f>ROW()</f>
        <v>9</v>
      </c>
      <c r="C9" s="616" t="s">
        <v>1137</v>
      </c>
      <c r="D9" s="1146">
        <v>43097</v>
      </c>
      <c r="E9" s="617" t="s">
        <v>763</v>
      </c>
      <c r="F9" s="618" t="str">
        <f t="shared" si="1"/>
        <v/>
      </c>
      <c r="G9" s="615" t="str">
        <f t="shared" si="2"/>
        <v xml:space="preserve">TO ermöglicht: doppelten Kostenabzug; </v>
      </c>
      <c r="I9" s="615"/>
      <c r="J9" s="760"/>
      <c r="K9" s="1144"/>
      <c r="L9" s="1144">
        <v>2</v>
      </c>
      <c r="M9" s="1144"/>
      <c r="N9" s="1144"/>
      <c r="O9" s="761" t="s">
        <v>805</v>
      </c>
      <c r="P9" s="140">
        <f t="shared" si="3"/>
        <v>2</v>
      </c>
      <c r="S9" s="591">
        <f>IFERROR(SEARCH(MID(+Fallerfassung!D29,1,5),S$6),1)</f>
        <v>1</v>
      </c>
    </row>
    <row r="10" spans="1:16381" s="591" customFormat="1">
      <c r="A10" s="591" t="str">
        <f t="shared" si="0"/>
        <v>Allianz KBV Harmonisierung BPV v. 07.01.2010</v>
      </c>
      <c r="B10" s="591">
        <f>ROW()</f>
        <v>10</v>
      </c>
      <c r="C10" s="616" t="s">
        <v>1346</v>
      </c>
      <c r="D10" s="1146">
        <v>40185</v>
      </c>
      <c r="E10" s="617"/>
      <c r="F10" s="618" t="str">
        <f t="shared" si="1"/>
        <v/>
      </c>
      <c r="G10" s="615" t="str">
        <f t="shared" si="2"/>
        <v/>
      </c>
      <c r="I10" s="615"/>
      <c r="J10" s="756"/>
      <c r="K10" s="1144"/>
      <c r="L10" s="1144"/>
      <c r="M10" s="1144"/>
      <c r="N10" s="1144"/>
      <c r="O10" s="757"/>
      <c r="P10" s="140">
        <f t="shared" si="3"/>
        <v>0</v>
      </c>
      <c r="Q10" s="397"/>
      <c r="R10" s="397"/>
      <c r="S10" s="591">
        <f>IFERROR(SEARCH(MID(+Fallerfassung!D30,1,5),S$6),1)</f>
        <v>1</v>
      </c>
      <c r="T10" s="397"/>
      <c r="U10" s="397"/>
      <c r="V10" s="397"/>
      <c r="W10" s="397"/>
      <c r="X10" s="397"/>
      <c r="Y10" s="397"/>
      <c r="Z10" s="397"/>
      <c r="AA10" s="397"/>
      <c r="AB10" s="397"/>
      <c r="AC10" s="397"/>
      <c r="AD10" s="397"/>
      <c r="AE10" s="397"/>
      <c r="AF10" s="397"/>
      <c r="AG10" s="397"/>
      <c r="AH10" s="397"/>
      <c r="AI10" s="397"/>
      <c r="AJ10" s="397"/>
      <c r="AK10" s="397"/>
      <c r="AL10" s="397"/>
      <c r="AM10" s="397"/>
      <c r="AN10" s="397"/>
      <c r="AO10" s="397"/>
      <c r="AP10" s="397"/>
      <c r="AQ10" s="397"/>
      <c r="AR10" s="397"/>
      <c r="AS10" s="397"/>
      <c r="AT10" s="397"/>
      <c r="AU10" s="397"/>
      <c r="AV10" s="397"/>
      <c r="AW10" s="397"/>
      <c r="AX10" s="397"/>
      <c r="AY10" s="397"/>
      <c r="AZ10" s="397"/>
      <c r="BA10" s="397"/>
      <c r="BB10" s="397"/>
      <c r="BC10" s="397"/>
      <c r="BD10" s="397"/>
      <c r="BE10" s="397"/>
      <c r="BF10" s="397"/>
      <c r="BG10" s="397"/>
      <c r="BH10" s="397"/>
      <c r="BI10" s="397"/>
      <c r="BJ10" s="397"/>
      <c r="BK10" s="397"/>
      <c r="BL10" s="397"/>
      <c r="BM10" s="397"/>
      <c r="BN10" s="397"/>
      <c r="BO10" s="397"/>
      <c r="BP10" s="397"/>
      <c r="BQ10" s="397"/>
      <c r="BR10" s="397"/>
      <c r="BS10" s="397"/>
      <c r="BT10" s="397"/>
      <c r="BU10" s="397"/>
      <c r="BV10" s="397"/>
      <c r="BW10" s="397"/>
      <c r="BX10" s="397"/>
      <c r="BY10" s="397"/>
      <c r="BZ10" s="397"/>
      <c r="CA10" s="397"/>
      <c r="CB10" s="397"/>
      <c r="CC10" s="397"/>
      <c r="CD10" s="397"/>
      <c r="CE10" s="397"/>
      <c r="CF10" s="397"/>
      <c r="CG10" s="397"/>
      <c r="CH10" s="397"/>
      <c r="CI10" s="397"/>
      <c r="CJ10" s="397"/>
      <c r="CK10" s="397"/>
      <c r="CL10" s="397"/>
      <c r="CM10" s="397"/>
      <c r="CN10" s="397"/>
      <c r="CO10" s="397"/>
      <c r="CP10" s="397"/>
      <c r="CQ10" s="397"/>
      <c r="CR10" s="397"/>
      <c r="CS10" s="397"/>
      <c r="CT10" s="397"/>
      <c r="CU10" s="397"/>
      <c r="CV10" s="397"/>
      <c r="CW10" s="397"/>
      <c r="CX10" s="397"/>
      <c r="CY10" s="397"/>
      <c r="CZ10" s="397"/>
      <c r="DA10" s="397"/>
      <c r="DB10" s="397"/>
      <c r="DC10" s="397"/>
      <c r="DD10" s="397"/>
      <c r="DE10" s="397"/>
      <c r="DF10" s="397"/>
      <c r="DG10" s="397"/>
      <c r="DH10" s="397"/>
      <c r="DI10" s="397"/>
      <c r="DJ10" s="397"/>
      <c r="DK10" s="397"/>
      <c r="DL10" s="397"/>
      <c r="DM10" s="397"/>
      <c r="DN10" s="397"/>
      <c r="DO10" s="397"/>
      <c r="DP10" s="397"/>
      <c r="DQ10" s="397"/>
      <c r="DR10" s="397"/>
      <c r="DS10" s="397"/>
      <c r="DT10" s="397"/>
      <c r="DU10" s="397"/>
      <c r="DV10" s="397"/>
      <c r="DW10" s="397"/>
      <c r="DX10" s="397"/>
      <c r="DY10" s="397"/>
      <c r="DZ10" s="397"/>
      <c r="EA10" s="397"/>
      <c r="EB10" s="397"/>
      <c r="EC10" s="397"/>
      <c r="ED10" s="397"/>
      <c r="EE10" s="397"/>
      <c r="EF10" s="397"/>
      <c r="EG10" s="397"/>
      <c r="EH10" s="397"/>
      <c r="EI10" s="397"/>
      <c r="EJ10" s="397"/>
      <c r="EK10" s="397"/>
      <c r="EL10" s="397"/>
      <c r="EM10" s="397"/>
      <c r="EN10" s="397"/>
      <c r="EO10" s="397"/>
      <c r="EP10" s="397"/>
      <c r="EQ10" s="397"/>
      <c r="ER10" s="397"/>
      <c r="ES10" s="397"/>
      <c r="ET10" s="397"/>
      <c r="EU10" s="397"/>
      <c r="EV10" s="397"/>
      <c r="EW10" s="397"/>
      <c r="EX10" s="397"/>
      <c r="EY10" s="397"/>
      <c r="EZ10" s="397"/>
      <c r="FA10" s="397"/>
      <c r="FB10" s="397"/>
      <c r="FC10" s="397"/>
      <c r="FD10" s="397"/>
      <c r="FE10" s="397"/>
      <c r="FF10" s="397"/>
      <c r="FG10" s="397"/>
      <c r="FH10" s="397"/>
      <c r="FI10" s="397"/>
      <c r="FJ10" s="397"/>
      <c r="FK10" s="397"/>
      <c r="FL10" s="397"/>
      <c r="FM10" s="397"/>
      <c r="FN10" s="397"/>
      <c r="FO10" s="397"/>
      <c r="FP10" s="397"/>
      <c r="FQ10" s="397"/>
      <c r="FR10" s="397"/>
      <c r="FS10" s="397"/>
      <c r="FT10" s="397"/>
      <c r="FU10" s="397"/>
      <c r="FV10" s="397"/>
      <c r="FW10" s="397"/>
      <c r="FX10" s="397"/>
      <c r="FY10" s="397"/>
      <c r="FZ10" s="397"/>
      <c r="GA10" s="397"/>
      <c r="GB10" s="397"/>
      <c r="GC10" s="397"/>
      <c r="GD10" s="397"/>
      <c r="GE10" s="397"/>
      <c r="GF10" s="397"/>
      <c r="GG10" s="397"/>
      <c r="GH10" s="397"/>
      <c r="GI10" s="397"/>
      <c r="GJ10" s="397"/>
      <c r="GK10" s="397"/>
      <c r="GL10" s="397"/>
      <c r="GM10" s="397"/>
      <c r="GN10" s="397"/>
      <c r="GO10" s="397"/>
      <c r="GP10" s="397"/>
      <c r="GQ10" s="397"/>
      <c r="GR10" s="397"/>
      <c r="GS10" s="397"/>
      <c r="GT10" s="397"/>
      <c r="GU10" s="397"/>
      <c r="GV10" s="397"/>
      <c r="GW10" s="397"/>
      <c r="GX10" s="397"/>
      <c r="GY10" s="397"/>
      <c r="GZ10" s="397"/>
      <c r="HA10" s="397"/>
      <c r="HB10" s="397"/>
      <c r="HC10" s="397"/>
      <c r="HD10" s="397"/>
      <c r="HE10" s="397"/>
      <c r="HF10" s="397"/>
      <c r="HG10" s="397"/>
      <c r="HH10" s="397"/>
      <c r="HI10" s="397"/>
      <c r="HJ10" s="397"/>
      <c r="HK10" s="397"/>
      <c r="HL10" s="397"/>
      <c r="HM10" s="397"/>
      <c r="HN10" s="397"/>
      <c r="HO10" s="397"/>
      <c r="HP10" s="397"/>
      <c r="HQ10" s="397"/>
      <c r="HR10" s="397"/>
      <c r="HS10" s="397"/>
      <c r="HT10" s="397"/>
      <c r="HU10" s="397"/>
      <c r="HV10" s="397"/>
      <c r="HW10" s="397"/>
      <c r="HX10" s="397"/>
      <c r="HY10" s="397"/>
      <c r="HZ10" s="397"/>
      <c r="IA10" s="397"/>
      <c r="IB10" s="397"/>
      <c r="IC10" s="397"/>
      <c r="ID10" s="397"/>
      <c r="IE10" s="397"/>
      <c r="IF10" s="397"/>
      <c r="IG10" s="397"/>
      <c r="IH10" s="397"/>
      <c r="II10" s="397"/>
      <c r="IJ10" s="397"/>
      <c r="IK10" s="397"/>
      <c r="IL10" s="397"/>
      <c r="IM10" s="397"/>
      <c r="IN10" s="397"/>
      <c r="IO10" s="397"/>
      <c r="IP10" s="397"/>
      <c r="IQ10" s="397"/>
      <c r="IR10" s="397"/>
      <c r="IS10" s="397"/>
      <c r="IT10" s="397"/>
      <c r="IU10" s="397"/>
      <c r="IV10" s="397"/>
      <c r="IW10" s="397"/>
      <c r="IX10" s="397"/>
      <c r="IY10" s="397"/>
      <c r="IZ10" s="397"/>
      <c r="JA10" s="397"/>
      <c r="JB10" s="397"/>
      <c r="JC10" s="397"/>
      <c r="JD10" s="397"/>
      <c r="JE10" s="397"/>
      <c r="JF10" s="397"/>
      <c r="JG10" s="397"/>
      <c r="JH10" s="397"/>
      <c r="JI10" s="397"/>
      <c r="JJ10" s="397"/>
      <c r="JK10" s="397"/>
      <c r="JL10" s="397"/>
      <c r="JM10" s="397"/>
      <c r="JN10" s="397"/>
      <c r="JO10" s="397"/>
      <c r="JP10" s="397"/>
      <c r="JQ10" s="397"/>
      <c r="JR10" s="397"/>
      <c r="JS10" s="397"/>
      <c r="JT10" s="397"/>
      <c r="JU10" s="397"/>
      <c r="JV10" s="397"/>
      <c r="JW10" s="397"/>
      <c r="JX10" s="397"/>
      <c r="JY10" s="397"/>
      <c r="JZ10" s="397"/>
      <c r="KA10" s="397"/>
      <c r="KB10" s="397"/>
      <c r="KC10" s="397"/>
      <c r="KD10" s="397"/>
      <c r="KE10" s="397"/>
      <c r="KF10" s="397"/>
      <c r="KG10" s="397"/>
      <c r="KH10" s="397"/>
      <c r="KI10" s="397"/>
      <c r="KJ10" s="397"/>
      <c r="KK10" s="397"/>
      <c r="KL10" s="397"/>
      <c r="KM10" s="397"/>
      <c r="KN10" s="397"/>
      <c r="KO10" s="397"/>
      <c r="KP10" s="397"/>
      <c r="KQ10" s="397"/>
      <c r="KR10" s="397"/>
      <c r="KS10" s="397"/>
      <c r="KT10" s="397"/>
      <c r="KU10" s="397"/>
      <c r="KV10" s="397"/>
      <c r="KW10" s="397"/>
      <c r="KX10" s="397"/>
      <c r="KY10" s="397"/>
      <c r="KZ10" s="397"/>
      <c r="LA10" s="397"/>
      <c r="LB10" s="397"/>
      <c r="LC10" s="397"/>
      <c r="LD10" s="397"/>
      <c r="LE10" s="397"/>
      <c r="LF10" s="397"/>
      <c r="LG10" s="397"/>
      <c r="LH10" s="397"/>
      <c r="LI10" s="397"/>
      <c r="LJ10" s="397"/>
      <c r="LK10" s="397"/>
      <c r="LL10" s="397"/>
      <c r="LM10" s="397"/>
      <c r="LN10" s="397"/>
      <c r="LO10" s="397"/>
      <c r="LP10" s="397"/>
      <c r="LQ10" s="397"/>
      <c r="LR10" s="397"/>
      <c r="LS10" s="397"/>
      <c r="LT10" s="397"/>
      <c r="LU10" s="397"/>
      <c r="LV10" s="397"/>
      <c r="LW10" s="397"/>
      <c r="LX10" s="397"/>
      <c r="LY10" s="397"/>
      <c r="LZ10" s="397"/>
      <c r="MA10" s="397"/>
      <c r="MB10" s="397"/>
      <c r="MC10" s="397"/>
      <c r="MD10" s="397"/>
      <c r="ME10" s="397"/>
      <c r="MF10" s="397"/>
      <c r="MG10" s="397"/>
      <c r="MH10" s="397"/>
      <c r="MI10" s="397"/>
      <c r="MJ10" s="397"/>
      <c r="MK10" s="397"/>
      <c r="ML10" s="397"/>
      <c r="MM10" s="397"/>
      <c r="MN10" s="397"/>
      <c r="MO10" s="397"/>
      <c r="MP10" s="397"/>
      <c r="MQ10" s="397"/>
      <c r="MR10" s="397"/>
      <c r="MS10" s="397"/>
      <c r="MT10" s="397"/>
      <c r="MU10" s="397"/>
      <c r="MV10" s="397"/>
      <c r="MW10" s="397"/>
      <c r="MX10" s="397"/>
      <c r="MY10" s="397"/>
      <c r="MZ10" s="397"/>
      <c r="NA10" s="397"/>
      <c r="NB10" s="397"/>
      <c r="NC10" s="397"/>
      <c r="ND10" s="397"/>
      <c r="NE10" s="397"/>
      <c r="NF10" s="397"/>
      <c r="NG10" s="397"/>
      <c r="NH10" s="397"/>
      <c r="NI10" s="397"/>
      <c r="NJ10" s="397"/>
      <c r="NK10" s="397"/>
      <c r="NL10" s="397"/>
      <c r="NM10" s="397"/>
      <c r="NN10" s="397"/>
      <c r="NO10" s="397"/>
      <c r="NP10" s="397"/>
      <c r="NQ10" s="397"/>
      <c r="NR10" s="397"/>
      <c r="NS10" s="397"/>
      <c r="NT10" s="397"/>
      <c r="NU10" s="397"/>
      <c r="NV10" s="397"/>
      <c r="NW10" s="397"/>
      <c r="NX10" s="397"/>
      <c r="NY10" s="397"/>
      <c r="NZ10" s="397"/>
      <c r="OA10" s="397"/>
      <c r="OB10" s="397"/>
      <c r="OC10" s="397"/>
      <c r="OD10" s="397"/>
      <c r="OE10" s="397"/>
      <c r="OF10" s="397"/>
      <c r="OG10" s="397"/>
      <c r="OH10" s="397"/>
      <c r="OI10" s="397"/>
      <c r="OJ10" s="397"/>
      <c r="OK10" s="397"/>
      <c r="OL10" s="397"/>
      <c r="OM10" s="397"/>
      <c r="ON10" s="397"/>
      <c r="OO10" s="397"/>
      <c r="OP10" s="397"/>
      <c r="OQ10" s="397"/>
      <c r="OR10" s="397"/>
      <c r="OS10" s="397"/>
      <c r="OT10" s="397"/>
      <c r="OU10" s="397"/>
      <c r="OV10" s="397"/>
      <c r="OW10" s="397"/>
      <c r="OX10" s="397"/>
      <c r="OY10" s="397"/>
      <c r="OZ10" s="397"/>
      <c r="PA10" s="397"/>
      <c r="PB10" s="397"/>
      <c r="PC10" s="397"/>
      <c r="PD10" s="397"/>
      <c r="PE10" s="397"/>
      <c r="PF10" s="397"/>
      <c r="PG10" s="397"/>
      <c r="PH10" s="397"/>
      <c r="PI10" s="397"/>
      <c r="PJ10" s="397"/>
      <c r="PK10" s="397"/>
      <c r="PL10" s="397"/>
      <c r="PM10" s="397"/>
      <c r="PN10" s="397"/>
      <c r="PO10" s="397"/>
      <c r="PP10" s="397"/>
      <c r="PQ10" s="397"/>
      <c r="PR10" s="397"/>
      <c r="PS10" s="397"/>
      <c r="PT10" s="397"/>
      <c r="PU10" s="397"/>
      <c r="PV10" s="397"/>
      <c r="PW10" s="397"/>
      <c r="PX10" s="397"/>
      <c r="PY10" s="397"/>
      <c r="PZ10" s="397"/>
      <c r="QA10" s="397"/>
      <c r="QB10" s="397"/>
      <c r="QC10" s="397"/>
      <c r="QD10" s="397"/>
      <c r="QE10" s="397"/>
      <c r="QF10" s="397"/>
      <c r="QG10" s="397"/>
      <c r="QH10" s="397"/>
      <c r="QI10" s="397"/>
      <c r="QJ10" s="397"/>
      <c r="QK10" s="397"/>
      <c r="QL10" s="397"/>
      <c r="QM10" s="397"/>
      <c r="QN10" s="397"/>
      <c r="QO10" s="397"/>
      <c r="QP10" s="397"/>
      <c r="QQ10" s="397"/>
      <c r="QR10" s="397"/>
      <c r="QS10" s="397"/>
      <c r="QT10" s="397"/>
      <c r="QU10" s="397"/>
      <c r="QV10" s="397"/>
      <c r="QW10" s="397"/>
      <c r="QX10" s="397"/>
      <c r="QY10" s="397"/>
      <c r="QZ10" s="397"/>
      <c r="RA10" s="397"/>
      <c r="RB10" s="397"/>
      <c r="RC10" s="397"/>
      <c r="RD10" s="397"/>
      <c r="RE10" s="397"/>
      <c r="RF10" s="397"/>
      <c r="RG10" s="397"/>
      <c r="RH10" s="397"/>
      <c r="RI10" s="397"/>
      <c r="RJ10" s="397"/>
      <c r="RK10" s="397"/>
      <c r="RL10" s="397"/>
      <c r="RM10" s="397"/>
      <c r="RN10" s="397"/>
      <c r="RO10" s="397"/>
      <c r="RP10" s="397"/>
      <c r="RQ10" s="397"/>
      <c r="RR10" s="397"/>
      <c r="RS10" s="397"/>
      <c r="RT10" s="397"/>
      <c r="RU10" s="397"/>
      <c r="RV10" s="397"/>
      <c r="RW10" s="397"/>
      <c r="RX10" s="397"/>
      <c r="RY10" s="397"/>
      <c r="RZ10" s="397"/>
      <c r="SA10" s="397"/>
      <c r="SB10" s="397"/>
      <c r="SC10" s="397"/>
      <c r="SD10" s="397"/>
      <c r="SE10" s="397"/>
      <c r="SF10" s="397"/>
      <c r="SG10" s="397"/>
      <c r="SH10" s="397"/>
      <c r="SI10" s="397"/>
      <c r="SJ10" s="397"/>
      <c r="SK10" s="397"/>
      <c r="SL10" s="397"/>
      <c r="SM10" s="397"/>
      <c r="SN10" s="397"/>
      <c r="SO10" s="397"/>
      <c r="SP10" s="397"/>
      <c r="SQ10" s="397"/>
      <c r="SR10" s="397"/>
      <c r="SS10" s="397"/>
      <c r="ST10" s="397"/>
      <c r="SU10" s="397"/>
      <c r="SV10" s="397"/>
      <c r="SW10" s="397"/>
      <c r="SX10" s="397"/>
      <c r="SY10" s="397"/>
      <c r="SZ10" s="397"/>
      <c r="TA10" s="397"/>
      <c r="TB10" s="397"/>
      <c r="TC10" s="397"/>
      <c r="TD10" s="397"/>
      <c r="TE10" s="397"/>
      <c r="TF10" s="397"/>
      <c r="TG10" s="397"/>
      <c r="TH10" s="397"/>
      <c r="TI10" s="397"/>
      <c r="TJ10" s="397"/>
      <c r="TK10" s="397"/>
      <c r="TL10" s="397"/>
      <c r="TM10" s="397"/>
      <c r="TN10" s="397"/>
      <c r="TO10" s="397"/>
      <c r="TP10" s="397"/>
      <c r="TQ10" s="397"/>
      <c r="TR10" s="397"/>
      <c r="TS10" s="397"/>
      <c r="TT10" s="397"/>
      <c r="TU10" s="397"/>
      <c r="TV10" s="397"/>
      <c r="TW10" s="397"/>
      <c r="TX10" s="397"/>
      <c r="TY10" s="397"/>
      <c r="TZ10" s="397"/>
      <c r="UA10" s="397"/>
      <c r="UB10" s="397"/>
      <c r="UC10" s="397"/>
      <c r="UD10" s="397"/>
      <c r="UE10" s="397"/>
      <c r="UF10" s="397"/>
      <c r="UG10" s="397"/>
      <c r="UH10" s="397"/>
      <c r="UI10" s="397"/>
      <c r="UJ10" s="397"/>
      <c r="UK10" s="397"/>
      <c r="UL10" s="397"/>
      <c r="UM10" s="397"/>
      <c r="UN10" s="397"/>
      <c r="UO10" s="397"/>
      <c r="UP10" s="397"/>
      <c r="UQ10" s="397"/>
      <c r="UR10" s="397"/>
      <c r="US10" s="397"/>
      <c r="UT10" s="397"/>
      <c r="UU10" s="397"/>
      <c r="UV10" s="397"/>
      <c r="UW10" s="397"/>
      <c r="UX10" s="397"/>
      <c r="UY10" s="397"/>
      <c r="UZ10" s="397"/>
      <c r="VA10" s="397"/>
      <c r="VB10" s="397"/>
      <c r="VC10" s="397"/>
      <c r="VD10" s="397"/>
      <c r="VE10" s="397"/>
      <c r="VF10" s="397"/>
      <c r="VG10" s="397"/>
      <c r="VH10" s="397"/>
      <c r="VI10" s="397"/>
      <c r="VJ10" s="397"/>
      <c r="VK10" s="397"/>
      <c r="VL10" s="397"/>
      <c r="VM10" s="397"/>
      <c r="VN10" s="397"/>
      <c r="VO10" s="397"/>
      <c r="VP10" s="397"/>
      <c r="VQ10" s="397"/>
      <c r="VR10" s="397"/>
      <c r="VS10" s="397"/>
      <c r="VT10" s="397"/>
      <c r="VU10" s="397"/>
      <c r="VV10" s="397"/>
      <c r="VW10" s="397"/>
      <c r="VX10" s="397"/>
      <c r="VY10" s="397"/>
      <c r="VZ10" s="397"/>
      <c r="WA10" s="397"/>
      <c r="WB10" s="397"/>
      <c r="WC10" s="397"/>
      <c r="WD10" s="397"/>
      <c r="WE10" s="397"/>
      <c r="WF10" s="397"/>
      <c r="WG10" s="397"/>
      <c r="WH10" s="397"/>
      <c r="WI10" s="397"/>
      <c r="WJ10" s="397"/>
      <c r="WK10" s="397"/>
      <c r="WL10" s="397"/>
      <c r="WM10" s="397"/>
      <c r="WN10" s="397"/>
      <c r="WO10" s="397"/>
      <c r="WP10" s="397"/>
      <c r="WQ10" s="397"/>
      <c r="WR10" s="397"/>
      <c r="WS10" s="397"/>
      <c r="WT10" s="397"/>
      <c r="WU10" s="397"/>
      <c r="WV10" s="397"/>
      <c r="WW10" s="397"/>
      <c r="WX10" s="397"/>
      <c r="WY10" s="397"/>
      <c r="WZ10" s="397"/>
      <c r="XA10" s="397"/>
      <c r="XB10" s="397"/>
      <c r="XC10" s="397"/>
      <c r="XD10" s="397"/>
      <c r="XE10" s="397"/>
      <c r="XF10" s="397"/>
      <c r="XG10" s="397"/>
      <c r="XH10" s="397"/>
      <c r="XI10" s="397"/>
      <c r="XJ10" s="397"/>
      <c r="XK10" s="397"/>
      <c r="XL10" s="397"/>
      <c r="XM10" s="397"/>
      <c r="XN10" s="397"/>
      <c r="XO10" s="397"/>
      <c r="XP10" s="397"/>
      <c r="XQ10" s="397"/>
      <c r="XR10" s="397"/>
      <c r="XS10" s="397"/>
      <c r="XT10" s="397"/>
      <c r="XU10" s="397"/>
      <c r="XV10" s="397"/>
      <c r="XW10" s="397"/>
      <c r="XX10" s="397"/>
      <c r="XY10" s="397"/>
      <c r="XZ10" s="397"/>
      <c r="YA10" s="397"/>
      <c r="YB10" s="397"/>
      <c r="YC10" s="397"/>
      <c r="YD10" s="397"/>
      <c r="YE10" s="397"/>
      <c r="YF10" s="397"/>
      <c r="YG10" s="397"/>
      <c r="YH10" s="397"/>
      <c r="YI10" s="397"/>
      <c r="YJ10" s="397"/>
      <c r="YK10" s="397"/>
      <c r="YL10" s="397"/>
      <c r="YM10" s="397"/>
      <c r="YN10" s="397"/>
      <c r="YO10" s="397"/>
      <c r="YP10" s="397"/>
      <c r="YQ10" s="397"/>
      <c r="YR10" s="397"/>
      <c r="YS10" s="397"/>
      <c r="YT10" s="397"/>
      <c r="YU10" s="397"/>
      <c r="YV10" s="397"/>
      <c r="YW10" s="397"/>
      <c r="YX10" s="397"/>
      <c r="YY10" s="397"/>
      <c r="YZ10" s="397"/>
      <c r="ZA10" s="397"/>
      <c r="ZB10" s="397"/>
      <c r="ZC10" s="397"/>
      <c r="ZD10" s="397"/>
      <c r="ZE10" s="397"/>
      <c r="ZF10" s="397"/>
      <c r="ZG10" s="397"/>
      <c r="ZH10" s="397"/>
      <c r="ZI10" s="397"/>
      <c r="ZJ10" s="397"/>
      <c r="ZK10" s="397"/>
      <c r="ZL10" s="397"/>
      <c r="ZM10" s="397"/>
      <c r="ZN10" s="397"/>
      <c r="ZO10" s="397"/>
      <c r="ZP10" s="397"/>
      <c r="ZQ10" s="397"/>
      <c r="ZR10" s="397"/>
      <c r="ZS10" s="397"/>
      <c r="ZT10" s="397"/>
      <c r="ZU10" s="397"/>
      <c r="ZV10" s="397"/>
      <c r="ZW10" s="397"/>
      <c r="ZX10" s="397"/>
      <c r="ZY10" s="397"/>
      <c r="ZZ10" s="397"/>
      <c r="AAA10" s="397"/>
      <c r="AAB10" s="397"/>
      <c r="AAC10" s="397"/>
      <c r="AAD10" s="397"/>
      <c r="AAE10" s="397"/>
      <c r="AAF10" s="397"/>
      <c r="AAG10" s="397"/>
      <c r="AAH10" s="397"/>
      <c r="AAI10" s="397"/>
      <c r="AAJ10" s="397"/>
      <c r="AAK10" s="397"/>
      <c r="AAL10" s="397"/>
      <c r="AAM10" s="397"/>
      <c r="AAN10" s="397"/>
      <c r="AAO10" s="397"/>
      <c r="AAP10" s="397"/>
      <c r="AAQ10" s="397"/>
      <c r="AAR10" s="397"/>
      <c r="AAS10" s="397"/>
      <c r="AAT10" s="397"/>
      <c r="AAU10" s="397"/>
      <c r="AAV10" s="397"/>
      <c r="AAW10" s="397"/>
      <c r="AAX10" s="397"/>
      <c r="AAY10" s="397"/>
      <c r="AAZ10" s="397"/>
      <c r="ABA10" s="397"/>
      <c r="ABB10" s="397"/>
      <c r="ABC10" s="397"/>
      <c r="ABD10" s="397"/>
      <c r="ABE10" s="397"/>
      <c r="ABF10" s="397"/>
      <c r="ABG10" s="397"/>
      <c r="ABH10" s="397"/>
      <c r="ABI10" s="397"/>
      <c r="ABJ10" s="397"/>
      <c r="ABK10" s="397"/>
      <c r="ABL10" s="397"/>
      <c r="ABM10" s="397"/>
      <c r="ABN10" s="397"/>
      <c r="ABO10" s="397"/>
      <c r="ABP10" s="397"/>
      <c r="ABQ10" s="397"/>
      <c r="ABR10" s="397"/>
      <c r="ABS10" s="397"/>
      <c r="ABT10" s="397"/>
      <c r="ABU10" s="397"/>
      <c r="ABV10" s="397"/>
      <c r="ABW10" s="397"/>
      <c r="ABX10" s="397"/>
      <c r="ABY10" s="397"/>
      <c r="ABZ10" s="397"/>
      <c r="ACA10" s="397"/>
      <c r="ACB10" s="397"/>
      <c r="ACC10" s="397"/>
      <c r="ACD10" s="397"/>
      <c r="ACE10" s="397"/>
      <c r="ACF10" s="397"/>
      <c r="ACG10" s="397"/>
      <c r="ACH10" s="397"/>
      <c r="ACI10" s="397"/>
      <c r="ACJ10" s="397"/>
      <c r="ACK10" s="397"/>
      <c r="ACL10" s="397"/>
      <c r="ACM10" s="397"/>
      <c r="ACN10" s="397"/>
      <c r="ACO10" s="397"/>
      <c r="ACP10" s="397"/>
      <c r="ACQ10" s="397"/>
      <c r="ACR10" s="397"/>
      <c r="ACS10" s="397"/>
      <c r="ACT10" s="397"/>
      <c r="ACU10" s="397"/>
      <c r="ACV10" s="397"/>
      <c r="ACW10" s="397"/>
      <c r="ACX10" s="397"/>
      <c r="ACY10" s="397"/>
      <c r="ACZ10" s="397"/>
      <c r="ADA10" s="397"/>
      <c r="ADB10" s="397"/>
      <c r="ADC10" s="397"/>
      <c r="ADD10" s="397"/>
      <c r="ADE10" s="397"/>
      <c r="ADF10" s="397"/>
      <c r="ADG10" s="397"/>
      <c r="ADH10" s="397"/>
      <c r="ADI10" s="397"/>
      <c r="ADJ10" s="397"/>
      <c r="ADK10" s="397"/>
      <c r="ADL10" s="397"/>
      <c r="ADM10" s="397"/>
      <c r="ADN10" s="397"/>
      <c r="ADO10" s="397"/>
      <c r="ADP10" s="397"/>
      <c r="ADQ10" s="397"/>
      <c r="ADR10" s="397"/>
      <c r="ADS10" s="397"/>
      <c r="ADT10" s="397"/>
      <c r="ADU10" s="397"/>
      <c r="ADV10" s="397"/>
      <c r="ADW10" s="397"/>
      <c r="ADX10" s="397"/>
      <c r="ADY10" s="397"/>
      <c r="ADZ10" s="397"/>
      <c r="AEA10" s="397"/>
      <c r="AEB10" s="397"/>
      <c r="AEC10" s="397"/>
      <c r="AED10" s="397"/>
      <c r="AEE10" s="397"/>
      <c r="AEF10" s="397"/>
      <c r="AEG10" s="397"/>
      <c r="AEH10" s="397"/>
      <c r="AEI10" s="397"/>
      <c r="AEJ10" s="397"/>
      <c r="AEK10" s="397"/>
      <c r="AEL10" s="397"/>
      <c r="AEM10" s="397"/>
      <c r="AEN10" s="397"/>
      <c r="AEO10" s="397"/>
      <c r="AEP10" s="397"/>
      <c r="AEQ10" s="397"/>
      <c r="AER10" s="397"/>
      <c r="AES10" s="397"/>
      <c r="AET10" s="397"/>
      <c r="AEU10" s="397"/>
      <c r="AEV10" s="397"/>
      <c r="AEW10" s="397"/>
      <c r="AEX10" s="397"/>
      <c r="AEY10" s="397"/>
      <c r="AEZ10" s="397"/>
      <c r="AFA10" s="397"/>
      <c r="AFB10" s="397"/>
      <c r="AFC10" s="397"/>
      <c r="AFD10" s="397"/>
      <c r="AFE10" s="397"/>
      <c r="AFF10" s="397"/>
      <c r="AFG10" s="397"/>
      <c r="AFH10" s="397"/>
      <c r="AFI10" s="397"/>
      <c r="AFJ10" s="397"/>
      <c r="AFK10" s="397"/>
      <c r="AFL10" s="397"/>
      <c r="AFM10" s="397"/>
      <c r="AFN10" s="397"/>
      <c r="AFO10" s="397"/>
      <c r="AFP10" s="397"/>
      <c r="AFQ10" s="397"/>
      <c r="AFR10" s="397"/>
      <c r="AFS10" s="397"/>
      <c r="AFT10" s="397"/>
      <c r="AFU10" s="397"/>
      <c r="AFV10" s="397"/>
      <c r="AFW10" s="397"/>
      <c r="AFX10" s="397"/>
      <c r="AFY10" s="397"/>
      <c r="AFZ10" s="397"/>
      <c r="AGA10" s="397"/>
      <c r="AGB10" s="397"/>
      <c r="AGC10" s="397"/>
      <c r="AGD10" s="397"/>
      <c r="AGE10" s="397"/>
      <c r="AGF10" s="397"/>
      <c r="AGG10" s="397"/>
      <c r="AGH10" s="397"/>
      <c r="AGI10" s="397"/>
      <c r="AGJ10" s="397"/>
      <c r="AGK10" s="397"/>
      <c r="AGL10" s="397"/>
      <c r="AGM10" s="397"/>
      <c r="AGN10" s="397"/>
      <c r="AGO10" s="397"/>
      <c r="AGP10" s="397"/>
      <c r="AGQ10" s="397"/>
      <c r="AGR10" s="397"/>
      <c r="AGS10" s="397"/>
      <c r="AGT10" s="397"/>
      <c r="AGU10" s="397"/>
      <c r="AGV10" s="397"/>
      <c r="AGW10" s="397"/>
      <c r="AGX10" s="397"/>
      <c r="AGY10" s="397"/>
      <c r="AGZ10" s="397"/>
      <c r="AHA10" s="397"/>
      <c r="AHB10" s="397"/>
      <c r="AHC10" s="397"/>
      <c r="AHD10" s="397"/>
      <c r="AHE10" s="397"/>
      <c r="AHF10" s="397"/>
      <c r="AHG10" s="397"/>
      <c r="AHH10" s="397"/>
      <c r="AHI10" s="397"/>
      <c r="AHJ10" s="397"/>
      <c r="AHK10" s="397"/>
      <c r="AHL10" s="397"/>
      <c r="AHM10" s="397"/>
      <c r="AHN10" s="397"/>
      <c r="AHO10" s="397"/>
      <c r="AHP10" s="397"/>
      <c r="AHQ10" s="397"/>
      <c r="AHR10" s="397"/>
      <c r="AHS10" s="397"/>
      <c r="AHT10" s="397"/>
      <c r="AHU10" s="397"/>
      <c r="AHV10" s="397"/>
      <c r="AHW10" s="397"/>
      <c r="AHX10" s="397"/>
      <c r="AHY10" s="397"/>
      <c r="AHZ10" s="397"/>
      <c r="AIA10" s="397"/>
      <c r="AIB10" s="397"/>
      <c r="AIC10" s="397"/>
      <c r="AID10" s="397"/>
      <c r="AIE10" s="397"/>
      <c r="AIF10" s="397"/>
      <c r="AIG10" s="397"/>
      <c r="AIH10" s="397"/>
      <c r="AII10" s="397"/>
      <c r="AIJ10" s="397"/>
      <c r="AIK10" s="397"/>
      <c r="AIL10" s="397"/>
      <c r="AIM10" s="397"/>
      <c r="AIN10" s="397"/>
      <c r="AIO10" s="397"/>
      <c r="AIP10" s="397"/>
      <c r="AIQ10" s="397"/>
      <c r="AIR10" s="397"/>
      <c r="AIS10" s="397"/>
      <c r="AIT10" s="397"/>
      <c r="AIU10" s="397"/>
      <c r="AIV10" s="397"/>
      <c r="AIW10" s="397"/>
      <c r="AIX10" s="397"/>
      <c r="AIY10" s="397"/>
      <c r="AIZ10" s="397"/>
      <c r="AJA10" s="397"/>
      <c r="AJB10" s="397"/>
      <c r="AJC10" s="397"/>
      <c r="AJD10" s="397"/>
      <c r="AJE10" s="397"/>
      <c r="AJF10" s="397"/>
      <c r="AJG10" s="397"/>
      <c r="AJH10" s="397"/>
      <c r="AJI10" s="397"/>
      <c r="AJJ10" s="397"/>
      <c r="AJK10" s="397"/>
      <c r="AJL10" s="397"/>
      <c r="AJM10" s="397"/>
      <c r="AJN10" s="397"/>
      <c r="AJO10" s="397"/>
      <c r="AJP10" s="397"/>
      <c r="AJQ10" s="397"/>
      <c r="AJR10" s="397"/>
      <c r="AJS10" s="397"/>
      <c r="AJT10" s="397"/>
      <c r="AJU10" s="397"/>
      <c r="AJV10" s="397"/>
      <c r="AJW10" s="397"/>
      <c r="AJX10" s="397"/>
      <c r="AJY10" s="397"/>
      <c r="AJZ10" s="397"/>
      <c r="AKA10" s="397"/>
      <c r="AKB10" s="397"/>
      <c r="AKC10" s="397"/>
      <c r="AKD10" s="397"/>
      <c r="AKE10" s="397"/>
      <c r="AKF10" s="397"/>
      <c r="AKG10" s="397"/>
      <c r="AKH10" s="397"/>
      <c r="AKI10" s="397"/>
      <c r="AKJ10" s="397"/>
      <c r="AKK10" s="397"/>
      <c r="AKL10" s="397"/>
      <c r="AKM10" s="397"/>
      <c r="AKN10" s="397"/>
      <c r="AKO10" s="397"/>
      <c r="AKP10" s="397"/>
      <c r="AKQ10" s="397"/>
      <c r="AKR10" s="397"/>
      <c r="AKS10" s="397"/>
      <c r="AKT10" s="397"/>
      <c r="AKU10" s="397"/>
      <c r="AKV10" s="397"/>
      <c r="AKW10" s="397"/>
      <c r="AKX10" s="397"/>
      <c r="AKY10" s="397"/>
      <c r="AKZ10" s="397"/>
      <c r="ALA10" s="397"/>
      <c r="ALB10" s="397"/>
      <c r="ALC10" s="397"/>
      <c r="ALD10" s="397"/>
      <c r="ALE10" s="397"/>
      <c r="ALF10" s="397"/>
      <c r="ALG10" s="397"/>
      <c r="ALH10" s="397"/>
      <c r="ALI10" s="397"/>
      <c r="ALJ10" s="397"/>
      <c r="ALK10" s="397"/>
      <c r="ALL10" s="397"/>
      <c r="ALM10" s="397"/>
      <c r="ALN10" s="397"/>
      <c r="ALO10" s="397"/>
      <c r="ALP10" s="397"/>
      <c r="ALQ10" s="397"/>
      <c r="ALR10" s="397"/>
      <c r="ALS10" s="397"/>
      <c r="ALT10" s="397"/>
      <c r="ALU10" s="397"/>
      <c r="ALV10" s="397"/>
      <c r="ALW10" s="397"/>
      <c r="ALX10" s="397"/>
      <c r="ALY10" s="397"/>
      <c r="ALZ10" s="397"/>
      <c r="AMA10" s="397"/>
      <c r="AMB10" s="397"/>
      <c r="AMC10" s="397"/>
      <c r="AMD10" s="397"/>
      <c r="AME10" s="397"/>
      <c r="AMF10" s="397"/>
      <c r="AMG10" s="397"/>
      <c r="AMH10" s="397"/>
      <c r="AMI10" s="397"/>
      <c r="AMJ10" s="397"/>
      <c r="AMK10" s="397"/>
      <c r="AML10" s="397"/>
      <c r="AMM10" s="397"/>
      <c r="AMN10" s="397"/>
      <c r="AMO10" s="397"/>
      <c r="AMP10" s="397"/>
      <c r="AMQ10" s="397"/>
      <c r="AMR10" s="397"/>
      <c r="AMS10" s="397"/>
      <c r="AMT10" s="397"/>
      <c r="AMU10" s="397"/>
      <c r="AMV10" s="397"/>
      <c r="AMW10" s="397"/>
      <c r="AMX10" s="397"/>
      <c r="AMY10" s="397"/>
      <c r="AMZ10" s="397"/>
      <c r="ANA10" s="397"/>
      <c r="ANB10" s="397"/>
      <c r="ANC10" s="397"/>
      <c r="AND10" s="397"/>
      <c r="ANE10" s="397"/>
      <c r="ANF10" s="397"/>
      <c r="ANG10" s="397"/>
      <c r="ANH10" s="397"/>
      <c r="ANI10" s="397"/>
      <c r="ANJ10" s="397"/>
      <c r="ANK10" s="397"/>
      <c r="ANL10" s="397"/>
      <c r="ANM10" s="397"/>
      <c r="ANN10" s="397"/>
      <c r="ANO10" s="397"/>
      <c r="ANP10" s="397"/>
      <c r="ANQ10" s="397"/>
      <c r="ANR10" s="397"/>
      <c r="ANS10" s="397"/>
      <c r="ANT10" s="397"/>
      <c r="ANU10" s="397"/>
      <c r="ANV10" s="397"/>
      <c r="ANW10" s="397"/>
      <c r="ANX10" s="397"/>
      <c r="ANY10" s="397"/>
      <c r="ANZ10" s="397"/>
      <c r="AOA10" s="397"/>
      <c r="AOB10" s="397"/>
      <c r="AOC10" s="397"/>
      <c r="AOD10" s="397"/>
      <c r="AOE10" s="397"/>
      <c r="AOF10" s="397"/>
      <c r="AOG10" s="397"/>
      <c r="AOH10" s="397"/>
      <c r="AOI10" s="397"/>
      <c r="AOJ10" s="397"/>
      <c r="AOK10" s="397"/>
      <c r="AOL10" s="397"/>
      <c r="AOM10" s="397"/>
      <c r="AON10" s="397"/>
      <c r="AOO10" s="397"/>
      <c r="AOP10" s="397"/>
      <c r="AOQ10" s="397"/>
      <c r="AOR10" s="397"/>
      <c r="AOS10" s="397"/>
      <c r="AOT10" s="397"/>
      <c r="AOU10" s="397"/>
      <c r="AOV10" s="397"/>
      <c r="AOW10" s="397"/>
      <c r="AOX10" s="397"/>
      <c r="AOY10" s="397"/>
      <c r="AOZ10" s="397"/>
      <c r="APA10" s="397"/>
      <c r="APB10" s="397"/>
      <c r="APC10" s="397"/>
      <c r="APD10" s="397"/>
      <c r="APE10" s="397"/>
      <c r="APF10" s="397"/>
      <c r="APG10" s="397"/>
      <c r="APH10" s="397"/>
      <c r="API10" s="397"/>
      <c r="APJ10" s="397"/>
      <c r="APK10" s="397"/>
      <c r="APL10" s="397"/>
      <c r="APM10" s="397"/>
      <c r="APN10" s="397"/>
      <c r="APO10" s="397"/>
      <c r="APP10" s="397"/>
      <c r="APQ10" s="397"/>
      <c r="APR10" s="397"/>
      <c r="APS10" s="397"/>
      <c r="APT10" s="397"/>
      <c r="APU10" s="397"/>
      <c r="APV10" s="397"/>
      <c r="APW10" s="397"/>
      <c r="APX10" s="397"/>
      <c r="APY10" s="397"/>
      <c r="APZ10" s="397"/>
      <c r="AQA10" s="397"/>
      <c r="AQB10" s="397"/>
      <c r="AQC10" s="397"/>
      <c r="AQD10" s="397"/>
      <c r="AQE10" s="397"/>
      <c r="AQF10" s="397"/>
      <c r="AQG10" s="397"/>
      <c r="AQH10" s="397"/>
      <c r="AQI10" s="397"/>
      <c r="AQJ10" s="397"/>
      <c r="AQK10" s="397"/>
      <c r="AQL10" s="397"/>
      <c r="AQM10" s="397"/>
      <c r="AQN10" s="397"/>
      <c r="AQO10" s="397"/>
      <c r="AQP10" s="397"/>
      <c r="AQQ10" s="397"/>
      <c r="AQR10" s="397"/>
      <c r="AQS10" s="397"/>
      <c r="AQT10" s="397"/>
      <c r="AQU10" s="397"/>
      <c r="AQV10" s="397"/>
      <c r="AQW10" s="397"/>
      <c r="AQX10" s="397"/>
      <c r="AQY10" s="397"/>
      <c r="AQZ10" s="397"/>
      <c r="ARA10" s="397"/>
      <c r="ARB10" s="397"/>
      <c r="ARC10" s="397"/>
      <c r="ARD10" s="397"/>
      <c r="ARE10" s="397"/>
      <c r="ARF10" s="397"/>
      <c r="ARG10" s="397"/>
      <c r="ARH10" s="397"/>
      <c r="ARI10" s="397"/>
      <c r="ARJ10" s="397"/>
      <c r="ARK10" s="397"/>
      <c r="ARL10" s="397"/>
      <c r="ARM10" s="397"/>
      <c r="ARN10" s="397"/>
      <c r="ARO10" s="397"/>
      <c r="ARP10" s="397"/>
      <c r="ARQ10" s="397"/>
      <c r="ARR10" s="397"/>
      <c r="ARS10" s="397"/>
      <c r="ART10" s="397"/>
      <c r="ARU10" s="397"/>
      <c r="ARV10" s="397"/>
      <c r="ARW10" s="397"/>
      <c r="ARX10" s="397"/>
      <c r="ARY10" s="397"/>
      <c r="ARZ10" s="397"/>
      <c r="ASA10" s="397"/>
      <c r="ASB10" s="397"/>
      <c r="ASC10" s="397"/>
      <c r="ASD10" s="397"/>
      <c r="ASE10" s="397"/>
      <c r="ASF10" s="397"/>
      <c r="ASG10" s="397"/>
      <c r="ASH10" s="397"/>
      <c r="ASI10" s="397"/>
      <c r="ASJ10" s="397"/>
      <c r="ASK10" s="397"/>
      <c r="ASL10" s="397"/>
      <c r="ASM10" s="397"/>
      <c r="ASN10" s="397"/>
      <c r="ASO10" s="397"/>
      <c r="ASP10" s="397"/>
      <c r="ASQ10" s="397"/>
      <c r="ASR10" s="397"/>
      <c r="ASS10" s="397"/>
      <c r="AST10" s="397"/>
      <c r="ASU10" s="397"/>
      <c r="ASV10" s="397"/>
      <c r="ASW10" s="397"/>
      <c r="ASX10" s="397"/>
      <c r="ASY10" s="397"/>
      <c r="ASZ10" s="397"/>
      <c r="ATA10" s="397"/>
      <c r="ATB10" s="397"/>
      <c r="ATC10" s="397"/>
      <c r="ATD10" s="397"/>
      <c r="ATE10" s="397"/>
      <c r="ATF10" s="397"/>
      <c r="ATG10" s="397"/>
      <c r="ATH10" s="397"/>
      <c r="ATI10" s="397"/>
      <c r="ATJ10" s="397"/>
      <c r="ATK10" s="397"/>
      <c r="ATL10" s="397"/>
      <c r="ATM10" s="397"/>
      <c r="ATN10" s="397"/>
      <c r="ATO10" s="397"/>
      <c r="ATP10" s="397"/>
      <c r="ATQ10" s="397"/>
      <c r="ATR10" s="397"/>
      <c r="ATS10" s="397"/>
      <c r="ATT10" s="397"/>
      <c r="ATU10" s="397"/>
      <c r="ATV10" s="397"/>
      <c r="ATW10" s="397"/>
      <c r="ATX10" s="397"/>
      <c r="ATY10" s="397"/>
      <c r="ATZ10" s="397"/>
      <c r="AUA10" s="397"/>
      <c r="AUB10" s="397"/>
      <c r="AUC10" s="397"/>
      <c r="AUD10" s="397"/>
      <c r="AUE10" s="397"/>
      <c r="AUF10" s="397"/>
      <c r="AUG10" s="397"/>
      <c r="AUH10" s="397"/>
      <c r="AUI10" s="397"/>
      <c r="AUJ10" s="397"/>
      <c r="AUK10" s="397"/>
      <c r="AUL10" s="397"/>
      <c r="AUM10" s="397"/>
      <c r="AUN10" s="397"/>
      <c r="AUO10" s="397"/>
      <c r="AUP10" s="397"/>
      <c r="AUQ10" s="397"/>
      <c r="AUR10" s="397"/>
      <c r="AUS10" s="397"/>
      <c r="AUT10" s="397"/>
      <c r="AUU10" s="397"/>
      <c r="AUV10" s="397"/>
      <c r="AUW10" s="397"/>
      <c r="AUX10" s="397"/>
      <c r="AUY10" s="397"/>
      <c r="AUZ10" s="397"/>
      <c r="AVA10" s="397"/>
      <c r="AVB10" s="397"/>
      <c r="AVC10" s="397"/>
      <c r="AVD10" s="397"/>
      <c r="AVE10" s="397"/>
      <c r="AVF10" s="397"/>
      <c r="AVG10" s="397"/>
      <c r="AVH10" s="397"/>
      <c r="AVI10" s="397"/>
      <c r="AVJ10" s="397"/>
      <c r="AVK10" s="397"/>
      <c r="AVL10" s="397"/>
      <c r="AVM10" s="397"/>
      <c r="AVN10" s="397"/>
      <c r="AVO10" s="397"/>
      <c r="AVP10" s="397"/>
      <c r="AVQ10" s="397"/>
      <c r="AVR10" s="397"/>
      <c r="AVS10" s="397"/>
      <c r="AVT10" s="397"/>
      <c r="AVU10" s="397"/>
      <c r="AVV10" s="397"/>
      <c r="AVW10" s="397"/>
      <c r="AVX10" s="397"/>
      <c r="AVY10" s="397"/>
      <c r="AVZ10" s="397"/>
      <c r="AWA10" s="397"/>
      <c r="AWB10" s="397"/>
      <c r="AWC10" s="397"/>
      <c r="AWD10" s="397"/>
      <c r="AWE10" s="397"/>
      <c r="AWF10" s="397"/>
      <c r="AWG10" s="397"/>
      <c r="AWH10" s="397"/>
      <c r="AWI10" s="397"/>
      <c r="AWJ10" s="397"/>
      <c r="AWK10" s="397"/>
      <c r="AWL10" s="397"/>
      <c r="AWM10" s="397"/>
      <c r="AWN10" s="397"/>
      <c r="AWO10" s="397"/>
      <c r="AWP10" s="397"/>
      <c r="AWQ10" s="397"/>
      <c r="AWR10" s="397"/>
      <c r="AWS10" s="397"/>
      <c r="AWT10" s="397"/>
      <c r="AWU10" s="397"/>
      <c r="AWV10" s="397"/>
      <c r="AWW10" s="397"/>
      <c r="AWX10" s="397"/>
      <c r="AWY10" s="397"/>
      <c r="AWZ10" s="397"/>
      <c r="AXA10" s="397"/>
      <c r="AXB10" s="397"/>
      <c r="AXC10" s="397"/>
      <c r="AXD10" s="397"/>
      <c r="AXE10" s="397"/>
      <c r="AXF10" s="397"/>
      <c r="AXG10" s="397"/>
      <c r="AXH10" s="397"/>
      <c r="AXI10" s="397"/>
      <c r="AXJ10" s="397"/>
      <c r="AXK10" s="397"/>
      <c r="AXL10" s="397"/>
      <c r="AXM10" s="397"/>
      <c r="AXN10" s="397"/>
      <c r="AXO10" s="397"/>
      <c r="AXP10" s="397"/>
      <c r="AXQ10" s="397"/>
      <c r="AXR10" s="397"/>
      <c r="AXS10" s="397"/>
      <c r="AXT10" s="397"/>
      <c r="AXU10" s="397"/>
      <c r="AXV10" s="397"/>
      <c r="AXW10" s="397"/>
      <c r="AXX10" s="397"/>
      <c r="AXY10" s="397"/>
      <c r="AXZ10" s="397"/>
      <c r="AYA10" s="397"/>
      <c r="AYB10" s="397"/>
      <c r="AYC10" s="397"/>
      <c r="AYD10" s="397"/>
      <c r="AYE10" s="397"/>
      <c r="AYF10" s="397"/>
      <c r="AYG10" s="397"/>
      <c r="AYH10" s="397"/>
      <c r="AYI10" s="397"/>
      <c r="AYJ10" s="397"/>
      <c r="AYK10" s="397"/>
      <c r="AYL10" s="397"/>
      <c r="AYM10" s="397"/>
      <c r="AYN10" s="397"/>
      <c r="AYO10" s="397"/>
      <c r="AYP10" s="397"/>
      <c r="AYQ10" s="397"/>
      <c r="AYR10" s="397"/>
      <c r="AYS10" s="397"/>
      <c r="AYT10" s="397"/>
      <c r="AYU10" s="397"/>
      <c r="AYV10" s="397"/>
      <c r="AYW10" s="397"/>
      <c r="AYX10" s="397"/>
      <c r="AYY10" s="397"/>
      <c r="AYZ10" s="397"/>
      <c r="AZA10" s="397"/>
      <c r="AZB10" s="397"/>
      <c r="AZC10" s="397"/>
      <c r="AZD10" s="397"/>
      <c r="AZE10" s="397"/>
      <c r="AZF10" s="397"/>
      <c r="AZG10" s="397"/>
      <c r="AZH10" s="397"/>
      <c r="AZI10" s="397"/>
      <c r="AZJ10" s="397"/>
      <c r="AZK10" s="397"/>
      <c r="AZL10" s="397"/>
      <c r="AZM10" s="397"/>
      <c r="AZN10" s="397"/>
      <c r="AZO10" s="397"/>
      <c r="AZP10" s="397"/>
      <c r="AZQ10" s="397"/>
      <c r="AZR10" s="397"/>
      <c r="AZS10" s="397"/>
      <c r="AZT10" s="397"/>
      <c r="AZU10" s="397"/>
      <c r="AZV10" s="397"/>
      <c r="AZW10" s="397"/>
      <c r="AZX10" s="397"/>
      <c r="AZY10" s="397"/>
      <c r="AZZ10" s="397"/>
      <c r="BAA10" s="397"/>
      <c r="BAB10" s="397"/>
      <c r="BAC10" s="397"/>
      <c r="BAD10" s="397"/>
      <c r="BAE10" s="397"/>
      <c r="BAF10" s="397"/>
      <c r="BAG10" s="397"/>
      <c r="BAH10" s="397"/>
      <c r="BAI10" s="397"/>
      <c r="BAJ10" s="397"/>
      <c r="BAK10" s="397"/>
      <c r="BAL10" s="397"/>
      <c r="BAM10" s="397"/>
      <c r="BAN10" s="397"/>
      <c r="BAO10" s="397"/>
      <c r="BAP10" s="397"/>
      <c r="BAQ10" s="397"/>
      <c r="BAR10" s="397"/>
      <c r="BAS10" s="397"/>
      <c r="BAT10" s="397"/>
      <c r="BAU10" s="397"/>
      <c r="BAV10" s="397"/>
      <c r="BAW10" s="397"/>
      <c r="BAX10" s="397"/>
      <c r="BAY10" s="397"/>
      <c r="BAZ10" s="397"/>
      <c r="BBA10" s="397"/>
      <c r="BBB10" s="397"/>
      <c r="BBC10" s="397"/>
      <c r="BBD10" s="397"/>
      <c r="BBE10" s="397"/>
      <c r="BBF10" s="397"/>
      <c r="BBG10" s="397"/>
      <c r="BBH10" s="397"/>
      <c r="BBI10" s="397"/>
      <c r="BBJ10" s="397"/>
      <c r="BBK10" s="397"/>
      <c r="BBL10" s="397"/>
      <c r="BBM10" s="397"/>
      <c r="BBN10" s="397"/>
      <c r="BBO10" s="397"/>
      <c r="BBP10" s="397"/>
      <c r="BBQ10" s="397"/>
      <c r="BBR10" s="397"/>
      <c r="BBS10" s="397"/>
      <c r="BBT10" s="397"/>
      <c r="BBU10" s="397"/>
      <c r="BBV10" s="397"/>
      <c r="BBW10" s="397"/>
      <c r="BBX10" s="397"/>
      <c r="BBY10" s="397"/>
      <c r="BBZ10" s="397"/>
      <c r="BCA10" s="397"/>
      <c r="BCB10" s="397"/>
      <c r="BCC10" s="397"/>
      <c r="BCD10" s="397"/>
      <c r="BCE10" s="397"/>
      <c r="BCF10" s="397"/>
      <c r="BCG10" s="397"/>
      <c r="BCH10" s="397"/>
      <c r="BCI10" s="397"/>
      <c r="BCJ10" s="397"/>
      <c r="BCK10" s="397"/>
      <c r="BCL10" s="397"/>
      <c r="BCM10" s="397"/>
      <c r="BCN10" s="397"/>
      <c r="BCO10" s="397"/>
      <c r="BCP10" s="397"/>
      <c r="BCQ10" s="397"/>
      <c r="BCR10" s="397"/>
      <c r="BCS10" s="397"/>
      <c r="BCT10" s="397"/>
      <c r="BCU10" s="397"/>
      <c r="BCV10" s="397"/>
      <c r="BCW10" s="397"/>
      <c r="BCX10" s="397"/>
      <c r="BCY10" s="397"/>
      <c r="BCZ10" s="397"/>
      <c r="BDA10" s="397"/>
      <c r="BDB10" s="397"/>
      <c r="BDC10" s="397"/>
      <c r="BDD10" s="397"/>
      <c r="BDE10" s="397"/>
      <c r="BDF10" s="397"/>
      <c r="BDG10" s="397"/>
      <c r="BDH10" s="397"/>
      <c r="BDI10" s="397"/>
      <c r="BDJ10" s="397"/>
      <c r="BDK10" s="397"/>
      <c r="BDL10" s="397"/>
      <c r="BDM10" s="397"/>
      <c r="BDN10" s="397"/>
      <c r="BDO10" s="397"/>
      <c r="BDP10" s="397"/>
      <c r="BDQ10" s="397"/>
      <c r="BDR10" s="397"/>
      <c r="BDS10" s="397"/>
      <c r="BDT10" s="397"/>
      <c r="BDU10" s="397"/>
      <c r="BDV10" s="397"/>
      <c r="BDW10" s="397"/>
      <c r="BDX10" s="397"/>
      <c r="BDY10" s="397"/>
      <c r="BDZ10" s="397"/>
      <c r="BEA10" s="397"/>
      <c r="BEB10" s="397"/>
      <c r="BEC10" s="397"/>
      <c r="BED10" s="397"/>
      <c r="BEE10" s="397"/>
      <c r="BEF10" s="397"/>
      <c r="BEG10" s="397"/>
      <c r="BEH10" s="397"/>
      <c r="BEI10" s="397"/>
      <c r="BEJ10" s="397"/>
      <c r="BEK10" s="397"/>
      <c r="BEL10" s="397"/>
      <c r="BEM10" s="397"/>
      <c r="BEN10" s="397"/>
      <c r="BEO10" s="397"/>
      <c r="BEP10" s="397"/>
      <c r="BEQ10" s="397"/>
      <c r="BER10" s="397"/>
      <c r="BES10" s="397"/>
      <c r="BET10" s="397"/>
      <c r="BEU10" s="397"/>
      <c r="BEV10" s="397"/>
      <c r="BEW10" s="397"/>
      <c r="BEX10" s="397"/>
      <c r="BEY10" s="397"/>
      <c r="BEZ10" s="397"/>
      <c r="BFA10" s="397"/>
      <c r="BFB10" s="397"/>
      <c r="BFC10" s="397"/>
      <c r="BFD10" s="397"/>
      <c r="BFE10" s="397"/>
      <c r="BFF10" s="397"/>
      <c r="BFG10" s="397"/>
      <c r="BFH10" s="397"/>
      <c r="BFI10" s="397"/>
      <c r="BFJ10" s="397"/>
      <c r="BFK10" s="397"/>
      <c r="BFL10" s="397"/>
      <c r="BFM10" s="397"/>
      <c r="BFN10" s="397"/>
      <c r="BFO10" s="397"/>
      <c r="BFP10" s="397"/>
      <c r="BFQ10" s="397"/>
      <c r="BFR10" s="397"/>
      <c r="BFS10" s="397"/>
      <c r="BFT10" s="397"/>
      <c r="BFU10" s="397"/>
      <c r="BFV10" s="397"/>
      <c r="BFW10" s="397"/>
      <c r="BFX10" s="397"/>
      <c r="BFY10" s="397"/>
      <c r="BFZ10" s="397"/>
      <c r="BGA10" s="397"/>
      <c r="BGB10" s="397"/>
      <c r="BGC10" s="397"/>
      <c r="BGD10" s="397"/>
      <c r="BGE10" s="397"/>
      <c r="BGF10" s="397"/>
      <c r="BGG10" s="397"/>
      <c r="BGH10" s="397"/>
      <c r="BGI10" s="397"/>
      <c r="BGJ10" s="397"/>
      <c r="BGK10" s="397"/>
      <c r="BGL10" s="397"/>
      <c r="BGM10" s="397"/>
      <c r="BGN10" s="397"/>
      <c r="BGO10" s="397"/>
      <c r="BGP10" s="397"/>
      <c r="BGQ10" s="397"/>
      <c r="BGR10" s="397"/>
      <c r="BGS10" s="397"/>
      <c r="BGT10" s="397"/>
      <c r="BGU10" s="397"/>
      <c r="BGV10" s="397"/>
      <c r="BGW10" s="397"/>
      <c r="BGX10" s="397"/>
      <c r="BGY10" s="397"/>
      <c r="BGZ10" s="397"/>
      <c r="BHA10" s="397"/>
      <c r="BHB10" s="397"/>
      <c r="BHC10" s="397"/>
      <c r="BHD10" s="397"/>
      <c r="BHE10" s="397"/>
      <c r="BHF10" s="397"/>
      <c r="BHG10" s="397"/>
      <c r="BHH10" s="397"/>
      <c r="BHI10" s="397"/>
      <c r="BHJ10" s="397"/>
      <c r="BHK10" s="397"/>
      <c r="BHL10" s="397"/>
      <c r="BHM10" s="397"/>
      <c r="BHN10" s="397"/>
      <c r="BHO10" s="397"/>
      <c r="BHP10" s="397"/>
      <c r="BHQ10" s="397"/>
      <c r="BHR10" s="397"/>
      <c r="BHS10" s="397"/>
      <c r="BHT10" s="397"/>
      <c r="BHU10" s="397"/>
      <c r="BHV10" s="397"/>
      <c r="BHW10" s="397"/>
      <c r="BHX10" s="397"/>
      <c r="BHY10" s="397"/>
      <c r="BHZ10" s="397"/>
      <c r="BIA10" s="397"/>
      <c r="BIB10" s="397"/>
      <c r="BIC10" s="397"/>
      <c r="BID10" s="397"/>
      <c r="BIE10" s="397"/>
      <c r="BIF10" s="397"/>
      <c r="BIG10" s="397"/>
      <c r="BIH10" s="397"/>
      <c r="BII10" s="397"/>
      <c r="BIJ10" s="397"/>
      <c r="BIK10" s="397"/>
      <c r="BIL10" s="397"/>
      <c r="BIM10" s="397"/>
      <c r="BIN10" s="397"/>
      <c r="BIO10" s="397"/>
      <c r="BIP10" s="397"/>
      <c r="BIQ10" s="397"/>
      <c r="BIR10" s="397"/>
      <c r="BIS10" s="397"/>
      <c r="BIT10" s="397"/>
      <c r="BIU10" s="397"/>
      <c r="BIV10" s="397"/>
      <c r="BIW10" s="397"/>
      <c r="BIX10" s="397"/>
      <c r="BIY10" s="397"/>
      <c r="BIZ10" s="397"/>
      <c r="BJA10" s="397"/>
      <c r="BJB10" s="397"/>
      <c r="BJC10" s="397"/>
      <c r="BJD10" s="397"/>
      <c r="BJE10" s="397"/>
      <c r="BJF10" s="397"/>
      <c r="BJG10" s="397"/>
      <c r="BJH10" s="397"/>
      <c r="BJI10" s="397"/>
      <c r="BJJ10" s="397"/>
      <c r="BJK10" s="397"/>
      <c r="BJL10" s="397"/>
      <c r="BJM10" s="397"/>
      <c r="BJN10" s="397"/>
      <c r="BJO10" s="397"/>
      <c r="BJP10" s="397"/>
      <c r="BJQ10" s="397"/>
      <c r="BJR10" s="397"/>
      <c r="BJS10" s="397"/>
      <c r="BJT10" s="397"/>
      <c r="BJU10" s="397"/>
      <c r="BJV10" s="397"/>
      <c r="BJW10" s="397"/>
      <c r="BJX10" s="397"/>
      <c r="BJY10" s="397"/>
      <c r="BJZ10" s="397"/>
      <c r="BKA10" s="397"/>
      <c r="BKB10" s="397"/>
      <c r="BKC10" s="397"/>
      <c r="BKD10" s="397"/>
      <c r="BKE10" s="397"/>
      <c r="BKF10" s="397"/>
      <c r="BKG10" s="397"/>
      <c r="BKH10" s="397"/>
      <c r="BKI10" s="397"/>
      <c r="BKJ10" s="397"/>
      <c r="BKK10" s="397"/>
      <c r="BKL10" s="397"/>
      <c r="BKM10" s="397"/>
      <c r="BKN10" s="397"/>
      <c r="BKO10" s="397"/>
      <c r="BKP10" s="397"/>
      <c r="BKQ10" s="397"/>
      <c r="BKR10" s="397"/>
      <c r="BKS10" s="397"/>
      <c r="BKT10" s="397"/>
      <c r="BKU10" s="397"/>
      <c r="BKV10" s="397"/>
      <c r="BKW10" s="397"/>
      <c r="BKX10" s="397"/>
      <c r="BKY10" s="397"/>
      <c r="BKZ10" s="397"/>
      <c r="BLA10" s="397"/>
      <c r="BLB10" s="397"/>
      <c r="BLC10" s="397"/>
      <c r="BLD10" s="397"/>
      <c r="BLE10" s="397"/>
      <c r="BLF10" s="397"/>
      <c r="BLG10" s="397"/>
      <c r="BLH10" s="397"/>
      <c r="BLI10" s="397"/>
      <c r="BLJ10" s="397"/>
      <c r="BLK10" s="397"/>
      <c r="BLL10" s="397"/>
      <c r="BLM10" s="397"/>
      <c r="BLN10" s="397"/>
      <c r="BLO10" s="397"/>
      <c r="BLP10" s="397"/>
      <c r="BLQ10" s="397"/>
      <c r="BLR10" s="397"/>
      <c r="BLS10" s="397"/>
      <c r="BLT10" s="397"/>
      <c r="BLU10" s="397"/>
      <c r="BLV10" s="397"/>
      <c r="BLW10" s="397"/>
      <c r="BLX10" s="397"/>
      <c r="BLY10" s="397"/>
      <c r="BLZ10" s="397"/>
      <c r="BMA10" s="397"/>
      <c r="BMB10" s="397"/>
      <c r="BMC10" s="397"/>
      <c r="BMD10" s="397"/>
      <c r="BME10" s="397"/>
      <c r="BMF10" s="397"/>
      <c r="BMG10" s="397"/>
      <c r="BMH10" s="397"/>
      <c r="BMI10" s="397"/>
      <c r="BMJ10" s="397"/>
      <c r="BMK10" s="397"/>
      <c r="BML10" s="397"/>
      <c r="BMM10" s="397"/>
      <c r="BMN10" s="397"/>
      <c r="BMO10" s="397"/>
      <c r="BMP10" s="397"/>
      <c r="BMQ10" s="397"/>
      <c r="BMR10" s="397"/>
      <c r="BMS10" s="397"/>
      <c r="BMT10" s="397"/>
      <c r="BMU10" s="397"/>
      <c r="BMV10" s="397"/>
      <c r="BMW10" s="397"/>
      <c r="BMX10" s="397"/>
      <c r="BMY10" s="397"/>
      <c r="BMZ10" s="397"/>
      <c r="BNA10" s="397"/>
      <c r="BNB10" s="397"/>
      <c r="BNC10" s="397"/>
      <c r="BND10" s="397"/>
      <c r="BNE10" s="397"/>
      <c r="BNF10" s="397"/>
      <c r="BNG10" s="397"/>
      <c r="BNH10" s="397"/>
      <c r="BNI10" s="397"/>
      <c r="BNJ10" s="397"/>
      <c r="BNK10" s="397"/>
      <c r="BNL10" s="397"/>
      <c r="BNM10" s="397"/>
      <c r="BNN10" s="397"/>
      <c r="BNO10" s="397"/>
      <c r="BNP10" s="397"/>
      <c r="BNQ10" s="397"/>
      <c r="BNR10" s="397"/>
      <c r="BNS10" s="397"/>
      <c r="BNT10" s="397"/>
      <c r="BNU10" s="397"/>
      <c r="BNV10" s="397"/>
      <c r="BNW10" s="397"/>
      <c r="BNX10" s="397"/>
      <c r="BNY10" s="397"/>
      <c r="BNZ10" s="397"/>
      <c r="BOA10" s="397"/>
      <c r="BOB10" s="397"/>
      <c r="BOC10" s="397"/>
      <c r="BOD10" s="397"/>
      <c r="BOE10" s="397"/>
      <c r="BOF10" s="397"/>
      <c r="BOG10" s="397"/>
      <c r="BOH10" s="397"/>
      <c r="BOI10" s="397"/>
      <c r="BOJ10" s="397"/>
      <c r="BOK10" s="397"/>
      <c r="BOL10" s="397"/>
      <c r="BOM10" s="397"/>
      <c r="BON10" s="397"/>
      <c r="BOO10" s="397"/>
      <c r="BOP10" s="397"/>
      <c r="BOQ10" s="397"/>
      <c r="BOR10" s="397"/>
      <c r="BOS10" s="397"/>
      <c r="BOT10" s="397"/>
      <c r="BOU10" s="397"/>
      <c r="BOV10" s="397"/>
      <c r="BOW10" s="397"/>
      <c r="BOX10" s="397"/>
      <c r="BOY10" s="397"/>
      <c r="BOZ10" s="397"/>
      <c r="BPA10" s="397"/>
      <c r="BPB10" s="397"/>
      <c r="BPC10" s="397"/>
      <c r="BPD10" s="397"/>
      <c r="BPE10" s="397"/>
      <c r="BPF10" s="397"/>
      <c r="BPG10" s="397"/>
      <c r="BPH10" s="397"/>
      <c r="BPI10" s="397"/>
      <c r="BPJ10" s="397"/>
      <c r="BPK10" s="397"/>
      <c r="BPL10" s="397"/>
      <c r="BPM10" s="397"/>
      <c r="BPN10" s="397"/>
      <c r="BPO10" s="397"/>
      <c r="BPP10" s="397"/>
      <c r="BPQ10" s="397"/>
      <c r="BPR10" s="397"/>
      <c r="BPS10" s="397"/>
      <c r="BPT10" s="397"/>
      <c r="BPU10" s="397"/>
      <c r="BPV10" s="397"/>
      <c r="BPW10" s="397"/>
      <c r="BPX10" s="397"/>
      <c r="BPY10" s="397"/>
      <c r="BPZ10" s="397"/>
      <c r="BQA10" s="397"/>
      <c r="BQB10" s="397"/>
      <c r="BQC10" s="397"/>
      <c r="BQD10" s="397"/>
      <c r="BQE10" s="397"/>
      <c r="BQF10" s="397"/>
      <c r="BQG10" s="397"/>
      <c r="BQH10" s="397"/>
      <c r="BQI10" s="397"/>
      <c r="BQJ10" s="397"/>
      <c r="BQK10" s="397"/>
      <c r="BQL10" s="397"/>
      <c r="BQM10" s="397"/>
      <c r="BQN10" s="397"/>
      <c r="BQO10" s="397"/>
      <c r="BQP10" s="397"/>
      <c r="BQQ10" s="397"/>
      <c r="BQR10" s="397"/>
      <c r="BQS10" s="397"/>
      <c r="BQT10" s="397"/>
      <c r="BQU10" s="397"/>
      <c r="BQV10" s="397"/>
      <c r="BQW10" s="397"/>
      <c r="BQX10" s="397"/>
      <c r="BQY10" s="397"/>
      <c r="BQZ10" s="397"/>
      <c r="BRA10" s="397"/>
      <c r="BRB10" s="397"/>
      <c r="BRC10" s="397"/>
      <c r="BRD10" s="397"/>
      <c r="BRE10" s="397"/>
      <c r="BRF10" s="397"/>
      <c r="BRG10" s="397"/>
      <c r="BRH10" s="397"/>
      <c r="BRI10" s="397"/>
      <c r="BRJ10" s="397"/>
      <c r="BRK10" s="397"/>
      <c r="BRL10" s="397"/>
      <c r="BRM10" s="397"/>
      <c r="BRN10" s="397"/>
      <c r="BRO10" s="397"/>
      <c r="BRP10" s="397"/>
      <c r="BRQ10" s="397"/>
      <c r="BRR10" s="397"/>
      <c r="BRS10" s="397"/>
      <c r="BRT10" s="397"/>
      <c r="BRU10" s="397"/>
      <c r="BRV10" s="397"/>
      <c r="BRW10" s="397"/>
      <c r="BRX10" s="397"/>
      <c r="BRY10" s="397"/>
      <c r="BRZ10" s="397"/>
      <c r="BSA10" s="397"/>
      <c r="BSB10" s="397"/>
      <c r="BSC10" s="397"/>
      <c r="BSD10" s="397"/>
      <c r="BSE10" s="397"/>
      <c r="BSF10" s="397"/>
      <c r="BSG10" s="397"/>
      <c r="BSH10" s="397"/>
      <c r="BSI10" s="397"/>
      <c r="BSJ10" s="397"/>
      <c r="BSK10" s="397"/>
      <c r="BSL10" s="397"/>
      <c r="BSM10" s="397"/>
      <c r="BSN10" s="397"/>
      <c r="BSO10" s="397"/>
      <c r="BSP10" s="397"/>
      <c r="BSQ10" s="397"/>
      <c r="BSR10" s="397"/>
      <c r="BSS10" s="397"/>
      <c r="BST10" s="397"/>
      <c r="BSU10" s="397"/>
      <c r="BSV10" s="397"/>
      <c r="BSW10" s="397"/>
      <c r="BSX10" s="397"/>
      <c r="BSY10" s="397"/>
      <c r="BSZ10" s="397"/>
      <c r="BTA10" s="397"/>
      <c r="BTB10" s="397"/>
      <c r="BTC10" s="397"/>
      <c r="BTD10" s="397"/>
      <c r="BTE10" s="397"/>
      <c r="BTF10" s="397"/>
      <c r="BTG10" s="397"/>
      <c r="BTH10" s="397"/>
      <c r="BTI10" s="397"/>
      <c r="BTJ10" s="397"/>
      <c r="BTK10" s="397"/>
      <c r="BTL10" s="397"/>
      <c r="BTM10" s="397"/>
      <c r="BTN10" s="397"/>
      <c r="BTO10" s="397"/>
      <c r="BTP10" s="397"/>
      <c r="BTQ10" s="397"/>
      <c r="BTR10" s="397"/>
      <c r="BTS10" s="397"/>
      <c r="BTT10" s="397"/>
      <c r="BTU10" s="397"/>
      <c r="BTV10" s="397"/>
      <c r="BTW10" s="397"/>
      <c r="BTX10" s="397"/>
      <c r="BTY10" s="397"/>
      <c r="BTZ10" s="397"/>
      <c r="BUA10" s="397"/>
      <c r="BUB10" s="397"/>
      <c r="BUC10" s="397"/>
      <c r="BUD10" s="397"/>
      <c r="BUE10" s="397"/>
      <c r="BUF10" s="397"/>
      <c r="BUG10" s="397"/>
      <c r="BUH10" s="397"/>
      <c r="BUI10" s="397"/>
      <c r="BUJ10" s="397"/>
      <c r="BUK10" s="397"/>
      <c r="BUL10" s="397"/>
      <c r="BUM10" s="397"/>
      <c r="BUN10" s="397"/>
      <c r="BUO10" s="397"/>
      <c r="BUP10" s="397"/>
      <c r="BUQ10" s="397"/>
      <c r="BUR10" s="397"/>
      <c r="BUS10" s="397"/>
      <c r="BUT10" s="397"/>
      <c r="BUU10" s="397"/>
      <c r="BUV10" s="397"/>
      <c r="BUW10" s="397"/>
      <c r="BUX10" s="397"/>
      <c r="BUY10" s="397"/>
      <c r="BUZ10" s="397"/>
      <c r="BVA10" s="397"/>
      <c r="BVB10" s="397"/>
      <c r="BVC10" s="397"/>
      <c r="BVD10" s="397"/>
      <c r="BVE10" s="397"/>
      <c r="BVF10" s="397"/>
      <c r="BVG10" s="397"/>
      <c r="BVH10" s="397"/>
      <c r="BVI10" s="397"/>
      <c r="BVJ10" s="397"/>
      <c r="BVK10" s="397"/>
      <c r="BVL10" s="397"/>
      <c r="BVM10" s="397"/>
      <c r="BVN10" s="397"/>
      <c r="BVO10" s="397"/>
      <c r="BVP10" s="397"/>
      <c r="BVQ10" s="397"/>
      <c r="BVR10" s="397"/>
      <c r="BVS10" s="397"/>
      <c r="BVT10" s="397"/>
      <c r="BVU10" s="397"/>
      <c r="BVV10" s="397"/>
      <c r="BVW10" s="397"/>
      <c r="BVX10" s="397"/>
      <c r="BVY10" s="397"/>
      <c r="BVZ10" s="397"/>
      <c r="BWA10" s="397"/>
      <c r="BWB10" s="397"/>
      <c r="BWC10" s="397"/>
      <c r="BWD10" s="397"/>
      <c r="BWE10" s="397"/>
      <c r="BWF10" s="397"/>
      <c r="BWG10" s="397"/>
      <c r="BWH10" s="397"/>
      <c r="BWI10" s="397"/>
      <c r="BWJ10" s="397"/>
      <c r="BWK10" s="397"/>
      <c r="BWL10" s="397"/>
      <c r="BWM10" s="397"/>
      <c r="BWN10" s="397"/>
      <c r="BWO10" s="397"/>
      <c r="BWP10" s="397"/>
      <c r="BWQ10" s="397"/>
      <c r="BWR10" s="397"/>
      <c r="BWS10" s="397"/>
      <c r="BWT10" s="397"/>
      <c r="BWU10" s="397"/>
      <c r="BWV10" s="397"/>
      <c r="BWW10" s="397"/>
      <c r="BWX10" s="397"/>
      <c r="BWY10" s="397"/>
      <c r="BWZ10" s="397"/>
      <c r="BXA10" s="397"/>
      <c r="BXB10" s="397"/>
      <c r="BXC10" s="397"/>
      <c r="BXD10" s="397"/>
      <c r="BXE10" s="397"/>
      <c r="BXF10" s="397"/>
      <c r="BXG10" s="397"/>
      <c r="BXH10" s="397"/>
      <c r="BXI10" s="397"/>
      <c r="BXJ10" s="397"/>
      <c r="BXK10" s="397"/>
      <c r="BXL10" s="397"/>
      <c r="BXM10" s="397"/>
      <c r="BXN10" s="397"/>
      <c r="BXO10" s="397"/>
      <c r="BXP10" s="397"/>
      <c r="BXQ10" s="397"/>
      <c r="BXR10" s="397"/>
      <c r="BXS10" s="397"/>
      <c r="BXT10" s="397"/>
      <c r="BXU10" s="397"/>
      <c r="BXV10" s="397"/>
      <c r="BXW10" s="397"/>
      <c r="BXX10" s="397"/>
      <c r="BXY10" s="397"/>
      <c r="BXZ10" s="397"/>
      <c r="BYA10" s="397"/>
      <c r="BYB10" s="397"/>
      <c r="BYC10" s="397"/>
      <c r="BYD10" s="397"/>
      <c r="BYE10" s="397"/>
      <c r="BYF10" s="397"/>
      <c r="BYG10" s="397"/>
      <c r="BYH10" s="397"/>
      <c r="BYI10" s="397"/>
      <c r="BYJ10" s="397"/>
      <c r="BYK10" s="397"/>
      <c r="BYL10" s="397"/>
      <c r="BYM10" s="397"/>
      <c r="BYN10" s="397"/>
      <c r="BYO10" s="397"/>
      <c r="BYP10" s="397"/>
      <c r="BYQ10" s="397"/>
      <c r="BYR10" s="397"/>
      <c r="BYS10" s="397"/>
      <c r="BYT10" s="397"/>
      <c r="BYU10" s="397"/>
      <c r="BYV10" s="397"/>
      <c r="BYW10" s="397"/>
      <c r="BYX10" s="397"/>
      <c r="BYY10" s="397"/>
      <c r="BYZ10" s="397"/>
      <c r="BZA10" s="397"/>
      <c r="BZB10" s="397"/>
      <c r="BZC10" s="397"/>
      <c r="BZD10" s="397"/>
      <c r="BZE10" s="397"/>
      <c r="BZF10" s="397"/>
      <c r="BZG10" s="397"/>
      <c r="BZH10" s="397"/>
      <c r="BZI10" s="397"/>
      <c r="BZJ10" s="397"/>
      <c r="BZK10" s="397"/>
      <c r="BZL10" s="397"/>
      <c r="BZM10" s="397"/>
      <c r="BZN10" s="397"/>
      <c r="BZO10" s="397"/>
      <c r="BZP10" s="397"/>
      <c r="BZQ10" s="397"/>
      <c r="BZR10" s="397"/>
      <c r="BZS10" s="397"/>
      <c r="BZT10" s="397"/>
      <c r="BZU10" s="397"/>
      <c r="BZV10" s="397"/>
      <c r="BZW10" s="397"/>
      <c r="BZX10" s="397"/>
      <c r="BZY10" s="397"/>
      <c r="BZZ10" s="397"/>
      <c r="CAA10" s="397"/>
      <c r="CAB10" s="397"/>
      <c r="CAC10" s="397"/>
      <c r="CAD10" s="397"/>
      <c r="CAE10" s="397"/>
      <c r="CAF10" s="397"/>
      <c r="CAG10" s="397"/>
      <c r="CAH10" s="397"/>
      <c r="CAI10" s="397"/>
      <c r="CAJ10" s="397"/>
      <c r="CAK10" s="397"/>
      <c r="CAL10" s="397"/>
      <c r="CAM10" s="397"/>
      <c r="CAN10" s="397"/>
      <c r="CAO10" s="397"/>
      <c r="CAP10" s="397"/>
      <c r="CAQ10" s="397"/>
      <c r="CAR10" s="397"/>
      <c r="CAS10" s="397"/>
      <c r="CAT10" s="397"/>
      <c r="CAU10" s="397"/>
      <c r="CAV10" s="397"/>
      <c r="CAW10" s="397"/>
      <c r="CAX10" s="397"/>
      <c r="CAY10" s="397"/>
      <c r="CAZ10" s="397"/>
      <c r="CBA10" s="397"/>
      <c r="CBB10" s="397"/>
      <c r="CBC10" s="397"/>
      <c r="CBD10" s="397"/>
      <c r="CBE10" s="397"/>
      <c r="CBF10" s="397"/>
      <c r="CBG10" s="397"/>
      <c r="CBH10" s="397"/>
      <c r="CBI10" s="397"/>
      <c r="CBJ10" s="397"/>
      <c r="CBK10" s="397"/>
      <c r="CBL10" s="397"/>
      <c r="CBM10" s="397"/>
      <c r="CBN10" s="397"/>
      <c r="CBO10" s="397"/>
      <c r="CBP10" s="397"/>
      <c r="CBQ10" s="397"/>
      <c r="CBR10" s="397"/>
      <c r="CBS10" s="397"/>
      <c r="CBT10" s="397"/>
      <c r="CBU10" s="397"/>
      <c r="CBV10" s="397"/>
      <c r="CBW10" s="397"/>
      <c r="CBX10" s="397"/>
      <c r="CBY10" s="397"/>
      <c r="CBZ10" s="397"/>
      <c r="CCA10" s="397"/>
      <c r="CCB10" s="397"/>
      <c r="CCC10" s="397"/>
      <c r="CCD10" s="397"/>
      <c r="CCE10" s="397"/>
      <c r="CCF10" s="397"/>
      <c r="CCG10" s="397"/>
      <c r="CCH10" s="397"/>
      <c r="CCI10" s="397"/>
      <c r="CCJ10" s="397"/>
      <c r="CCK10" s="397"/>
      <c r="CCL10" s="397"/>
      <c r="CCM10" s="397"/>
      <c r="CCN10" s="397"/>
      <c r="CCO10" s="397"/>
      <c r="CCP10" s="397"/>
      <c r="CCQ10" s="397"/>
      <c r="CCR10" s="397"/>
      <c r="CCS10" s="397"/>
      <c r="CCT10" s="397"/>
      <c r="CCU10" s="397"/>
      <c r="CCV10" s="397"/>
      <c r="CCW10" s="397"/>
      <c r="CCX10" s="397"/>
      <c r="CCY10" s="397"/>
      <c r="CCZ10" s="397"/>
      <c r="CDA10" s="397"/>
      <c r="CDB10" s="397"/>
      <c r="CDC10" s="397"/>
      <c r="CDD10" s="397"/>
      <c r="CDE10" s="397"/>
      <c r="CDF10" s="397"/>
      <c r="CDG10" s="397"/>
      <c r="CDH10" s="397"/>
      <c r="CDI10" s="397"/>
      <c r="CDJ10" s="397"/>
      <c r="CDK10" s="397"/>
      <c r="CDL10" s="397"/>
      <c r="CDM10" s="397"/>
      <c r="CDN10" s="397"/>
      <c r="CDO10" s="397"/>
      <c r="CDP10" s="397"/>
      <c r="CDQ10" s="397"/>
      <c r="CDR10" s="397"/>
      <c r="CDS10" s="397"/>
      <c r="CDT10" s="397"/>
      <c r="CDU10" s="397"/>
      <c r="CDV10" s="397"/>
      <c r="CDW10" s="397"/>
      <c r="CDX10" s="397"/>
      <c r="CDY10" s="397"/>
      <c r="CDZ10" s="397"/>
      <c r="CEA10" s="397"/>
      <c r="CEB10" s="397"/>
      <c r="CEC10" s="397"/>
      <c r="CED10" s="397"/>
      <c r="CEE10" s="397"/>
      <c r="CEF10" s="397"/>
      <c r="CEG10" s="397"/>
      <c r="CEH10" s="397"/>
      <c r="CEI10" s="397"/>
      <c r="CEJ10" s="397"/>
      <c r="CEK10" s="397"/>
      <c r="CEL10" s="397"/>
      <c r="CEM10" s="397"/>
      <c r="CEN10" s="397"/>
      <c r="CEO10" s="397"/>
      <c r="CEP10" s="397"/>
      <c r="CEQ10" s="397"/>
      <c r="CER10" s="397"/>
      <c r="CES10" s="397"/>
      <c r="CET10" s="397"/>
      <c r="CEU10" s="397"/>
      <c r="CEV10" s="397"/>
      <c r="CEW10" s="397"/>
      <c r="CEX10" s="397"/>
      <c r="CEY10" s="397"/>
      <c r="CEZ10" s="397"/>
      <c r="CFA10" s="397"/>
      <c r="CFB10" s="397"/>
      <c r="CFC10" s="397"/>
      <c r="CFD10" s="397"/>
      <c r="CFE10" s="397"/>
      <c r="CFF10" s="397"/>
      <c r="CFG10" s="397"/>
      <c r="CFH10" s="397"/>
      <c r="CFI10" s="397"/>
      <c r="CFJ10" s="397"/>
      <c r="CFK10" s="397"/>
      <c r="CFL10" s="397"/>
      <c r="CFM10" s="397"/>
      <c r="CFN10" s="397"/>
      <c r="CFO10" s="397"/>
      <c r="CFP10" s="397"/>
      <c r="CFQ10" s="397"/>
      <c r="CFR10" s="397"/>
      <c r="CFS10" s="397"/>
      <c r="CFT10" s="397"/>
      <c r="CFU10" s="397"/>
      <c r="CFV10" s="397"/>
      <c r="CFW10" s="397"/>
      <c r="CFX10" s="397"/>
      <c r="CFY10" s="397"/>
      <c r="CFZ10" s="397"/>
      <c r="CGA10" s="397"/>
      <c r="CGB10" s="397"/>
      <c r="CGC10" s="397"/>
      <c r="CGD10" s="397"/>
      <c r="CGE10" s="397"/>
      <c r="CGF10" s="397"/>
      <c r="CGG10" s="397"/>
      <c r="CGH10" s="397"/>
      <c r="CGI10" s="397"/>
      <c r="CGJ10" s="397"/>
      <c r="CGK10" s="397"/>
      <c r="CGL10" s="397"/>
      <c r="CGM10" s="397"/>
      <c r="CGN10" s="397"/>
      <c r="CGO10" s="397"/>
      <c r="CGP10" s="397"/>
      <c r="CGQ10" s="397"/>
      <c r="CGR10" s="397"/>
      <c r="CGS10" s="397"/>
      <c r="CGT10" s="397"/>
      <c r="CGU10" s="397"/>
      <c r="CGV10" s="397"/>
      <c r="CGW10" s="397"/>
      <c r="CGX10" s="397"/>
      <c r="CGY10" s="397"/>
      <c r="CGZ10" s="397"/>
      <c r="CHA10" s="397"/>
      <c r="CHB10" s="397"/>
      <c r="CHC10" s="397"/>
      <c r="CHD10" s="397"/>
      <c r="CHE10" s="397"/>
      <c r="CHF10" s="397"/>
      <c r="CHG10" s="397"/>
      <c r="CHH10" s="397"/>
      <c r="CHI10" s="397"/>
      <c r="CHJ10" s="397"/>
      <c r="CHK10" s="397"/>
      <c r="CHL10" s="397"/>
      <c r="CHM10" s="397"/>
      <c r="CHN10" s="397"/>
      <c r="CHO10" s="397"/>
      <c r="CHP10" s="397"/>
      <c r="CHQ10" s="397"/>
      <c r="CHR10" s="397"/>
      <c r="CHS10" s="397"/>
      <c r="CHT10" s="397"/>
      <c r="CHU10" s="397"/>
      <c r="CHV10" s="397"/>
      <c r="CHW10" s="397"/>
      <c r="CHX10" s="397"/>
      <c r="CHY10" s="397"/>
      <c r="CHZ10" s="397"/>
      <c r="CIA10" s="397"/>
      <c r="CIB10" s="397"/>
      <c r="CIC10" s="397"/>
      <c r="CID10" s="397"/>
      <c r="CIE10" s="397"/>
      <c r="CIF10" s="397"/>
      <c r="CIG10" s="397"/>
      <c r="CIH10" s="397"/>
      <c r="CII10" s="397"/>
      <c r="CIJ10" s="397"/>
      <c r="CIK10" s="397"/>
      <c r="CIL10" s="397"/>
      <c r="CIM10" s="397"/>
      <c r="CIN10" s="397"/>
      <c r="CIO10" s="397"/>
      <c r="CIP10" s="397"/>
      <c r="CIQ10" s="397"/>
      <c r="CIR10" s="397"/>
      <c r="CIS10" s="397"/>
      <c r="CIT10" s="397"/>
      <c r="CIU10" s="397"/>
      <c r="CIV10" s="397"/>
      <c r="CIW10" s="397"/>
      <c r="CIX10" s="397"/>
      <c r="CIY10" s="397"/>
      <c r="CIZ10" s="397"/>
      <c r="CJA10" s="397"/>
      <c r="CJB10" s="397"/>
      <c r="CJC10" s="397"/>
      <c r="CJD10" s="397"/>
      <c r="CJE10" s="397"/>
      <c r="CJF10" s="397"/>
      <c r="CJG10" s="397"/>
      <c r="CJH10" s="397"/>
      <c r="CJI10" s="397"/>
      <c r="CJJ10" s="397"/>
      <c r="CJK10" s="397"/>
      <c r="CJL10" s="397"/>
      <c r="CJM10" s="397"/>
      <c r="CJN10" s="397"/>
      <c r="CJO10" s="397"/>
      <c r="CJP10" s="397"/>
      <c r="CJQ10" s="397"/>
      <c r="CJR10" s="397"/>
      <c r="CJS10" s="397"/>
      <c r="CJT10" s="397"/>
      <c r="CJU10" s="397"/>
      <c r="CJV10" s="397"/>
      <c r="CJW10" s="397"/>
      <c r="CJX10" s="397"/>
      <c r="CJY10" s="397"/>
      <c r="CJZ10" s="397"/>
      <c r="CKA10" s="397"/>
      <c r="CKB10" s="397"/>
      <c r="CKC10" s="397"/>
      <c r="CKD10" s="397"/>
      <c r="CKE10" s="397"/>
      <c r="CKF10" s="397"/>
      <c r="CKG10" s="397"/>
      <c r="CKH10" s="397"/>
      <c r="CKI10" s="397"/>
      <c r="CKJ10" s="397"/>
      <c r="CKK10" s="397"/>
      <c r="CKL10" s="397"/>
      <c r="CKM10" s="397"/>
      <c r="CKN10" s="397"/>
      <c r="CKO10" s="397"/>
      <c r="CKP10" s="397"/>
      <c r="CKQ10" s="397"/>
      <c r="CKR10" s="397"/>
      <c r="CKS10" s="397"/>
      <c r="CKT10" s="397"/>
      <c r="CKU10" s="397"/>
      <c r="CKV10" s="397"/>
      <c r="CKW10" s="397"/>
      <c r="CKX10" s="397"/>
      <c r="CKY10" s="397"/>
      <c r="CKZ10" s="397"/>
      <c r="CLA10" s="397"/>
      <c r="CLB10" s="397"/>
      <c r="CLC10" s="397"/>
      <c r="CLD10" s="397"/>
      <c r="CLE10" s="397"/>
      <c r="CLF10" s="397"/>
      <c r="CLG10" s="397"/>
      <c r="CLH10" s="397"/>
      <c r="CLI10" s="397"/>
      <c r="CLJ10" s="397"/>
      <c r="CLK10" s="397"/>
      <c r="CLL10" s="397"/>
      <c r="CLM10" s="397"/>
      <c r="CLN10" s="397"/>
      <c r="CLO10" s="397"/>
      <c r="CLP10" s="397"/>
      <c r="CLQ10" s="397"/>
      <c r="CLR10" s="397"/>
      <c r="CLS10" s="397"/>
      <c r="CLT10" s="397"/>
      <c r="CLU10" s="397"/>
      <c r="CLV10" s="397"/>
      <c r="CLW10" s="397"/>
      <c r="CLX10" s="397"/>
      <c r="CLY10" s="397"/>
      <c r="CLZ10" s="397"/>
      <c r="CMA10" s="397"/>
      <c r="CMB10" s="397"/>
      <c r="CMC10" s="397"/>
      <c r="CMD10" s="397"/>
      <c r="CME10" s="397"/>
      <c r="CMF10" s="397"/>
      <c r="CMG10" s="397"/>
      <c r="CMH10" s="397"/>
      <c r="CMI10" s="397"/>
      <c r="CMJ10" s="397"/>
      <c r="CMK10" s="397"/>
      <c r="CML10" s="397"/>
      <c r="CMM10" s="397"/>
      <c r="CMN10" s="397"/>
      <c r="CMO10" s="397"/>
      <c r="CMP10" s="397"/>
      <c r="CMQ10" s="397"/>
      <c r="CMR10" s="397"/>
      <c r="CMS10" s="397"/>
      <c r="CMT10" s="397"/>
      <c r="CMU10" s="397"/>
      <c r="CMV10" s="397"/>
      <c r="CMW10" s="397"/>
      <c r="CMX10" s="397"/>
      <c r="CMY10" s="397"/>
      <c r="CMZ10" s="397"/>
      <c r="CNA10" s="397"/>
      <c r="CNB10" s="397"/>
      <c r="CNC10" s="397"/>
      <c r="CND10" s="397"/>
      <c r="CNE10" s="397"/>
      <c r="CNF10" s="397"/>
      <c r="CNG10" s="397"/>
      <c r="CNH10" s="397"/>
      <c r="CNI10" s="397"/>
      <c r="CNJ10" s="397"/>
      <c r="CNK10" s="397"/>
      <c r="CNL10" s="397"/>
      <c r="CNM10" s="397"/>
      <c r="CNN10" s="397"/>
      <c r="CNO10" s="397"/>
      <c r="CNP10" s="397"/>
      <c r="CNQ10" s="397"/>
      <c r="CNR10" s="397"/>
      <c r="CNS10" s="397"/>
      <c r="CNT10" s="397"/>
      <c r="CNU10" s="397"/>
      <c r="CNV10" s="397"/>
      <c r="CNW10" s="397"/>
      <c r="CNX10" s="397"/>
      <c r="CNY10" s="397"/>
      <c r="CNZ10" s="397"/>
      <c r="COA10" s="397"/>
      <c r="COB10" s="397"/>
      <c r="COC10" s="397"/>
      <c r="COD10" s="397"/>
      <c r="COE10" s="397"/>
      <c r="COF10" s="397"/>
      <c r="COG10" s="397"/>
      <c r="COH10" s="397"/>
      <c r="COI10" s="397"/>
      <c r="COJ10" s="397"/>
      <c r="COK10" s="397"/>
      <c r="COL10" s="397"/>
      <c r="COM10" s="397"/>
      <c r="CON10" s="397"/>
      <c r="COO10" s="397"/>
      <c r="COP10" s="397"/>
      <c r="COQ10" s="397"/>
      <c r="COR10" s="397"/>
      <c r="COS10" s="397"/>
      <c r="COT10" s="397"/>
      <c r="COU10" s="397"/>
      <c r="COV10" s="397"/>
      <c r="COW10" s="397"/>
      <c r="COX10" s="397"/>
      <c r="COY10" s="397"/>
      <c r="COZ10" s="397"/>
      <c r="CPA10" s="397"/>
      <c r="CPB10" s="397"/>
      <c r="CPC10" s="397"/>
      <c r="CPD10" s="397"/>
      <c r="CPE10" s="397"/>
      <c r="CPF10" s="397"/>
      <c r="CPG10" s="397"/>
      <c r="CPH10" s="397"/>
      <c r="CPI10" s="397"/>
      <c r="CPJ10" s="397"/>
      <c r="CPK10" s="397"/>
      <c r="CPL10" s="397"/>
      <c r="CPM10" s="397"/>
      <c r="CPN10" s="397"/>
      <c r="CPO10" s="397"/>
      <c r="CPP10" s="397"/>
      <c r="CPQ10" s="397"/>
      <c r="CPR10" s="397"/>
      <c r="CPS10" s="397"/>
      <c r="CPT10" s="397"/>
      <c r="CPU10" s="397"/>
      <c r="CPV10" s="397"/>
      <c r="CPW10" s="397"/>
      <c r="CPX10" s="397"/>
      <c r="CPY10" s="397"/>
      <c r="CPZ10" s="397"/>
      <c r="CQA10" s="397"/>
      <c r="CQB10" s="397"/>
      <c r="CQC10" s="397"/>
      <c r="CQD10" s="397"/>
      <c r="CQE10" s="397"/>
      <c r="CQF10" s="397"/>
      <c r="CQG10" s="397"/>
      <c r="CQH10" s="397"/>
      <c r="CQI10" s="397"/>
      <c r="CQJ10" s="397"/>
      <c r="CQK10" s="397"/>
      <c r="CQL10" s="397"/>
      <c r="CQM10" s="397"/>
      <c r="CQN10" s="397"/>
      <c r="CQO10" s="397"/>
      <c r="CQP10" s="397"/>
      <c r="CQQ10" s="397"/>
      <c r="CQR10" s="397"/>
      <c r="CQS10" s="397"/>
      <c r="CQT10" s="397"/>
      <c r="CQU10" s="397"/>
      <c r="CQV10" s="397"/>
      <c r="CQW10" s="397"/>
      <c r="CQX10" s="397"/>
      <c r="CQY10" s="397"/>
      <c r="CQZ10" s="397"/>
      <c r="CRA10" s="397"/>
      <c r="CRB10" s="397"/>
      <c r="CRC10" s="397"/>
      <c r="CRD10" s="397"/>
      <c r="CRE10" s="397"/>
      <c r="CRF10" s="397"/>
      <c r="CRG10" s="397"/>
      <c r="CRH10" s="397"/>
      <c r="CRI10" s="397"/>
      <c r="CRJ10" s="397"/>
      <c r="CRK10" s="397"/>
      <c r="CRL10" s="397"/>
      <c r="CRM10" s="397"/>
      <c r="CRN10" s="397"/>
      <c r="CRO10" s="397"/>
      <c r="CRP10" s="397"/>
      <c r="CRQ10" s="397"/>
      <c r="CRR10" s="397"/>
      <c r="CRS10" s="397"/>
      <c r="CRT10" s="397"/>
      <c r="CRU10" s="397"/>
      <c r="CRV10" s="397"/>
      <c r="CRW10" s="397"/>
      <c r="CRX10" s="397"/>
      <c r="CRY10" s="397"/>
      <c r="CRZ10" s="397"/>
      <c r="CSA10" s="397"/>
      <c r="CSB10" s="397"/>
      <c r="CSC10" s="397"/>
      <c r="CSD10" s="397"/>
      <c r="CSE10" s="397"/>
      <c r="CSF10" s="397"/>
      <c r="CSG10" s="397"/>
      <c r="CSH10" s="397"/>
      <c r="CSI10" s="397"/>
      <c r="CSJ10" s="397"/>
      <c r="CSK10" s="397"/>
      <c r="CSL10" s="397"/>
      <c r="CSM10" s="397"/>
      <c r="CSN10" s="397"/>
      <c r="CSO10" s="397"/>
      <c r="CSP10" s="397"/>
      <c r="CSQ10" s="397"/>
      <c r="CSR10" s="397"/>
      <c r="CSS10" s="397"/>
      <c r="CST10" s="397"/>
      <c r="CSU10" s="397"/>
      <c r="CSV10" s="397"/>
      <c r="CSW10" s="397"/>
      <c r="CSX10" s="397"/>
      <c r="CSY10" s="397"/>
      <c r="CSZ10" s="397"/>
      <c r="CTA10" s="397"/>
      <c r="CTB10" s="397"/>
      <c r="CTC10" s="397"/>
      <c r="CTD10" s="397"/>
      <c r="CTE10" s="397"/>
      <c r="CTF10" s="397"/>
      <c r="CTG10" s="397"/>
      <c r="CTH10" s="397"/>
      <c r="CTI10" s="397"/>
      <c r="CTJ10" s="397"/>
      <c r="CTK10" s="397"/>
      <c r="CTL10" s="397"/>
      <c r="CTM10" s="397"/>
      <c r="CTN10" s="397"/>
      <c r="CTO10" s="397"/>
      <c r="CTP10" s="397"/>
      <c r="CTQ10" s="397"/>
      <c r="CTR10" s="397"/>
      <c r="CTS10" s="397"/>
      <c r="CTT10" s="397"/>
      <c r="CTU10" s="397"/>
      <c r="CTV10" s="397"/>
      <c r="CTW10" s="397"/>
      <c r="CTX10" s="397"/>
      <c r="CTY10" s="397"/>
      <c r="CTZ10" s="397"/>
      <c r="CUA10" s="397"/>
      <c r="CUB10" s="397"/>
      <c r="CUC10" s="397"/>
      <c r="CUD10" s="397"/>
      <c r="CUE10" s="397"/>
      <c r="CUF10" s="397"/>
      <c r="CUG10" s="397"/>
      <c r="CUH10" s="397"/>
      <c r="CUI10" s="397"/>
      <c r="CUJ10" s="397"/>
      <c r="CUK10" s="397"/>
      <c r="CUL10" s="397"/>
      <c r="CUM10" s="397"/>
      <c r="CUN10" s="397"/>
      <c r="CUO10" s="397"/>
      <c r="CUP10" s="397"/>
      <c r="CUQ10" s="397"/>
      <c r="CUR10" s="397"/>
      <c r="CUS10" s="397"/>
      <c r="CUT10" s="397"/>
      <c r="CUU10" s="397"/>
      <c r="CUV10" s="397"/>
      <c r="CUW10" s="397"/>
      <c r="CUX10" s="397"/>
      <c r="CUY10" s="397"/>
      <c r="CUZ10" s="397"/>
      <c r="CVA10" s="397"/>
      <c r="CVB10" s="397"/>
      <c r="CVC10" s="397"/>
      <c r="CVD10" s="397"/>
      <c r="CVE10" s="397"/>
      <c r="CVF10" s="397"/>
      <c r="CVG10" s="397"/>
      <c r="CVH10" s="397"/>
      <c r="CVI10" s="397"/>
      <c r="CVJ10" s="397"/>
      <c r="CVK10" s="397"/>
      <c r="CVL10" s="397"/>
      <c r="CVM10" s="397"/>
      <c r="CVN10" s="397"/>
      <c r="CVO10" s="397"/>
      <c r="CVP10" s="397"/>
      <c r="CVQ10" s="397"/>
      <c r="CVR10" s="397"/>
      <c r="CVS10" s="397"/>
      <c r="CVT10" s="397"/>
      <c r="CVU10" s="397"/>
      <c r="CVV10" s="397"/>
      <c r="CVW10" s="397"/>
      <c r="CVX10" s="397"/>
      <c r="CVY10" s="397"/>
      <c r="CVZ10" s="397"/>
      <c r="CWA10" s="397"/>
      <c r="CWB10" s="397"/>
      <c r="CWC10" s="397"/>
      <c r="CWD10" s="397"/>
      <c r="CWE10" s="397"/>
      <c r="CWF10" s="397"/>
      <c r="CWG10" s="397"/>
      <c r="CWH10" s="397"/>
      <c r="CWI10" s="397"/>
      <c r="CWJ10" s="397"/>
      <c r="CWK10" s="397"/>
      <c r="CWL10" s="397"/>
      <c r="CWM10" s="397"/>
      <c r="CWN10" s="397"/>
      <c r="CWO10" s="397"/>
      <c r="CWP10" s="397"/>
      <c r="CWQ10" s="397"/>
      <c r="CWR10" s="397"/>
      <c r="CWS10" s="397"/>
      <c r="CWT10" s="397"/>
      <c r="CWU10" s="397"/>
      <c r="CWV10" s="397"/>
      <c r="CWW10" s="397"/>
      <c r="CWX10" s="397"/>
      <c r="CWY10" s="397"/>
      <c r="CWZ10" s="397"/>
      <c r="CXA10" s="397"/>
      <c r="CXB10" s="397"/>
      <c r="CXC10" s="397"/>
      <c r="CXD10" s="397"/>
      <c r="CXE10" s="397"/>
      <c r="CXF10" s="397"/>
      <c r="CXG10" s="397"/>
      <c r="CXH10" s="397"/>
      <c r="CXI10" s="397"/>
      <c r="CXJ10" s="397"/>
      <c r="CXK10" s="397"/>
      <c r="CXL10" s="397"/>
      <c r="CXM10" s="397"/>
      <c r="CXN10" s="397"/>
      <c r="CXO10" s="397"/>
      <c r="CXP10" s="397"/>
      <c r="CXQ10" s="397"/>
      <c r="CXR10" s="397"/>
      <c r="CXS10" s="397"/>
      <c r="CXT10" s="397"/>
      <c r="CXU10" s="397"/>
      <c r="CXV10" s="397"/>
      <c r="CXW10" s="397"/>
      <c r="CXX10" s="397"/>
      <c r="CXY10" s="397"/>
      <c r="CXZ10" s="397"/>
      <c r="CYA10" s="397"/>
      <c r="CYB10" s="397"/>
      <c r="CYC10" s="397"/>
      <c r="CYD10" s="397"/>
      <c r="CYE10" s="397"/>
      <c r="CYF10" s="397"/>
      <c r="CYG10" s="397"/>
      <c r="CYH10" s="397"/>
      <c r="CYI10" s="397"/>
      <c r="CYJ10" s="397"/>
      <c r="CYK10" s="397"/>
      <c r="CYL10" s="397"/>
      <c r="CYM10" s="397"/>
      <c r="CYN10" s="397"/>
      <c r="CYO10" s="397"/>
      <c r="CYP10" s="397"/>
      <c r="CYQ10" s="397"/>
      <c r="CYR10" s="397"/>
      <c r="CYS10" s="397"/>
      <c r="CYT10" s="397"/>
      <c r="CYU10" s="397"/>
      <c r="CYV10" s="397"/>
      <c r="CYW10" s="397"/>
      <c r="CYX10" s="397"/>
      <c r="CYY10" s="397"/>
      <c r="CYZ10" s="397"/>
      <c r="CZA10" s="397"/>
      <c r="CZB10" s="397"/>
      <c r="CZC10" s="397"/>
      <c r="CZD10" s="397"/>
      <c r="CZE10" s="397"/>
      <c r="CZF10" s="397"/>
      <c r="CZG10" s="397"/>
      <c r="CZH10" s="397"/>
      <c r="CZI10" s="397"/>
      <c r="CZJ10" s="397"/>
      <c r="CZK10" s="397"/>
      <c r="CZL10" s="397"/>
      <c r="CZM10" s="397"/>
      <c r="CZN10" s="397"/>
      <c r="CZO10" s="397"/>
      <c r="CZP10" s="397"/>
      <c r="CZQ10" s="397"/>
      <c r="CZR10" s="397"/>
      <c r="CZS10" s="397"/>
      <c r="CZT10" s="397"/>
      <c r="CZU10" s="397"/>
      <c r="CZV10" s="397"/>
      <c r="CZW10" s="397"/>
      <c r="CZX10" s="397"/>
      <c r="CZY10" s="397"/>
      <c r="CZZ10" s="397"/>
      <c r="DAA10" s="397"/>
      <c r="DAB10" s="397"/>
      <c r="DAC10" s="397"/>
      <c r="DAD10" s="397"/>
      <c r="DAE10" s="397"/>
      <c r="DAF10" s="397"/>
      <c r="DAG10" s="397"/>
      <c r="DAH10" s="397"/>
      <c r="DAI10" s="397"/>
      <c r="DAJ10" s="397"/>
      <c r="DAK10" s="397"/>
      <c r="DAL10" s="397"/>
      <c r="DAM10" s="397"/>
      <c r="DAN10" s="397"/>
      <c r="DAO10" s="397"/>
      <c r="DAP10" s="397"/>
      <c r="DAQ10" s="397"/>
      <c r="DAR10" s="397"/>
      <c r="DAS10" s="397"/>
      <c r="DAT10" s="397"/>
      <c r="DAU10" s="397"/>
      <c r="DAV10" s="397"/>
      <c r="DAW10" s="397"/>
      <c r="DAX10" s="397"/>
      <c r="DAY10" s="397"/>
      <c r="DAZ10" s="397"/>
      <c r="DBA10" s="397"/>
      <c r="DBB10" s="397"/>
      <c r="DBC10" s="397"/>
      <c r="DBD10" s="397"/>
      <c r="DBE10" s="397"/>
      <c r="DBF10" s="397"/>
      <c r="DBG10" s="397"/>
      <c r="DBH10" s="397"/>
      <c r="DBI10" s="397"/>
      <c r="DBJ10" s="397"/>
      <c r="DBK10" s="397"/>
      <c r="DBL10" s="397"/>
      <c r="DBM10" s="397"/>
      <c r="DBN10" s="397"/>
      <c r="DBO10" s="397"/>
      <c r="DBP10" s="397"/>
      <c r="DBQ10" s="397"/>
      <c r="DBR10" s="397"/>
      <c r="DBS10" s="397"/>
      <c r="DBT10" s="397"/>
      <c r="DBU10" s="397"/>
      <c r="DBV10" s="397"/>
      <c r="DBW10" s="397"/>
      <c r="DBX10" s="397"/>
      <c r="DBY10" s="397"/>
      <c r="DBZ10" s="397"/>
      <c r="DCA10" s="397"/>
      <c r="DCB10" s="397"/>
      <c r="DCC10" s="397"/>
      <c r="DCD10" s="397"/>
      <c r="DCE10" s="397"/>
      <c r="DCF10" s="397"/>
      <c r="DCG10" s="397"/>
      <c r="DCH10" s="397"/>
      <c r="DCI10" s="397"/>
      <c r="DCJ10" s="397"/>
      <c r="DCK10" s="397"/>
      <c r="DCL10" s="397"/>
      <c r="DCM10" s="397"/>
      <c r="DCN10" s="397"/>
      <c r="DCO10" s="397"/>
      <c r="DCP10" s="397"/>
      <c r="DCQ10" s="397"/>
      <c r="DCR10" s="397"/>
      <c r="DCS10" s="397"/>
      <c r="DCT10" s="397"/>
      <c r="DCU10" s="397"/>
      <c r="DCV10" s="397"/>
      <c r="DCW10" s="397"/>
      <c r="DCX10" s="397"/>
      <c r="DCY10" s="397"/>
      <c r="DCZ10" s="397"/>
      <c r="DDA10" s="397"/>
      <c r="DDB10" s="397"/>
      <c r="DDC10" s="397"/>
      <c r="DDD10" s="397"/>
      <c r="DDE10" s="397"/>
      <c r="DDF10" s="397"/>
      <c r="DDG10" s="397"/>
      <c r="DDH10" s="397"/>
      <c r="DDI10" s="397"/>
      <c r="DDJ10" s="397"/>
      <c r="DDK10" s="397"/>
      <c r="DDL10" s="397"/>
      <c r="DDM10" s="397"/>
      <c r="DDN10" s="397"/>
      <c r="DDO10" s="397"/>
      <c r="DDP10" s="397"/>
      <c r="DDQ10" s="397"/>
      <c r="DDR10" s="397"/>
      <c r="DDS10" s="397"/>
      <c r="DDT10" s="397"/>
      <c r="DDU10" s="397"/>
      <c r="DDV10" s="397"/>
      <c r="DDW10" s="397"/>
      <c r="DDX10" s="397"/>
      <c r="DDY10" s="397"/>
      <c r="DDZ10" s="397"/>
      <c r="DEA10" s="397"/>
      <c r="DEB10" s="397"/>
      <c r="DEC10" s="397"/>
      <c r="DED10" s="397"/>
      <c r="DEE10" s="397"/>
      <c r="DEF10" s="397"/>
      <c r="DEG10" s="397"/>
      <c r="DEH10" s="397"/>
      <c r="DEI10" s="397"/>
      <c r="DEJ10" s="397"/>
      <c r="DEK10" s="397"/>
      <c r="DEL10" s="397"/>
      <c r="DEM10" s="397"/>
      <c r="DEN10" s="397"/>
      <c r="DEO10" s="397"/>
      <c r="DEP10" s="397"/>
      <c r="DEQ10" s="397"/>
      <c r="DER10" s="397"/>
      <c r="DES10" s="397"/>
      <c r="DET10" s="397"/>
      <c r="DEU10" s="397"/>
      <c r="DEV10" s="397"/>
      <c r="DEW10" s="397"/>
      <c r="DEX10" s="397"/>
      <c r="DEY10" s="397"/>
      <c r="DEZ10" s="397"/>
      <c r="DFA10" s="397"/>
      <c r="DFB10" s="397"/>
      <c r="DFC10" s="397"/>
      <c r="DFD10" s="397"/>
      <c r="DFE10" s="397"/>
      <c r="DFF10" s="397"/>
      <c r="DFG10" s="397"/>
      <c r="DFH10" s="397"/>
      <c r="DFI10" s="397"/>
      <c r="DFJ10" s="397"/>
      <c r="DFK10" s="397"/>
      <c r="DFL10" s="397"/>
      <c r="DFM10" s="397"/>
      <c r="DFN10" s="397"/>
      <c r="DFO10" s="397"/>
      <c r="DFP10" s="397"/>
      <c r="DFQ10" s="397"/>
      <c r="DFR10" s="397"/>
      <c r="DFS10" s="397"/>
      <c r="DFT10" s="397"/>
      <c r="DFU10" s="397"/>
      <c r="DFV10" s="397"/>
      <c r="DFW10" s="397"/>
      <c r="DFX10" s="397"/>
      <c r="DFY10" s="397"/>
      <c r="DFZ10" s="397"/>
      <c r="DGA10" s="397"/>
      <c r="DGB10" s="397"/>
      <c r="DGC10" s="397"/>
      <c r="DGD10" s="397"/>
      <c r="DGE10" s="397"/>
      <c r="DGF10" s="397"/>
      <c r="DGG10" s="397"/>
      <c r="DGH10" s="397"/>
      <c r="DGI10" s="397"/>
      <c r="DGJ10" s="397"/>
      <c r="DGK10" s="397"/>
      <c r="DGL10" s="397"/>
      <c r="DGM10" s="397"/>
      <c r="DGN10" s="397"/>
      <c r="DGO10" s="397"/>
      <c r="DGP10" s="397"/>
      <c r="DGQ10" s="397"/>
      <c r="DGR10" s="397"/>
      <c r="DGS10" s="397"/>
      <c r="DGT10" s="397"/>
      <c r="DGU10" s="397"/>
      <c r="DGV10" s="397"/>
      <c r="DGW10" s="397"/>
      <c r="DGX10" s="397"/>
      <c r="DGY10" s="397"/>
      <c r="DGZ10" s="397"/>
      <c r="DHA10" s="397"/>
      <c r="DHB10" s="397"/>
      <c r="DHC10" s="397"/>
      <c r="DHD10" s="397"/>
      <c r="DHE10" s="397"/>
      <c r="DHF10" s="397"/>
      <c r="DHG10" s="397"/>
      <c r="DHH10" s="397"/>
      <c r="DHI10" s="397"/>
      <c r="DHJ10" s="397"/>
      <c r="DHK10" s="397"/>
      <c r="DHL10" s="397"/>
      <c r="DHM10" s="397"/>
      <c r="DHN10" s="397"/>
      <c r="DHO10" s="397"/>
      <c r="DHP10" s="397"/>
      <c r="DHQ10" s="397"/>
      <c r="DHR10" s="397"/>
      <c r="DHS10" s="397"/>
      <c r="DHT10" s="397"/>
      <c r="DHU10" s="397"/>
      <c r="DHV10" s="397"/>
      <c r="DHW10" s="397"/>
      <c r="DHX10" s="397"/>
      <c r="DHY10" s="397"/>
      <c r="DHZ10" s="397"/>
      <c r="DIA10" s="397"/>
      <c r="DIB10" s="397"/>
      <c r="DIC10" s="397"/>
      <c r="DID10" s="397"/>
      <c r="DIE10" s="397"/>
      <c r="DIF10" s="397"/>
      <c r="DIG10" s="397"/>
      <c r="DIH10" s="397"/>
      <c r="DII10" s="397"/>
      <c r="DIJ10" s="397"/>
      <c r="DIK10" s="397"/>
      <c r="DIL10" s="397"/>
      <c r="DIM10" s="397"/>
      <c r="DIN10" s="397"/>
      <c r="DIO10" s="397"/>
      <c r="DIP10" s="397"/>
      <c r="DIQ10" s="397"/>
      <c r="DIR10" s="397"/>
      <c r="DIS10" s="397"/>
      <c r="DIT10" s="397"/>
      <c r="DIU10" s="397"/>
      <c r="DIV10" s="397"/>
      <c r="DIW10" s="397"/>
      <c r="DIX10" s="397"/>
      <c r="DIY10" s="397"/>
      <c r="DIZ10" s="397"/>
      <c r="DJA10" s="397"/>
      <c r="DJB10" s="397"/>
      <c r="DJC10" s="397"/>
      <c r="DJD10" s="397"/>
      <c r="DJE10" s="397"/>
      <c r="DJF10" s="397"/>
      <c r="DJG10" s="397"/>
      <c r="DJH10" s="397"/>
      <c r="DJI10" s="397"/>
      <c r="DJJ10" s="397"/>
      <c r="DJK10" s="397"/>
      <c r="DJL10" s="397"/>
      <c r="DJM10" s="397"/>
      <c r="DJN10" s="397"/>
      <c r="DJO10" s="397"/>
      <c r="DJP10" s="397"/>
      <c r="DJQ10" s="397"/>
      <c r="DJR10" s="397"/>
      <c r="DJS10" s="397"/>
      <c r="DJT10" s="397"/>
      <c r="DJU10" s="397"/>
      <c r="DJV10" s="397"/>
      <c r="DJW10" s="397"/>
      <c r="DJX10" s="397"/>
      <c r="DJY10" s="397"/>
      <c r="DJZ10" s="397"/>
      <c r="DKA10" s="397"/>
      <c r="DKB10" s="397"/>
      <c r="DKC10" s="397"/>
      <c r="DKD10" s="397"/>
      <c r="DKE10" s="397"/>
      <c r="DKF10" s="397"/>
      <c r="DKG10" s="397"/>
      <c r="DKH10" s="397"/>
      <c r="DKI10" s="397"/>
      <c r="DKJ10" s="397"/>
      <c r="DKK10" s="397"/>
      <c r="DKL10" s="397"/>
      <c r="DKM10" s="397"/>
      <c r="DKN10" s="397"/>
      <c r="DKO10" s="397"/>
      <c r="DKP10" s="397"/>
      <c r="DKQ10" s="397"/>
      <c r="DKR10" s="397"/>
      <c r="DKS10" s="397"/>
      <c r="DKT10" s="397"/>
      <c r="DKU10" s="397"/>
      <c r="DKV10" s="397"/>
      <c r="DKW10" s="397"/>
      <c r="DKX10" s="397"/>
      <c r="DKY10" s="397"/>
      <c r="DKZ10" s="397"/>
      <c r="DLA10" s="397"/>
      <c r="DLB10" s="397"/>
      <c r="DLC10" s="397"/>
      <c r="DLD10" s="397"/>
      <c r="DLE10" s="397"/>
      <c r="DLF10" s="397"/>
      <c r="DLG10" s="397"/>
      <c r="DLH10" s="397"/>
      <c r="DLI10" s="397"/>
      <c r="DLJ10" s="397"/>
      <c r="DLK10" s="397"/>
      <c r="DLL10" s="397"/>
      <c r="DLM10" s="397"/>
      <c r="DLN10" s="397"/>
      <c r="DLO10" s="397"/>
      <c r="DLP10" s="397"/>
      <c r="DLQ10" s="397"/>
      <c r="DLR10" s="397"/>
      <c r="DLS10" s="397"/>
      <c r="DLT10" s="397"/>
      <c r="DLU10" s="397"/>
      <c r="DLV10" s="397"/>
      <c r="DLW10" s="397"/>
      <c r="DLX10" s="397"/>
      <c r="DLY10" s="397"/>
      <c r="DLZ10" s="397"/>
      <c r="DMA10" s="397"/>
      <c r="DMB10" s="397"/>
      <c r="DMC10" s="397"/>
      <c r="DMD10" s="397"/>
      <c r="DME10" s="397"/>
      <c r="DMF10" s="397"/>
      <c r="DMG10" s="397"/>
      <c r="DMH10" s="397"/>
      <c r="DMI10" s="397"/>
      <c r="DMJ10" s="397"/>
      <c r="DMK10" s="397"/>
      <c r="DML10" s="397"/>
      <c r="DMM10" s="397"/>
      <c r="DMN10" s="397"/>
      <c r="DMO10" s="397"/>
      <c r="DMP10" s="397"/>
      <c r="DMQ10" s="397"/>
      <c r="DMR10" s="397"/>
      <c r="DMS10" s="397"/>
      <c r="DMT10" s="397"/>
      <c r="DMU10" s="397"/>
      <c r="DMV10" s="397"/>
      <c r="DMW10" s="397"/>
      <c r="DMX10" s="397"/>
      <c r="DMY10" s="397"/>
      <c r="DMZ10" s="397"/>
      <c r="DNA10" s="397"/>
      <c r="DNB10" s="397"/>
      <c r="DNC10" s="397"/>
      <c r="DND10" s="397"/>
      <c r="DNE10" s="397"/>
      <c r="DNF10" s="397"/>
      <c r="DNG10" s="397"/>
      <c r="DNH10" s="397"/>
      <c r="DNI10" s="397"/>
      <c r="DNJ10" s="397"/>
      <c r="DNK10" s="397"/>
      <c r="DNL10" s="397"/>
      <c r="DNM10" s="397"/>
      <c r="DNN10" s="397"/>
      <c r="DNO10" s="397"/>
      <c r="DNP10" s="397"/>
      <c r="DNQ10" s="397"/>
      <c r="DNR10" s="397"/>
      <c r="DNS10" s="397"/>
      <c r="DNT10" s="397"/>
      <c r="DNU10" s="397"/>
      <c r="DNV10" s="397"/>
      <c r="DNW10" s="397"/>
      <c r="DNX10" s="397"/>
      <c r="DNY10" s="397"/>
      <c r="DNZ10" s="397"/>
      <c r="DOA10" s="397"/>
      <c r="DOB10" s="397"/>
      <c r="DOC10" s="397"/>
      <c r="DOD10" s="397"/>
      <c r="DOE10" s="397"/>
      <c r="DOF10" s="397"/>
      <c r="DOG10" s="397"/>
      <c r="DOH10" s="397"/>
      <c r="DOI10" s="397"/>
      <c r="DOJ10" s="397"/>
      <c r="DOK10" s="397"/>
      <c r="DOL10" s="397"/>
      <c r="DOM10" s="397"/>
      <c r="DON10" s="397"/>
      <c r="DOO10" s="397"/>
      <c r="DOP10" s="397"/>
      <c r="DOQ10" s="397"/>
      <c r="DOR10" s="397"/>
      <c r="DOS10" s="397"/>
      <c r="DOT10" s="397"/>
      <c r="DOU10" s="397"/>
      <c r="DOV10" s="397"/>
      <c r="DOW10" s="397"/>
      <c r="DOX10" s="397"/>
      <c r="DOY10" s="397"/>
      <c r="DOZ10" s="397"/>
      <c r="DPA10" s="397"/>
      <c r="DPB10" s="397"/>
      <c r="DPC10" s="397"/>
      <c r="DPD10" s="397"/>
      <c r="DPE10" s="397"/>
      <c r="DPF10" s="397"/>
      <c r="DPG10" s="397"/>
      <c r="DPH10" s="397"/>
      <c r="DPI10" s="397"/>
      <c r="DPJ10" s="397"/>
      <c r="DPK10" s="397"/>
      <c r="DPL10" s="397"/>
      <c r="DPM10" s="397"/>
      <c r="DPN10" s="397"/>
      <c r="DPO10" s="397"/>
      <c r="DPP10" s="397"/>
      <c r="DPQ10" s="397"/>
      <c r="DPR10" s="397"/>
      <c r="DPS10" s="397"/>
      <c r="DPT10" s="397"/>
      <c r="DPU10" s="397"/>
      <c r="DPV10" s="397"/>
      <c r="DPW10" s="397"/>
      <c r="DPX10" s="397"/>
      <c r="DPY10" s="397"/>
      <c r="DPZ10" s="397"/>
      <c r="DQA10" s="397"/>
      <c r="DQB10" s="397"/>
      <c r="DQC10" s="397"/>
      <c r="DQD10" s="397"/>
      <c r="DQE10" s="397"/>
      <c r="DQF10" s="397"/>
      <c r="DQG10" s="397"/>
      <c r="DQH10" s="397"/>
      <c r="DQI10" s="397"/>
      <c r="DQJ10" s="397"/>
      <c r="DQK10" s="397"/>
      <c r="DQL10" s="397"/>
      <c r="DQM10" s="397"/>
      <c r="DQN10" s="397"/>
      <c r="DQO10" s="397"/>
      <c r="DQP10" s="397"/>
      <c r="DQQ10" s="397"/>
      <c r="DQR10" s="397"/>
      <c r="DQS10" s="397"/>
      <c r="DQT10" s="397"/>
      <c r="DQU10" s="397"/>
      <c r="DQV10" s="397"/>
      <c r="DQW10" s="397"/>
      <c r="DQX10" s="397"/>
      <c r="DQY10" s="397"/>
      <c r="DQZ10" s="397"/>
      <c r="DRA10" s="397"/>
      <c r="DRB10" s="397"/>
      <c r="DRC10" s="397"/>
      <c r="DRD10" s="397"/>
      <c r="DRE10" s="397"/>
      <c r="DRF10" s="397"/>
      <c r="DRG10" s="397"/>
      <c r="DRH10" s="397"/>
      <c r="DRI10" s="397"/>
      <c r="DRJ10" s="397"/>
      <c r="DRK10" s="397"/>
      <c r="DRL10" s="397"/>
      <c r="DRM10" s="397"/>
      <c r="DRN10" s="397"/>
      <c r="DRO10" s="397"/>
      <c r="DRP10" s="397"/>
      <c r="DRQ10" s="397"/>
      <c r="DRR10" s="397"/>
      <c r="DRS10" s="397"/>
      <c r="DRT10" s="397"/>
      <c r="DRU10" s="397"/>
      <c r="DRV10" s="397"/>
      <c r="DRW10" s="397"/>
      <c r="DRX10" s="397"/>
      <c r="DRY10" s="397"/>
      <c r="DRZ10" s="397"/>
      <c r="DSA10" s="397"/>
      <c r="DSB10" s="397"/>
      <c r="DSC10" s="397"/>
      <c r="DSD10" s="397"/>
      <c r="DSE10" s="397"/>
      <c r="DSF10" s="397"/>
      <c r="DSG10" s="397"/>
      <c r="DSH10" s="397"/>
      <c r="DSI10" s="397"/>
      <c r="DSJ10" s="397"/>
      <c r="DSK10" s="397"/>
      <c r="DSL10" s="397"/>
      <c r="DSM10" s="397"/>
      <c r="DSN10" s="397"/>
      <c r="DSO10" s="397"/>
      <c r="DSP10" s="397"/>
      <c r="DSQ10" s="397"/>
      <c r="DSR10" s="397"/>
      <c r="DSS10" s="397"/>
      <c r="DST10" s="397"/>
      <c r="DSU10" s="397"/>
      <c r="DSV10" s="397"/>
      <c r="DSW10" s="397"/>
      <c r="DSX10" s="397"/>
      <c r="DSY10" s="397"/>
      <c r="DSZ10" s="397"/>
      <c r="DTA10" s="397"/>
      <c r="DTB10" s="397"/>
      <c r="DTC10" s="397"/>
      <c r="DTD10" s="397"/>
      <c r="DTE10" s="397"/>
      <c r="DTF10" s="397"/>
      <c r="DTG10" s="397"/>
      <c r="DTH10" s="397"/>
      <c r="DTI10" s="397"/>
      <c r="DTJ10" s="397"/>
      <c r="DTK10" s="397"/>
      <c r="DTL10" s="397"/>
      <c r="DTM10" s="397"/>
      <c r="DTN10" s="397"/>
      <c r="DTO10" s="397"/>
      <c r="DTP10" s="397"/>
      <c r="DTQ10" s="397"/>
      <c r="DTR10" s="397"/>
      <c r="DTS10" s="397"/>
      <c r="DTT10" s="397"/>
      <c r="DTU10" s="397"/>
      <c r="DTV10" s="397"/>
      <c r="DTW10" s="397"/>
      <c r="DTX10" s="397"/>
      <c r="DTY10" s="397"/>
      <c r="DTZ10" s="397"/>
      <c r="DUA10" s="397"/>
      <c r="DUB10" s="397"/>
      <c r="DUC10" s="397"/>
      <c r="DUD10" s="397"/>
      <c r="DUE10" s="397"/>
      <c r="DUF10" s="397"/>
      <c r="DUG10" s="397"/>
      <c r="DUH10" s="397"/>
      <c r="DUI10" s="397"/>
      <c r="DUJ10" s="397"/>
      <c r="DUK10" s="397"/>
      <c r="DUL10" s="397"/>
      <c r="DUM10" s="397"/>
      <c r="DUN10" s="397"/>
      <c r="DUO10" s="397"/>
      <c r="DUP10" s="397"/>
      <c r="DUQ10" s="397"/>
      <c r="DUR10" s="397"/>
      <c r="DUS10" s="397"/>
      <c r="DUT10" s="397"/>
      <c r="DUU10" s="397"/>
      <c r="DUV10" s="397"/>
      <c r="DUW10" s="397"/>
      <c r="DUX10" s="397"/>
      <c r="DUY10" s="397"/>
      <c r="DUZ10" s="397"/>
      <c r="DVA10" s="397"/>
      <c r="DVB10" s="397"/>
      <c r="DVC10" s="397"/>
      <c r="DVD10" s="397"/>
      <c r="DVE10" s="397"/>
      <c r="DVF10" s="397"/>
      <c r="DVG10" s="397"/>
      <c r="DVH10" s="397"/>
      <c r="DVI10" s="397"/>
      <c r="DVJ10" s="397"/>
      <c r="DVK10" s="397"/>
      <c r="DVL10" s="397"/>
      <c r="DVM10" s="397"/>
      <c r="DVN10" s="397"/>
      <c r="DVO10" s="397"/>
      <c r="DVP10" s="397"/>
      <c r="DVQ10" s="397"/>
      <c r="DVR10" s="397"/>
      <c r="DVS10" s="397"/>
      <c r="DVT10" s="397"/>
      <c r="DVU10" s="397"/>
      <c r="DVV10" s="397"/>
      <c r="DVW10" s="397"/>
      <c r="DVX10" s="397"/>
      <c r="DVY10" s="397"/>
      <c r="DVZ10" s="397"/>
      <c r="DWA10" s="397"/>
      <c r="DWB10" s="397"/>
      <c r="DWC10" s="397"/>
      <c r="DWD10" s="397"/>
      <c r="DWE10" s="397"/>
      <c r="DWF10" s="397"/>
      <c r="DWG10" s="397"/>
      <c r="DWH10" s="397"/>
      <c r="DWI10" s="397"/>
      <c r="DWJ10" s="397"/>
      <c r="DWK10" s="397"/>
      <c r="DWL10" s="397"/>
      <c r="DWM10" s="397"/>
      <c r="DWN10" s="397"/>
      <c r="DWO10" s="397"/>
      <c r="DWP10" s="397"/>
      <c r="DWQ10" s="397"/>
      <c r="DWR10" s="397"/>
      <c r="DWS10" s="397"/>
      <c r="DWT10" s="397"/>
      <c r="DWU10" s="397"/>
      <c r="DWV10" s="397"/>
      <c r="DWW10" s="397"/>
      <c r="DWX10" s="397"/>
      <c r="DWY10" s="397"/>
      <c r="DWZ10" s="397"/>
      <c r="DXA10" s="397"/>
      <c r="DXB10" s="397"/>
      <c r="DXC10" s="397"/>
      <c r="DXD10" s="397"/>
      <c r="DXE10" s="397"/>
      <c r="DXF10" s="397"/>
      <c r="DXG10" s="397"/>
      <c r="DXH10" s="397"/>
      <c r="DXI10" s="397"/>
      <c r="DXJ10" s="397"/>
      <c r="DXK10" s="397"/>
      <c r="DXL10" s="397"/>
      <c r="DXM10" s="397"/>
      <c r="DXN10" s="397"/>
      <c r="DXO10" s="397"/>
      <c r="DXP10" s="397"/>
      <c r="DXQ10" s="397"/>
      <c r="DXR10" s="397"/>
      <c r="DXS10" s="397"/>
      <c r="DXT10" s="397"/>
      <c r="DXU10" s="397"/>
      <c r="DXV10" s="397"/>
      <c r="DXW10" s="397"/>
      <c r="DXX10" s="397"/>
      <c r="DXY10" s="397"/>
      <c r="DXZ10" s="397"/>
      <c r="DYA10" s="397"/>
      <c r="DYB10" s="397"/>
      <c r="DYC10" s="397"/>
      <c r="DYD10" s="397"/>
      <c r="DYE10" s="397"/>
      <c r="DYF10" s="397"/>
      <c r="DYG10" s="397"/>
      <c r="DYH10" s="397"/>
      <c r="DYI10" s="397"/>
      <c r="DYJ10" s="397"/>
      <c r="DYK10" s="397"/>
      <c r="DYL10" s="397"/>
      <c r="DYM10" s="397"/>
      <c r="DYN10" s="397"/>
      <c r="DYO10" s="397"/>
      <c r="DYP10" s="397"/>
      <c r="DYQ10" s="397"/>
      <c r="DYR10" s="397"/>
      <c r="DYS10" s="397"/>
      <c r="DYT10" s="397"/>
      <c r="DYU10" s="397"/>
      <c r="DYV10" s="397"/>
      <c r="DYW10" s="397"/>
      <c r="DYX10" s="397"/>
      <c r="DYY10" s="397"/>
      <c r="DYZ10" s="397"/>
      <c r="DZA10" s="397"/>
      <c r="DZB10" s="397"/>
      <c r="DZC10" s="397"/>
      <c r="DZD10" s="397"/>
      <c r="DZE10" s="397"/>
      <c r="DZF10" s="397"/>
      <c r="DZG10" s="397"/>
      <c r="DZH10" s="397"/>
      <c r="DZI10" s="397"/>
      <c r="DZJ10" s="397"/>
      <c r="DZK10" s="397"/>
      <c r="DZL10" s="397"/>
      <c r="DZM10" s="397"/>
      <c r="DZN10" s="397"/>
      <c r="DZO10" s="397"/>
      <c r="DZP10" s="397"/>
      <c r="DZQ10" s="397"/>
      <c r="DZR10" s="397"/>
      <c r="DZS10" s="397"/>
      <c r="DZT10" s="397"/>
      <c r="DZU10" s="397"/>
      <c r="DZV10" s="397"/>
      <c r="DZW10" s="397"/>
      <c r="DZX10" s="397"/>
      <c r="DZY10" s="397"/>
      <c r="DZZ10" s="397"/>
      <c r="EAA10" s="397"/>
      <c r="EAB10" s="397"/>
      <c r="EAC10" s="397"/>
      <c r="EAD10" s="397"/>
      <c r="EAE10" s="397"/>
      <c r="EAF10" s="397"/>
      <c r="EAG10" s="397"/>
      <c r="EAH10" s="397"/>
      <c r="EAI10" s="397"/>
      <c r="EAJ10" s="397"/>
      <c r="EAK10" s="397"/>
      <c r="EAL10" s="397"/>
      <c r="EAM10" s="397"/>
      <c r="EAN10" s="397"/>
      <c r="EAO10" s="397"/>
      <c r="EAP10" s="397"/>
      <c r="EAQ10" s="397"/>
      <c r="EAR10" s="397"/>
      <c r="EAS10" s="397"/>
      <c r="EAT10" s="397"/>
      <c r="EAU10" s="397"/>
      <c r="EAV10" s="397"/>
      <c r="EAW10" s="397"/>
      <c r="EAX10" s="397"/>
      <c r="EAY10" s="397"/>
      <c r="EAZ10" s="397"/>
      <c r="EBA10" s="397"/>
      <c r="EBB10" s="397"/>
      <c r="EBC10" s="397"/>
      <c r="EBD10" s="397"/>
      <c r="EBE10" s="397"/>
      <c r="EBF10" s="397"/>
      <c r="EBG10" s="397"/>
      <c r="EBH10" s="397"/>
      <c r="EBI10" s="397"/>
      <c r="EBJ10" s="397"/>
      <c r="EBK10" s="397"/>
      <c r="EBL10" s="397"/>
      <c r="EBM10" s="397"/>
      <c r="EBN10" s="397"/>
      <c r="EBO10" s="397"/>
      <c r="EBP10" s="397"/>
      <c r="EBQ10" s="397"/>
      <c r="EBR10" s="397"/>
      <c r="EBS10" s="397"/>
      <c r="EBT10" s="397"/>
      <c r="EBU10" s="397"/>
      <c r="EBV10" s="397"/>
      <c r="EBW10" s="397"/>
      <c r="EBX10" s="397"/>
      <c r="EBY10" s="397"/>
      <c r="EBZ10" s="397"/>
      <c r="ECA10" s="397"/>
      <c r="ECB10" s="397"/>
      <c r="ECC10" s="397"/>
      <c r="ECD10" s="397"/>
      <c r="ECE10" s="397"/>
      <c r="ECF10" s="397"/>
      <c r="ECG10" s="397"/>
      <c r="ECH10" s="397"/>
      <c r="ECI10" s="397"/>
      <c r="ECJ10" s="397"/>
      <c r="ECK10" s="397"/>
      <c r="ECL10" s="397"/>
      <c r="ECM10" s="397"/>
      <c r="ECN10" s="397"/>
      <c r="ECO10" s="397"/>
      <c r="ECP10" s="397"/>
      <c r="ECQ10" s="397"/>
      <c r="ECR10" s="397"/>
      <c r="ECS10" s="397"/>
      <c r="ECT10" s="397"/>
      <c r="ECU10" s="397"/>
      <c r="ECV10" s="397"/>
      <c r="ECW10" s="397"/>
      <c r="ECX10" s="397"/>
      <c r="ECY10" s="397"/>
      <c r="ECZ10" s="397"/>
      <c r="EDA10" s="397"/>
      <c r="EDB10" s="397"/>
      <c r="EDC10" s="397"/>
      <c r="EDD10" s="397"/>
      <c r="EDE10" s="397"/>
      <c r="EDF10" s="397"/>
      <c r="EDG10" s="397"/>
      <c r="EDH10" s="397"/>
      <c r="EDI10" s="397"/>
      <c r="EDJ10" s="397"/>
      <c r="EDK10" s="397"/>
      <c r="EDL10" s="397"/>
      <c r="EDM10" s="397"/>
      <c r="EDN10" s="397"/>
      <c r="EDO10" s="397"/>
      <c r="EDP10" s="397"/>
      <c r="EDQ10" s="397"/>
      <c r="EDR10" s="397"/>
      <c r="EDS10" s="397"/>
      <c r="EDT10" s="397"/>
      <c r="EDU10" s="397"/>
      <c r="EDV10" s="397"/>
      <c r="EDW10" s="397"/>
      <c r="EDX10" s="397"/>
      <c r="EDY10" s="397"/>
      <c r="EDZ10" s="397"/>
      <c r="EEA10" s="397"/>
      <c r="EEB10" s="397"/>
      <c r="EEC10" s="397"/>
      <c r="EED10" s="397"/>
      <c r="EEE10" s="397"/>
      <c r="EEF10" s="397"/>
      <c r="EEG10" s="397"/>
      <c r="EEH10" s="397"/>
      <c r="EEI10" s="397"/>
      <c r="EEJ10" s="397"/>
      <c r="EEK10" s="397"/>
      <c r="EEL10" s="397"/>
      <c r="EEM10" s="397"/>
      <c r="EEN10" s="397"/>
      <c r="EEO10" s="397"/>
      <c r="EEP10" s="397"/>
      <c r="EEQ10" s="397"/>
      <c r="EER10" s="397"/>
      <c r="EES10" s="397"/>
      <c r="EET10" s="397"/>
      <c r="EEU10" s="397"/>
      <c r="EEV10" s="397"/>
      <c r="EEW10" s="397"/>
      <c r="EEX10" s="397"/>
      <c r="EEY10" s="397"/>
      <c r="EEZ10" s="397"/>
      <c r="EFA10" s="397"/>
      <c r="EFB10" s="397"/>
      <c r="EFC10" s="397"/>
      <c r="EFD10" s="397"/>
      <c r="EFE10" s="397"/>
      <c r="EFF10" s="397"/>
      <c r="EFG10" s="397"/>
      <c r="EFH10" s="397"/>
      <c r="EFI10" s="397"/>
      <c r="EFJ10" s="397"/>
      <c r="EFK10" s="397"/>
      <c r="EFL10" s="397"/>
      <c r="EFM10" s="397"/>
      <c r="EFN10" s="397"/>
      <c r="EFO10" s="397"/>
      <c r="EFP10" s="397"/>
      <c r="EFQ10" s="397"/>
      <c r="EFR10" s="397"/>
      <c r="EFS10" s="397"/>
      <c r="EFT10" s="397"/>
      <c r="EFU10" s="397"/>
      <c r="EFV10" s="397"/>
      <c r="EFW10" s="397"/>
      <c r="EFX10" s="397"/>
      <c r="EFY10" s="397"/>
      <c r="EFZ10" s="397"/>
      <c r="EGA10" s="397"/>
      <c r="EGB10" s="397"/>
      <c r="EGC10" s="397"/>
      <c r="EGD10" s="397"/>
      <c r="EGE10" s="397"/>
      <c r="EGF10" s="397"/>
      <c r="EGG10" s="397"/>
      <c r="EGH10" s="397"/>
      <c r="EGI10" s="397"/>
      <c r="EGJ10" s="397"/>
      <c r="EGK10" s="397"/>
      <c r="EGL10" s="397"/>
      <c r="EGM10" s="397"/>
      <c r="EGN10" s="397"/>
      <c r="EGO10" s="397"/>
      <c r="EGP10" s="397"/>
      <c r="EGQ10" s="397"/>
      <c r="EGR10" s="397"/>
      <c r="EGS10" s="397"/>
      <c r="EGT10" s="397"/>
      <c r="EGU10" s="397"/>
      <c r="EGV10" s="397"/>
      <c r="EGW10" s="397"/>
      <c r="EGX10" s="397"/>
      <c r="EGY10" s="397"/>
      <c r="EGZ10" s="397"/>
      <c r="EHA10" s="397"/>
      <c r="EHB10" s="397"/>
      <c r="EHC10" s="397"/>
      <c r="EHD10" s="397"/>
      <c r="EHE10" s="397"/>
      <c r="EHF10" s="397"/>
      <c r="EHG10" s="397"/>
      <c r="EHH10" s="397"/>
      <c r="EHI10" s="397"/>
      <c r="EHJ10" s="397"/>
      <c r="EHK10" s="397"/>
      <c r="EHL10" s="397"/>
      <c r="EHM10" s="397"/>
      <c r="EHN10" s="397"/>
      <c r="EHO10" s="397"/>
      <c r="EHP10" s="397"/>
      <c r="EHQ10" s="397"/>
      <c r="EHR10" s="397"/>
      <c r="EHS10" s="397"/>
      <c r="EHT10" s="397"/>
      <c r="EHU10" s="397"/>
      <c r="EHV10" s="397"/>
      <c r="EHW10" s="397"/>
      <c r="EHX10" s="397"/>
      <c r="EHY10" s="397"/>
      <c r="EHZ10" s="397"/>
      <c r="EIA10" s="397"/>
      <c r="EIB10" s="397"/>
      <c r="EIC10" s="397"/>
      <c r="EID10" s="397"/>
      <c r="EIE10" s="397"/>
      <c r="EIF10" s="397"/>
      <c r="EIG10" s="397"/>
      <c r="EIH10" s="397"/>
      <c r="EII10" s="397"/>
      <c r="EIJ10" s="397"/>
      <c r="EIK10" s="397"/>
      <c r="EIL10" s="397"/>
      <c r="EIM10" s="397"/>
      <c r="EIN10" s="397"/>
      <c r="EIO10" s="397"/>
      <c r="EIP10" s="397"/>
      <c r="EIQ10" s="397"/>
      <c r="EIR10" s="397"/>
      <c r="EIS10" s="397"/>
      <c r="EIT10" s="397"/>
      <c r="EIU10" s="397"/>
      <c r="EIV10" s="397"/>
      <c r="EIW10" s="397"/>
      <c r="EIX10" s="397"/>
      <c r="EIY10" s="397"/>
      <c r="EIZ10" s="397"/>
      <c r="EJA10" s="397"/>
      <c r="EJB10" s="397"/>
      <c r="EJC10" s="397"/>
      <c r="EJD10" s="397"/>
      <c r="EJE10" s="397"/>
      <c r="EJF10" s="397"/>
      <c r="EJG10" s="397"/>
      <c r="EJH10" s="397"/>
      <c r="EJI10" s="397"/>
      <c r="EJJ10" s="397"/>
      <c r="EJK10" s="397"/>
      <c r="EJL10" s="397"/>
      <c r="EJM10" s="397"/>
      <c r="EJN10" s="397"/>
      <c r="EJO10" s="397"/>
      <c r="EJP10" s="397"/>
      <c r="EJQ10" s="397"/>
      <c r="EJR10" s="397"/>
      <c r="EJS10" s="397"/>
      <c r="EJT10" s="397"/>
      <c r="EJU10" s="397"/>
      <c r="EJV10" s="397"/>
      <c r="EJW10" s="397"/>
      <c r="EJX10" s="397"/>
      <c r="EJY10" s="397"/>
      <c r="EJZ10" s="397"/>
      <c r="EKA10" s="397"/>
      <c r="EKB10" s="397"/>
      <c r="EKC10" s="397"/>
      <c r="EKD10" s="397"/>
      <c r="EKE10" s="397"/>
      <c r="EKF10" s="397"/>
      <c r="EKG10" s="397"/>
      <c r="EKH10" s="397"/>
      <c r="EKI10" s="397"/>
      <c r="EKJ10" s="397"/>
      <c r="EKK10" s="397"/>
      <c r="EKL10" s="397"/>
      <c r="EKM10" s="397"/>
      <c r="EKN10" s="397"/>
      <c r="EKO10" s="397"/>
      <c r="EKP10" s="397"/>
      <c r="EKQ10" s="397"/>
      <c r="EKR10" s="397"/>
      <c r="EKS10" s="397"/>
      <c r="EKT10" s="397"/>
      <c r="EKU10" s="397"/>
      <c r="EKV10" s="397"/>
      <c r="EKW10" s="397"/>
      <c r="EKX10" s="397"/>
      <c r="EKY10" s="397"/>
      <c r="EKZ10" s="397"/>
      <c r="ELA10" s="397"/>
      <c r="ELB10" s="397"/>
      <c r="ELC10" s="397"/>
      <c r="ELD10" s="397"/>
      <c r="ELE10" s="397"/>
      <c r="ELF10" s="397"/>
      <c r="ELG10" s="397"/>
      <c r="ELH10" s="397"/>
      <c r="ELI10" s="397"/>
      <c r="ELJ10" s="397"/>
      <c r="ELK10" s="397"/>
      <c r="ELL10" s="397"/>
      <c r="ELM10" s="397"/>
      <c r="ELN10" s="397"/>
      <c r="ELO10" s="397"/>
      <c r="ELP10" s="397"/>
      <c r="ELQ10" s="397"/>
      <c r="ELR10" s="397"/>
      <c r="ELS10" s="397"/>
      <c r="ELT10" s="397"/>
      <c r="ELU10" s="397"/>
      <c r="ELV10" s="397"/>
      <c r="ELW10" s="397"/>
      <c r="ELX10" s="397"/>
      <c r="ELY10" s="397"/>
      <c r="ELZ10" s="397"/>
      <c r="EMA10" s="397"/>
      <c r="EMB10" s="397"/>
      <c r="EMC10" s="397"/>
      <c r="EMD10" s="397"/>
      <c r="EME10" s="397"/>
      <c r="EMF10" s="397"/>
      <c r="EMG10" s="397"/>
      <c r="EMH10" s="397"/>
      <c r="EMI10" s="397"/>
      <c r="EMJ10" s="397"/>
      <c r="EMK10" s="397"/>
      <c r="EML10" s="397"/>
      <c r="EMM10" s="397"/>
      <c r="EMN10" s="397"/>
      <c r="EMO10" s="397"/>
      <c r="EMP10" s="397"/>
      <c r="EMQ10" s="397"/>
      <c r="EMR10" s="397"/>
      <c r="EMS10" s="397"/>
      <c r="EMT10" s="397"/>
      <c r="EMU10" s="397"/>
      <c r="EMV10" s="397"/>
      <c r="EMW10" s="397"/>
      <c r="EMX10" s="397"/>
      <c r="EMY10" s="397"/>
      <c r="EMZ10" s="397"/>
      <c r="ENA10" s="397"/>
      <c r="ENB10" s="397"/>
      <c r="ENC10" s="397"/>
      <c r="END10" s="397"/>
      <c r="ENE10" s="397"/>
      <c r="ENF10" s="397"/>
      <c r="ENG10" s="397"/>
      <c r="ENH10" s="397"/>
      <c r="ENI10" s="397"/>
      <c r="ENJ10" s="397"/>
      <c r="ENK10" s="397"/>
      <c r="ENL10" s="397"/>
      <c r="ENM10" s="397"/>
      <c r="ENN10" s="397"/>
      <c r="ENO10" s="397"/>
      <c r="ENP10" s="397"/>
      <c r="ENQ10" s="397"/>
      <c r="ENR10" s="397"/>
      <c r="ENS10" s="397"/>
      <c r="ENT10" s="397"/>
      <c r="ENU10" s="397"/>
      <c r="ENV10" s="397"/>
      <c r="ENW10" s="397"/>
      <c r="ENX10" s="397"/>
      <c r="ENY10" s="397"/>
      <c r="ENZ10" s="397"/>
      <c r="EOA10" s="397"/>
      <c r="EOB10" s="397"/>
      <c r="EOC10" s="397"/>
      <c r="EOD10" s="397"/>
      <c r="EOE10" s="397"/>
      <c r="EOF10" s="397"/>
      <c r="EOG10" s="397"/>
      <c r="EOH10" s="397"/>
      <c r="EOI10" s="397"/>
      <c r="EOJ10" s="397"/>
      <c r="EOK10" s="397"/>
      <c r="EOL10" s="397"/>
      <c r="EOM10" s="397"/>
      <c r="EON10" s="397"/>
      <c r="EOO10" s="397"/>
      <c r="EOP10" s="397"/>
      <c r="EOQ10" s="397"/>
      <c r="EOR10" s="397"/>
      <c r="EOS10" s="397"/>
      <c r="EOT10" s="397"/>
      <c r="EOU10" s="397"/>
      <c r="EOV10" s="397"/>
      <c r="EOW10" s="397"/>
      <c r="EOX10" s="397"/>
      <c r="EOY10" s="397"/>
      <c r="EOZ10" s="397"/>
      <c r="EPA10" s="397"/>
      <c r="EPB10" s="397"/>
      <c r="EPC10" s="397"/>
      <c r="EPD10" s="397"/>
      <c r="EPE10" s="397"/>
      <c r="EPF10" s="397"/>
      <c r="EPG10" s="397"/>
      <c r="EPH10" s="397"/>
      <c r="EPI10" s="397"/>
      <c r="EPJ10" s="397"/>
      <c r="EPK10" s="397"/>
      <c r="EPL10" s="397"/>
      <c r="EPM10" s="397"/>
      <c r="EPN10" s="397"/>
      <c r="EPO10" s="397"/>
      <c r="EPP10" s="397"/>
      <c r="EPQ10" s="397"/>
      <c r="EPR10" s="397"/>
      <c r="EPS10" s="397"/>
      <c r="EPT10" s="397"/>
      <c r="EPU10" s="397"/>
      <c r="EPV10" s="397"/>
      <c r="EPW10" s="397"/>
      <c r="EPX10" s="397"/>
      <c r="EPY10" s="397"/>
      <c r="EPZ10" s="397"/>
      <c r="EQA10" s="397"/>
      <c r="EQB10" s="397"/>
      <c r="EQC10" s="397"/>
      <c r="EQD10" s="397"/>
      <c r="EQE10" s="397"/>
      <c r="EQF10" s="397"/>
      <c r="EQG10" s="397"/>
      <c r="EQH10" s="397"/>
      <c r="EQI10" s="397"/>
      <c r="EQJ10" s="397"/>
      <c r="EQK10" s="397"/>
      <c r="EQL10" s="397"/>
      <c r="EQM10" s="397"/>
      <c r="EQN10" s="397"/>
      <c r="EQO10" s="397"/>
      <c r="EQP10" s="397"/>
      <c r="EQQ10" s="397"/>
      <c r="EQR10" s="397"/>
      <c r="EQS10" s="397"/>
      <c r="EQT10" s="397"/>
      <c r="EQU10" s="397"/>
      <c r="EQV10" s="397"/>
      <c r="EQW10" s="397"/>
      <c r="EQX10" s="397"/>
      <c r="EQY10" s="397"/>
      <c r="EQZ10" s="397"/>
      <c r="ERA10" s="397"/>
      <c r="ERB10" s="397"/>
      <c r="ERC10" s="397"/>
      <c r="ERD10" s="397"/>
      <c r="ERE10" s="397"/>
      <c r="ERF10" s="397"/>
      <c r="ERG10" s="397"/>
      <c r="ERH10" s="397"/>
      <c r="ERI10" s="397"/>
      <c r="ERJ10" s="397"/>
      <c r="ERK10" s="397"/>
      <c r="ERL10" s="397"/>
      <c r="ERM10" s="397"/>
      <c r="ERN10" s="397"/>
      <c r="ERO10" s="397"/>
      <c r="ERP10" s="397"/>
      <c r="ERQ10" s="397"/>
      <c r="ERR10" s="397"/>
      <c r="ERS10" s="397"/>
      <c r="ERT10" s="397"/>
      <c r="ERU10" s="397"/>
      <c r="ERV10" s="397"/>
      <c r="ERW10" s="397"/>
      <c r="ERX10" s="397"/>
      <c r="ERY10" s="397"/>
      <c r="ERZ10" s="397"/>
      <c r="ESA10" s="397"/>
      <c r="ESB10" s="397"/>
      <c r="ESC10" s="397"/>
      <c r="ESD10" s="397"/>
      <c r="ESE10" s="397"/>
      <c r="ESF10" s="397"/>
      <c r="ESG10" s="397"/>
      <c r="ESH10" s="397"/>
      <c r="ESI10" s="397"/>
      <c r="ESJ10" s="397"/>
      <c r="ESK10" s="397"/>
      <c r="ESL10" s="397"/>
      <c r="ESM10" s="397"/>
      <c r="ESN10" s="397"/>
      <c r="ESO10" s="397"/>
      <c r="ESP10" s="397"/>
      <c r="ESQ10" s="397"/>
      <c r="ESR10" s="397"/>
      <c r="ESS10" s="397"/>
      <c r="EST10" s="397"/>
      <c r="ESU10" s="397"/>
      <c r="ESV10" s="397"/>
      <c r="ESW10" s="397"/>
      <c r="ESX10" s="397"/>
      <c r="ESY10" s="397"/>
      <c r="ESZ10" s="397"/>
      <c r="ETA10" s="397"/>
      <c r="ETB10" s="397"/>
      <c r="ETC10" s="397"/>
      <c r="ETD10" s="397"/>
      <c r="ETE10" s="397"/>
      <c r="ETF10" s="397"/>
      <c r="ETG10" s="397"/>
      <c r="ETH10" s="397"/>
      <c r="ETI10" s="397"/>
      <c r="ETJ10" s="397"/>
      <c r="ETK10" s="397"/>
      <c r="ETL10" s="397"/>
      <c r="ETM10" s="397"/>
      <c r="ETN10" s="397"/>
      <c r="ETO10" s="397"/>
      <c r="ETP10" s="397"/>
      <c r="ETQ10" s="397"/>
      <c r="ETR10" s="397"/>
      <c r="ETS10" s="397"/>
      <c r="ETT10" s="397"/>
      <c r="ETU10" s="397"/>
      <c r="ETV10" s="397"/>
      <c r="ETW10" s="397"/>
      <c r="ETX10" s="397"/>
      <c r="ETY10" s="397"/>
      <c r="ETZ10" s="397"/>
      <c r="EUA10" s="397"/>
      <c r="EUB10" s="397"/>
      <c r="EUC10" s="397"/>
      <c r="EUD10" s="397"/>
      <c r="EUE10" s="397"/>
      <c r="EUF10" s="397"/>
      <c r="EUG10" s="397"/>
      <c r="EUH10" s="397"/>
      <c r="EUI10" s="397"/>
      <c r="EUJ10" s="397"/>
      <c r="EUK10" s="397"/>
      <c r="EUL10" s="397"/>
      <c r="EUM10" s="397"/>
      <c r="EUN10" s="397"/>
      <c r="EUO10" s="397"/>
      <c r="EUP10" s="397"/>
      <c r="EUQ10" s="397"/>
      <c r="EUR10" s="397"/>
      <c r="EUS10" s="397"/>
      <c r="EUT10" s="397"/>
      <c r="EUU10" s="397"/>
      <c r="EUV10" s="397"/>
      <c r="EUW10" s="397"/>
      <c r="EUX10" s="397"/>
      <c r="EUY10" s="397"/>
      <c r="EUZ10" s="397"/>
      <c r="EVA10" s="397"/>
      <c r="EVB10" s="397"/>
      <c r="EVC10" s="397"/>
      <c r="EVD10" s="397"/>
      <c r="EVE10" s="397"/>
      <c r="EVF10" s="397"/>
      <c r="EVG10" s="397"/>
      <c r="EVH10" s="397"/>
      <c r="EVI10" s="397"/>
      <c r="EVJ10" s="397"/>
      <c r="EVK10" s="397"/>
      <c r="EVL10" s="397"/>
      <c r="EVM10" s="397"/>
      <c r="EVN10" s="397"/>
      <c r="EVO10" s="397"/>
      <c r="EVP10" s="397"/>
      <c r="EVQ10" s="397"/>
      <c r="EVR10" s="397"/>
      <c r="EVS10" s="397"/>
      <c r="EVT10" s="397"/>
      <c r="EVU10" s="397"/>
      <c r="EVV10" s="397"/>
      <c r="EVW10" s="397"/>
      <c r="EVX10" s="397"/>
      <c r="EVY10" s="397"/>
      <c r="EVZ10" s="397"/>
      <c r="EWA10" s="397"/>
      <c r="EWB10" s="397"/>
      <c r="EWC10" s="397"/>
      <c r="EWD10" s="397"/>
      <c r="EWE10" s="397"/>
      <c r="EWF10" s="397"/>
      <c r="EWG10" s="397"/>
      <c r="EWH10" s="397"/>
      <c r="EWI10" s="397"/>
      <c r="EWJ10" s="397"/>
      <c r="EWK10" s="397"/>
      <c r="EWL10" s="397"/>
      <c r="EWM10" s="397"/>
      <c r="EWN10" s="397"/>
      <c r="EWO10" s="397"/>
      <c r="EWP10" s="397"/>
      <c r="EWQ10" s="397"/>
      <c r="EWR10" s="397"/>
      <c r="EWS10" s="397"/>
      <c r="EWT10" s="397"/>
      <c r="EWU10" s="397"/>
      <c r="EWV10" s="397"/>
      <c r="EWW10" s="397"/>
      <c r="EWX10" s="397"/>
      <c r="EWY10" s="397"/>
      <c r="EWZ10" s="397"/>
      <c r="EXA10" s="397"/>
      <c r="EXB10" s="397"/>
      <c r="EXC10" s="397"/>
      <c r="EXD10" s="397"/>
      <c r="EXE10" s="397"/>
      <c r="EXF10" s="397"/>
      <c r="EXG10" s="397"/>
      <c r="EXH10" s="397"/>
      <c r="EXI10" s="397"/>
      <c r="EXJ10" s="397"/>
      <c r="EXK10" s="397"/>
      <c r="EXL10" s="397"/>
      <c r="EXM10" s="397"/>
      <c r="EXN10" s="397"/>
      <c r="EXO10" s="397"/>
      <c r="EXP10" s="397"/>
      <c r="EXQ10" s="397"/>
      <c r="EXR10" s="397"/>
      <c r="EXS10" s="397"/>
      <c r="EXT10" s="397"/>
      <c r="EXU10" s="397"/>
      <c r="EXV10" s="397"/>
      <c r="EXW10" s="397"/>
      <c r="EXX10" s="397"/>
      <c r="EXY10" s="397"/>
      <c r="EXZ10" s="397"/>
      <c r="EYA10" s="397"/>
      <c r="EYB10" s="397"/>
      <c r="EYC10" s="397"/>
      <c r="EYD10" s="397"/>
      <c r="EYE10" s="397"/>
      <c r="EYF10" s="397"/>
      <c r="EYG10" s="397"/>
      <c r="EYH10" s="397"/>
      <c r="EYI10" s="397"/>
      <c r="EYJ10" s="397"/>
      <c r="EYK10" s="397"/>
      <c r="EYL10" s="397"/>
      <c r="EYM10" s="397"/>
      <c r="EYN10" s="397"/>
      <c r="EYO10" s="397"/>
      <c r="EYP10" s="397"/>
      <c r="EYQ10" s="397"/>
      <c r="EYR10" s="397"/>
      <c r="EYS10" s="397"/>
      <c r="EYT10" s="397"/>
      <c r="EYU10" s="397"/>
      <c r="EYV10" s="397"/>
      <c r="EYW10" s="397"/>
      <c r="EYX10" s="397"/>
      <c r="EYY10" s="397"/>
      <c r="EYZ10" s="397"/>
      <c r="EZA10" s="397"/>
      <c r="EZB10" s="397"/>
      <c r="EZC10" s="397"/>
      <c r="EZD10" s="397"/>
      <c r="EZE10" s="397"/>
      <c r="EZF10" s="397"/>
      <c r="EZG10" s="397"/>
      <c r="EZH10" s="397"/>
      <c r="EZI10" s="397"/>
      <c r="EZJ10" s="397"/>
      <c r="EZK10" s="397"/>
      <c r="EZL10" s="397"/>
      <c r="EZM10" s="397"/>
      <c r="EZN10" s="397"/>
      <c r="EZO10" s="397"/>
      <c r="EZP10" s="397"/>
      <c r="EZQ10" s="397"/>
      <c r="EZR10" s="397"/>
      <c r="EZS10" s="397"/>
      <c r="EZT10" s="397"/>
      <c r="EZU10" s="397"/>
      <c r="EZV10" s="397"/>
      <c r="EZW10" s="397"/>
      <c r="EZX10" s="397"/>
      <c r="EZY10" s="397"/>
      <c r="EZZ10" s="397"/>
      <c r="FAA10" s="397"/>
      <c r="FAB10" s="397"/>
      <c r="FAC10" s="397"/>
      <c r="FAD10" s="397"/>
      <c r="FAE10" s="397"/>
      <c r="FAF10" s="397"/>
      <c r="FAG10" s="397"/>
      <c r="FAH10" s="397"/>
      <c r="FAI10" s="397"/>
      <c r="FAJ10" s="397"/>
      <c r="FAK10" s="397"/>
      <c r="FAL10" s="397"/>
      <c r="FAM10" s="397"/>
      <c r="FAN10" s="397"/>
      <c r="FAO10" s="397"/>
      <c r="FAP10" s="397"/>
      <c r="FAQ10" s="397"/>
      <c r="FAR10" s="397"/>
      <c r="FAS10" s="397"/>
      <c r="FAT10" s="397"/>
      <c r="FAU10" s="397"/>
      <c r="FAV10" s="397"/>
      <c r="FAW10" s="397"/>
      <c r="FAX10" s="397"/>
      <c r="FAY10" s="397"/>
      <c r="FAZ10" s="397"/>
      <c r="FBA10" s="397"/>
      <c r="FBB10" s="397"/>
      <c r="FBC10" s="397"/>
      <c r="FBD10" s="397"/>
      <c r="FBE10" s="397"/>
      <c r="FBF10" s="397"/>
      <c r="FBG10" s="397"/>
      <c r="FBH10" s="397"/>
      <c r="FBI10" s="397"/>
      <c r="FBJ10" s="397"/>
      <c r="FBK10" s="397"/>
      <c r="FBL10" s="397"/>
      <c r="FBM10" s="397"/>
      <c r="FBN10" s="397"/>
      <c r="FBO10" s="397"/>
      <c r="FBP10" s="397"/>
      <c r="FBQ10" s="397"/>
      <c r="FBR10" s="397"/>
      <c r="FBS10" s="397"/>
      <c r="FBT10" s="397"/>
      <c r="FBU10" s="397"/>
      <c r="FBV10" s="397"/>
      <c r="FBW10" s="397"/>
      <c r="FBX10" s="397"/>
      <c r="FBY10" s="397"/>
      <c r="FBZ10" s="397"/>
      <c r="FCA10" s="397"/>
      <c r="FCB10" s="397"/>
      <c r="FCC10" s="397"/>
      <c r="FCD10" s="397"/>
      <c r="FCE10" s="397"/>
      <c r="FCF10" s="397"/>
      <c r="FCG10" s="397"/>
      <c r="FCH10" s="397"/>
      <c r="FCI10" s="397"/>
      <c r="FCJ10" s="397"/>
      <c r="FCK10" s="397"/>
      <c r="FCL10" s="397"/>
      <c r="FCM10" s="397"/>
      <c r="FCN10" s="397"/>
      <c r="FCO10" s="397"/>
      <c r="FCP10" s="397"/>
      <c r="FCQ10" s="397"/>
      <c r="FCR10" s="397"/>
      <c r="FCS10" s="397"/>
      <c r="FCT10" s="397"/>
      <c r="FCU10" s="397"/>
      <c r="FCV10" s="397"/>
      <c r="FCW10" s="397"/>
      <c r="FCX10" s="397"/>
      <c r="FCY10" s="397"/>
      <c r="FCZ10" s="397"/>
      <c r="FDA10" s="397"/>
      <c r="FDB10" s="397"/>
      <c r="FDC10" s="397"/>
      <c r="FDD10" s="397"/>
      <c r="FDE10" s="397"/>
      <c r="FDF10" s="397"/>
      <c r="FDG10" s="397"/>
      <c r="FDH10" s="397"/>
      <c r="FDI10" s="397"/>
      <c r="FDJ10" s="397"/>
      <c r="FDK10" s="397"/>
      <c r="FDL10" s="397"/>
      <c r="FDM10" s="397"/>
      <c r="FDN10" s="397"/>
      <c r="FDO10" s="397"/>
      <c r="FDP10" s="397"/>
      <c r="FDQ10" s="397"/>
      <c r="FDR10" s="397"/>
      <c r="FDS10" s="397"/>
      <c r="FDT10" s="397"/>
      <c r="FDU10" s="397"/>
      <c r="FDV10" s="397"/>
      <c r="FDW10" s="397"/>
      <c r="FDX10" s="397"/>
      <c r="FDY10" s="397"/>
      <c r="FDZ10" s="397"/>
      <c r="FEA10" s="397"/>
      <c r="FEB10" s="397"/>
      <c r="FEC10" s="397"/>
      <c r="FED10" s="397"/>
      <c r="FEE10" s="397"/>
      <c r="FEF10" s="397"/>
      <c r="FEG10" s="397"/>
      <c r="FEH10" s="397"/>
      <c r="FEI10" s="397"/>
      <c r="FEJ10" s="397"/>
      <c r="FEK10" s="397"/>
      <c r="FEL10" s="397"/>
      <c r="FEM10" s="397"/>
      <c r="FEN10" s="397"/>
      <c r="FEO10" s="397"/>
      <c r="FEP10" s="397"/>
      <c r="FEQ10" s="397"/>
      <c r="FER10" s="397"/>
      <c r="FES10" s="397"/>
      <c r="FET10" s="397"/>
      <c r="FEU10" s="397"/>
      <c r="FEV10" s="397"/>
      <c r="FEW10" s="397"/>
      <c r="FEX10" s="397"/>
      <c r="FEY10" s="397"/>
      <c r="FEZ10" s="397"/>
      <c r="FFA10" s="397"/>
      <c r="FFB10" s="397"/>
      <c r="FFC10" s="397"/>
      <c r="FFD10" s="397"/>
      <c r="FFE10" s="397"/>
      <c r="FFF10" s="397"/>
      <c r="FFG10" s="397"/>
      <c r="FFH10" s="397"/>
      <c r="FFI10" s="397"/>
      <c r="FFJ10" s="397"/>
      <c r="FFK10" s="397"/>
      <c r="FFL10" s="397"/>
      <c r="FFM10" s="397"/>
      <c r="FFN10" s="397"/>
      <c r="FFO10" s="397"/>
      <c r="FFP10" s="397"/>
      <c r="FFQ10" s="397"/>
      <c r="FFR10" s="397"/>
      <c r="FFS10" s="397"/>
      <c r="FFT10" s="397"/>
      <c r="FFU10" s="397"/>
      <c r="FFV10" s="397"/>
      <c r="FFW10" s="397"/>
      <c r="FFX10" s="397"/>
      <c r="FFY10" s="397"/>
      <c r="FFZ10" s="397"/>
      <c r="FGA10" s="397"/>
      <c r="FGB10" s="397"/>
      <c r="FGC10" s="397"/>
      <c r="FGD10" s="397"/>
      <c r="FGE10" s="397"/>
      <c r="FGF10" s="397"/>
      <c r="FGG10" s="397"/>
      <c r="FGH10" s="397"/>
      <c r="FGI10" s="397"/>
      <c r="FGJ10" s="397"/>
      <c r="FGK10" s="397"/>
      <c r="FGL10" s="397"/>
      <c r="FGM10" s="397"/>
      <c r="FGN10" s="397"/>
      <c r="FGO10" s="397"/>
      <c r="FGP10" s="397"/>
      <c r="FGQ10" s="397"/>
      <c r="FGR10" s="397"/>
      <c r="FGS10" s="397"/>
      <c r="FGT10" s="397"/>
      <c r="FGU10" s="397"/>
      <c r="FGV10" s="397"/>
      <c r="FGW10" s="397"/>
      <c r="FGX10" s="397"/>
      <c r="FGY10" s="397"/>
      <c r="FGZ10" s="397"/>
      <c r="FHA10" s="397"/>
      <c r="FHB10" s="397"/>
      <c r="FHC10" s="397"/>
      <c r="FHD10" s="397"/>
      <c r="FHE10" s="397"/>
      <c r="FHF10" s="397"/>
      <c r="FHG10" s="397"/>
      <c r="FHH10" s="397"/>
      <c r="FHI10" s="397"/>
      <c r="FHJ10" s="397"/>
      <c r="FHK10" s="397"/>
      <c r="FHL10" s="397"/>
      <c r="FHM10" s="397"/>
      <c r="FHN10" s="397"/>
      <c r="FHO10" s="397"/>
      <c r="FHP10" s="397"/>
      <c r="FHQ10" s="397"/>
      <c r="FHR10" s="397"/>
      <c r="FHS10" s="397"/>
      <c r="FHT10" s="397"/>
      <c r="FHU10" s="397"/>
      <c r="FHV10" s="397"/>
      <c r="FHW10" s="397"/>
      <c r="FHX10" s="397"/>
      <c r="FHY10" s="397"/>
      <c r="FHZ10" s="397"/>
      <c r="FIA10" s="397"/>
      <c r="FIB10" s="397"/>
      <c r="FIC10" s="397"/>
      <c r="FID10" s="397"/>
      <c r="FIE10" s="397"/>
      <c r="FIF10" s="397"/>
      <c r="FIG10" s="397"/>
      <c r="FIH10" s="397"/>
      <c r="FII10" s="397"/>
      <c r="FIJ10" s="397"/>
      <c r="FIK10" s="397"/>
      <c r="FIL10" s="397"/>
      <c r="FIM10" s="397"/>
      <c r="FIN10" s="397"/>
      <c r="FIO10" s="397"/>
      <c r="FIP10" s="397"/>
      <c r="FIQ10" s="397"/>
      <c r="FIR10" s="397"/>
      <c r="FIS10" s="397"/>
      <c r="FIT10" s="397"/>
      <c r="FIU10" s="397"/>
      <c r="FIV10" s="397"/>
      <c r="FIW10" s="397"/>
      <c r="FIX10" s="397"/>
      <c r="FIY10" s="397"/>
      <c r="FIZ10" s="397"/>
      <c r="FJA10" s="397"/>
      <c r="FJB10" s="397"/>
      <c r="FJC10" s="397"/>
      <c r="FJD10" s="397"/>
      <c r="FJE10" s="397"/>
      <c r="FJF10" s="397"/>
      <c r="FJG10" s="397"/>
      <c r="FJH10" s="397"/>
      <c r="FJI10" s="397"/>
      <c r="FJJ10" s="397"/>
      <c r="FJK10" s="397"/>
      <c r="FJL10" s="397"/>
      <c r="FJM10" s="397"/>
      <c r="FJN10" s="397"/>
      <c r="FJO10" s="397"/>
      <c r="FJP10" s="397"/>
      <c r="FJQ10" s="397"/>
      <c r="FJR10" s="397"/>
      <c r="FJS10" s="397"/>
      <c r="FJT10" s="397"/>
      <c r="FJU10" s="397"/>
      <c r="FJV10" s="397"/>
      <c r="FJW10" s="397"/>
      <c r="FJX10" s="397"/>
      <c r="FJY10" s="397"/>
      <c r="FJZ10" s="397"/>
      <c r="FKA10" s="397"/>
      <c r="FKB10" s="397"/>
      <c r="FKC10" s="397"/>
      <c r="FKD10" s="397"/>
      <c r="FKE10" s="397"/>
      <c r="FKF10" s="397"/>
      <c r="FKG10" s="397"/>
      <c r="FKH10" s="397"/>
      <c r="FKI10" s="397"/>
      <c r="FKJ10" s="397"/>
      <c r="FKK10" s="397"/>
      <c r="FKL10" s="397"/>
      <c r="FKM10" s="397"/>
      <c r="FKN10" s="397"/>
      <c r="FKO10" s="397"/>
      <c r="FKP10" s="397"/>
      <c r="FKQ10" s="397"/>
      <c r="FKR10" s="397"/>
      <c r="FKS10" s="397"/>
      <c r="FKT10" s="397"/>
      <c r="FKU10" s="397"/>
      <c r="FKV10" s="397"/>
      <c r="FKW10" s="397"/>
      <c r="FKX10" s="397"/>
      <c r="FKY10" s="397"/>
      <c r="FKZ10" s="397"/>
      <c r="FLA10" s="397"/>
      <c r="FLB10" s="397"/>
      <c r="FLC10" s="397"/>
      <c r="FLD10" s="397"/>
      <c r="FLE10" s="397"/>
      <c r="FLF10" s="397"/>
      <c r="FLG10" s="397"/>
      <c r="FLH10" s="397"/>
      <c r="FLI10" s="397"/>
      <c r="FLJ10" s="397"/>
      <c r="FLK10" s="397"/>
      <c r="FLL10" s="397"/>
      <c r="FLM10" s="397"/>
      <c r="FLN10" s="397"/>
      <c r="FLO10" s="397"/>
      <c r="FLP10" s="397"/>
      <c r="FLQ10" s="397"/>
      <c r="FLR10" s="397"/>
      <c r="FLS10" s="397"/>
      <c r="FLT10" s="397"/>
      <c r="FLU10" s="397"/>
      <c r="FLV10" s="397"/>
      <c r="FLW10" s="397"/>
      <c r="FLX10" s="397"/>
      <c r="FLY10" s="397"/>
      <c r="FLZ10" s="397"/>
      <c r="FMA10" s="397"/>
      <c r="FMB10" s="397"/>
      <c r="FMC10" s="397"/>
      <c r="FMD10" s="397"/>
      <c r="FME10" s="397"/>
      <c r="FMF10" s="397"/>
      <c r="FMG10" s="397"/>
      <c r="FMH10" s="397"/>
      <c r="FMI10" s="397"/>
      <c r="FMJ10" s="397"/>
      <c r="FMK10" s="397"/>
      <c r="FML10" s="397"/>
      <c r="FMM10" s="397"/>
      <c r="FMN10" s="397"/>
      <c r="FMO10" s="397"/>
      <c r="FMP10" s="397"/>
      <c r="FMQ10" s="397"/>
      <c r="FMR10" s="397"/>
      <c r="FMS10" s="397"/>
      <c r="FMT10" s="397"/>
      <c r="FMU10" s="397"/>
      <c r="FMV10" s="397"/>
      <c r="FMW10" s="397"/>
      <c r="FMX10" s="397"/>
      <c r="FMY10" s="397"/>
      <c r="FMZ10" s="397"/>
      <c r="FNA10" s="397"/>
      <c r="FNB10" s="397"/>
      <c r="FNC10" s="397"/>
      <c r="FND10" s="397"/>
      <c r="FNE10" s="397"/>
      <c r="FNF10" s="397"/>
      <c r="FNG10" s="397"/>
      <c r="FNH10" s="397"/>
      <c r="FNI10" s="397"/>
      <c r="FNJ10" s="397"/>
      <c r="FNK10" s="397"/>
      <c r="FNL10" s="397"/>
      <c r="FNM10" s="397"/>
      <c r="FNN10" s="397"/>
      <c r="FNO10" s="397"/>
      <c r="FNP10" s="397"/>
      <c r="FNQ10" s="397"/>
      <c r="FNR10" s="397"/>
      <c r="FNS10" s="397"/>
      <c r="FNT10" s="397"/>
      <c r="FNU10" s="397"/>
      <c r="FNV10" s="397"/>
      <c r="FNW10" s="397"/>
      <c r="FNX10" s="397"/>
      <c r="FNY10" s="397"/>
      <c r="FNZ10" s="397"/>
      <c r="FOA10" s="397"/>
      <c r="FOB10" s="397"/>
      <c r="FOC10" s="397"/>
      <c r="FOD10" s="397"/>
      <c r="FOE10" s="397"/>
      <c r="FOF10" s="397"/>
      <c r="FOG10" s="397"/>
      <c r="FOH10" s="397"/>
      <c r="FOI10" s="397"/>
      <c r="FOJ10" s="397"/>
      <c r="FOK10" s="397"/>
      <c r="FOL10" s="397"/>
      <c r="FOM10" s="397"/>
      <c r="FON10" s="397"/>
      <c r="FOO10" s="397"/>
      <c r="FOP10" s="397"/>
      <c r="FOQ10" s="397"/>
      <c r="FOR10" s="397"/>
      <c r="FOS10" s="397"/>
      <c r="FOT10" s="397"/>
      <c r="FOU10" s="397"/>
      <c r="FOV10" s="397"/>
      <c r="FOW10" s="397"/>
      <c r="FOX10" s="397"/>
      <c r="FOY10" s="397"/>
      <c r="FOZ10" s="397"/>
      <c r="FPA10" s="397"/>
      <c r="FPB10" s="397"/>
      <c r="FPC10" s="397"/>
      <c r="FPD10" s="397"/>
      <c r="FPE10" s="397"/>
      <c r="FPF10" s="397"/>
      <c r="FPG10" s="397"/>
      <c r="FPH10" s="397"/>
      <c r="FPI10" s="397"/>
      <c r="FPJ10" s="397"/>
      <c r="FPK10" s="397"/>
      <c r="FPL10" s="397"/>
      <c r="FPM10" s="397"/>
      <c r="FPN10" s="397"/>
      <c r="FPO10" s="397"/>
      <c r="FPP10" s="397"/>
      <c r="FPQ10" s="397"/>
      <c r="FPR10" s="397"/>
      <c r="FPS10" s="397"/>
      <c r="FPT10" s="397"/>
      <c r="FPU10" s="397"/>
      <c r="FPV10" s="397"/>
      <c r="FPW10" s="397"/>
      <c r="FPX10" s="397"/>
      <c r="FPY10" s="397"/>
      <c r="FPZ10" s="397"/>
      <c r="FQA10" s="397"/>
      <c r="FQB10" s="397"/>
      <c r="FQC10" s="397"/>
      <c r="FQD10" s="397"/>
      <c r="FQE10" s="397"/>
      <c r="FQF10" s="397"/>
      <c r="FQG10" s="397"/>
      <c r="FQH10" s="397"/>
      <c r="FQI10" s="397"/>
      <c r="FQJ10" s="397"/>
      <c r="FQK10" s="397"/>
      <c r="FQL10" s="397"/>
      <c r="FQM10" s="397"/>
      <c r="FQN10" s="397"/>
      <c r="FQO10" s="397"/>
      <c r="FQP10" s="397"/>
      <c r="FQQ10" s="397"/>
      <c r="FQR10" s="397"/>
      <c r="FQS10" s="397"/>
      <c r="FQT10" s="397"/>
      <c r="FQU10" s="397"/>
      <c r="FQV10" s="397"/>
      <c r="FQW10" s="397"/>
      <c r="FQX10" s="397"/>
      <c r="FQY10" s="397"/>
      <c r="FQZ10" s="397"/>
      <c r="FRA10" s="397"/>
      <c r="FRB10" s="397"/>
      <c r="FRC10" s="397"/>
      <c r="FRD10" s="397"/>
      <c r="FRE10" s="397"/>
      <c r="FRF10" s="397"/>
      <c r="FRG10" s="397"/>
      <c r="FRH10" s="397"/>
      <c r="FRI10" s="397"/>
      <c r="FRJ10" s="397"/>
      <c r="FRK10" s="397"/>
      <c r="FRL10" s="397"/>
      <c r="FRM10" s="397"/>
      <c r="FRN10" s="397"/>
      <c r="FRO10" s="397"/>
      <c r="FRP10" s="397"/>
      <c r="FRQ10" s="397"/>
      <c r="FRR10" s="397"/>
      <c r="FRS10" s="397"/>
      <c r="FRT10" s="397"/>
      <c r="FRU10" s="397"/>
      <c r="FRV10" s="397"/>
      <c r="FRW10" s="397"/>
      <c r="FRX10" s="397"/>
      <c r="FRY10" s="397"/>
      <c r="FRZ10" s="397"/>
      <c r="FSA10" s="397"/>
      <c r="FSB10" s="397"/>
      <c r="FSC10" s="397"/>
      <c r="FSD10" s="397"/>
      <c r="FSE10" s="397"/>
      <c r="FSF10" s="397"/>
      <c r="FSG10" s="397"/>
      <c r="FSH10" s="397"/>
      <c r="FSI10" s="397"/>
      <c r="FSJ10" s="397"/>
      <c r="FSK10" s="397"/>
      <c r="FSL10" s="397"/>
      <c r="FSM10" s="397"/>
      <c r="FSN10" s="397"/>
      <c r="FSO10" s="397"/>
      <c r="FSP10" s="397"/>
      <c r="FSQ10" s="397"/>
      <c r="FSR10" s="397"/>
      <c r="FSS10" s="397"/>
      <c r="FST10" s="397"/>
      <c r="FSU10" s="397"/>
      <c r="FSV10" s="397"/>
      <c r="FSW10" s="397"/>
      <c r="FSX10" s="397"/>
      <c r="FSY10" s="397"/>
      <c r="FSZ10" s="397"/>
      <c r="FTA10" s="397"/>
      <c r="FTB10" s="397"/>
      <c r="FTC10" s="397"/>
      <c r="FTD10" s="397"/>
      <c r="FTE10" s="397"/>
      <c r="FTF10" s="397"/>
      <c r="FTG10" s="397"/>
      <c r="FTH10" s="397"/>
      <c r="FTI10" s="397"/>
      <c r="FTJ10" s="397"/>
      <c r="FTK10" s="397"/>
      <c r="FTL10" s="397"/>
      <c r="FTM10" s="397"/>
      <c r="FTN10" s="397"/>
      <c r="FTO10" s="397"/>
      <c r="FTP10" s="397"/>
      <c r="FTQ10" s="397"/>
      <c r="FTR10" s="397"/>
      <c r="FTS10" s="397"/>
      <c r="FTT10" s="397"/>
      <c r="FTU10" s="397"/>
      <c r="FTV10" s="397"/>
      <c r="FTW10" s="397"/>
      <c r="FTX10" s="397"/>
      <c r="FTY10" s="397"/>
      <c r="FTZ10" s="397"/>
      <c r="FUA10" s="397"/>
      <c r="FUB10" s="397"/>
      <c r="FUC10" s="397"/>
      <c r="FUD10" s="397"/>
      <c r="FUE10" s="397"/>
      <c r="FUF10" s="397"/>
      <c r="FUG10" s="397"/>
      <c r="FUH10" s="397"/>
      <c r="FUI10" s="397"/>
      <c r="FUJ10" s="397"/>
      <c r="FUK10" s="397"/>
      <c r="FUL10" s="397"/>
      <c r="FUM10" s="397"/>
      <c r="FUN10" s="397"/>
      <c r="FUO10" s="397"/>
      <c r="FUP10" s="397"/>
      <c r="FUQ10" s="397"/>
      <c r="FUR10" s="397"/>
      <c r="FUS10" s="397"/>
      <c r="FUT10" s="397"/>
      <c r="FUU10" s="397"/>
      <c r="FUV10" s="397"/>
      <c r="FUW10" s="397"/>
      <c r="FUX10" s="397"/>
      <c r="FUY10" s="397"/>
      <c r="FUZ10" s="397"/>
      <c r="FVA10" s="397"/>
      <c r="FVB10" s="397"/>
      <c r="FVC10" s="397"/>
      <c r="FVD10" s="397"/>
      <c r="FVE10" s="397"/>
      <c r="FVF10" s="397"/>
      <c r="FVG10" s="397"/>
      <c r="FVH10" s="397"/>
      <c r="FVI10" s="397"/>
      <c r="FVJ10" s="397"/>
      <c r="FVK10" s="397"/>
      <c r="FVL10" s="397"/>
      <c r="FVM10" s="397"/>
      <c r="FVN10" s="397"/>
      <c r="FVO10" s="397"/>
      <c r="FVP10" s="397"/>
      <c r="FVQ10" s="397"/>
      <c r="FVR10" s="397"/>
      <c r="FVS10" s="397"/>
      <c r="FVT10" s="397"/>
      <c r="FVU10" s="397"/>
      <c r="FVV10" s="397"/>
      <c r="FVW10" s="397"/>
      <c r="FVX10" s="397"/>
      <c r="FVY10" s="397"/>
      <c r="FVZ10" s="397"/>
      <c r="FWA10" s="397"/>
      <c r="FWB10" s="397"/>
      <c r="FWC10" s="397"/>
      <c r="FWD10" s="397"/>
      <c r="FWE10" s="397"/>
      <c r="FWF10" s="397"/>
      <c r="FWG10" s="397"/>
      <c r="FWH10" s="397"/>
      <c r="FWI10" s="397"/>
      <c r="FWJ10" s="397"/>
      <c r="FWK10" s="397"/>
      <c r="FWL10" s="397"/>
      <c r="FWM10" s="397"/>
      <c r="FWN10" s="397"/>
      <c r="FWO10" s="397"/>
      <c r="FWP10" s="397"/>
      <c r="FWQ10" s="397"/>
      <c r="FWR10" s="397"/>
      <c r="FWS10" s="397"/>
      <c r="FWT10" s="397"/>
      <c r="FWU10" s="397"/>
      <c r="FWV10" s="397"/>
      <c r="FWW10" s="397"/>
      <c r="FWX10" s="397"/>
      <c r="FWY10" s="397"/>
      <c r="FWZ10" s="397"/>
      <c r="FXA10" s="397"/>
      <c r="FXB10" s="397"/>
      <c r="FXC10" s="397"/>
      <c r="FXD10" s="397"/>
      <c r="FXE10" s="397"/>
      <c r="FXF10" s="397"/>
      <c r="FXG10" s="397"/>
      <c r="FXH10" s="397"/>
      <c r="FXI10" s="397"/>
      <c r="FXJ10" s="397"/>
      <c r="FXK10" s="397"/>
      <c r="FXL10" s="397"/>
      <c r="FXM10" s="397"/>
      <c r="FXN10" s="397"/>
      <c r="FXO10" s="397"/>
      <c r="FXP10" s="397"/>
      <c r="FXQ10" s="397"/>
      <c r="FXR10" s="397"/>
      <c r="FXS10" s="397"/>
      <c r="FXT10" s="397"/>
      <c r="FXU10" s="397"/>
      <c r="FXV10" s="397"/>
      <c r="FXW10" s="397"/>
      <c r="FXX10" s="397"/>
      <c r="FXY10" s="397"/>
      <c r="FXZ10" s="397"/>
      <c r="FYA10" s="397"/>
      <c r="FYB10" s="397"/>
      <c r="FYC10" s="397"/>
      <c r="FYD10" s="397"/>
      <c r="FYE10" s="397"/>
      <c r="FYF10" s="397"/>
      <c r="FYG10" s="397"/>
      <c r="FYH10" s="397"/>
      <c r="FYI10" s="397"/>
      <c r="FYJ10" s="397"/>
      <c r="FYK10" s="397"/>
      <c r="FYL10" s="397"/>
      <c r="FYM10" s="397"/>
      <c r="FYN10" s="397"/>
      <c r="FYO10" s="397"/>
      <c r="FYP10" s="397"/>
      <c r="FYQ10" s="397"/>
      <c r="FYR10" s="397"/>
      <c r="FYS10" s="397"/>
      <c r="FYT10" s="397"/>
      <c r="FYU10" s="397"/>
      <c r="FYV10" s="397"/>
      <c r="FYW10" s="397"/>
      <c r="FYX10" s="397"/>
      <c r="FYY10" s="397"/>
      <c r="FYZ10" s="397"/>
      <c r="FZA10" s="397"/>
      <c r="FZB10" s="397"/>
      <c r="FZC10" s="397"/>
      <c r="FZD10" s="397"/>
      <c r="FZE10" s="397"/>
      <c r="FZF10" s="397"/>
      <c r="FZG10" s="397"/>
      <c r="FZH10" s="397"/>
      <c r="FZI10" s="397"/>
      <c r="FZJ10" s="397"/>
      <c r="FZK10" s="397"/>
      <c r="FZL10" s="397"/>
      <c r="FZM10" s="397"/>
      <c r="FZN10" s="397"/>
      <c r="FZO10" s="397"/>
      <c r="FZP10" s="397"/>
      <c r="FZQ10" s="397"/>
      <c r="FZR10" s="397"/>
      <c r="FZS10" s="397"/>
      <c r="FZT10" s="397"/>
      <c r="FZU10" s="397"/>
      <c r="FZV10" s="397"/>
      <c r="FZW10" s="397"/>
      <c r="FZX10" s="397"/>
      <c r="FZY10" s="397"/>
      <c r="FZZ10" s="397"/>
      <c r="GAA10" s="397"/>
      <c r="GAB10" s="397"/>
      <c r="GAC10" s="397"/>
      <c r="GAD10" s="397"/>
      <c r="GAE10" s="397"/>
      <c r="GAF10" s="397"/>
      <c r="GAG10" s="397"/>
      <c r="GAH10" s="397"/>
      <c r="GAI10" s="397"/>
      <c r="GAJ10" s="397"/>
      <c r="GAK10" s="397"/>
      <c r="GAL10" s="397"/>
      <c r="GAM10" s="397"/>
      <c r="GAN10" s="397"/>
      <c r="GAO10" s="397"/>
      <c r="GAP10" s="397"/>
      <c r="GAQ10" s="397"/>
      <c r="GAR10" s="397"/>
      <c r="GAS10" s="397"/>
      <c r="GAT10" s="397"/>
      <c r="GAU10" s="397"/>
      <c r="GAV10" s="397"/>
      <c r="GAW10" s="397"/>
      <c r="GAX10" s="397"/>
      <c r="GAY10" s="397"/>
      <c r="GAZ10" s="397"/>
      <c r="GBA10" s="397"/>
      <c r="GBB10" s="397"/>
      <c r="GBC10" s="397"/>
      <c r="GBD10" s="397"/>
      <c r="GBE10" s="397"/>
      <c r="GBF10" s="397"/>
      <c r="GBG10" s="397"/>
      <c r="GBH10" s="397"/>
      <c r="GBI10" s="397"/>
      <c r="GBJ10" s="397"/>
      <c r="GBK10" s="397"/>
      <c r="GBL10" s="397"/>
      <c r="GBM10" s="397"/>
      <c r="GBN10" s="397"/>
      <c r="GBO10" s="397"/>
      <c r="GBP10" s="397"/>
      <c r="GBQ10" s="397"/>
      <c r="GBR10" s="397"/>
      <c r="GBS10" s="397"/>
      <c r="GBT10" s="397"/>
      <c r="GBU10" s="397"/>
      <c r="GBV10" s="397"/>
      <c r="GBW10" s="397"/>
      <c r="GBX10" s="397"/>
      <c r="GBY10" s="397"/>
      <c r="GBZ10" s="397"/>
      <c r="GCA10" s="397"/>
      <c r="GCB10" s="397"/>
      <c r="GCC10" s="397"/>
      <c r="GCD10" s="397"/>
      <c r="GCE10" s="397"/>
      <c r="GCF10" s="397"/>
      <c r="GCG10" s="397"/>
      <c r="GCH10" s="397"/>
      <c r="GCI10" s="397"/>
      <c r="GCJ10" s="397"/>
      <c r="GCK10" s="397"/>
      <c r="GCL10" s="397"/>
      <c r="GCM10" s="397"/>
      <c r="GCN10" s="397"/>
      <c r="GCO10" s="397"/>
      <c r="GCP10" s="397"/>
      <c r="GCQ10" s="397"/>
      <c r="GCR10" s="397"/>
      <c r="GCS10" s="397"/>
      <c r="GCT10" s="397"/>
      <c r="GCU10" s="397"/>
      <c r="GCV10" s="397"/>
      <c r="GCW10" s="397"/>
      <c r="GCX10" s="397"/>
      <c r="GCY10" s="397"/>
      <c r="GCZ10" s="397"/>
      <c r="GDA10" s="397"/>
      <c r="GDB10" s="397"/>
      <c r="GDC10" s="397"/>
      <c r="GDD10" s="397"/>
      <c r="GDE10" s="397"/>
      <c r="GDF10" s="397"/>
      <c r="GDG10" s="397"/>
      <c r="GDH10" s="397"/>
      <c r="GDI10" s="397"/>
      <c r="GDJ10" s="397"/>
      <c r="GDK10" s="397"/>
      <c r="GDL10" s="397"/>
      <c r="GDM10" s="397"/>
      <c r="GDN10" s="397"/>
      <c r="GDO10" s="397"/>
      <c r="GDP10" s="397"/>
      <c r="GDQ10" s="397"/>
      <c r="GDR10" s="397"/>
      <c r="GDS10" s="397"/>
      <c r="GDT10" s="397"/>
      <c r="GDU10" s="397"/>
      <c r="GDV10" s="397"/>
      <c r="GDW10" s="397"/>
      <c r="GDX10" s="397"/>
      <c r="GDY10" s="397"/>
      <c r="GDZ10" s="397"/>
      <c r="GEA10" s="397"/>
      <c r="GEB10" s="397"/>
      <c r="GEC10" s="397"/>
      <c r="GED10" s="397"/>
      <c r="GEE10" s="397"/>
      <c r="GEF10" s="397"/>
      <c r="GEG10" s="397"/>
      <c r="GEH10" s="397"/>
      <c r="GEI10" s="397"/>
      <c r="GEJ10" s="397"/>
      <c r="GEK10" s="397"/>
      <c r="GEL10" s="397"/>
      <c r="GEM10" s="397"/>
      <c r="GEN10" s="397"/>
      <c r="GEO10" s="397"/>
      <c r="GEP10" s="397"/>
      <c r="GEQ10" s="397"/>
      <c r="GER10" s="397"/>
      <c r="GES10" s="397"/>
      <c r="GET10" s="397"/>
      <c r="GEU10" s="397"/>
      <c r="GEV10" s="397"/>
      <c r="GEW10" s="397"/>
      <c r="GEX10" s="397"/>
      <c r="GEY10" s="397"/>
      <c r="GEZ10" s="397"/>
      <c r="GFA10" s="397"/>
      <c r="GFB10" s="397"/>
      <c r="GFC10" s="397"/>
      <c r="GFD10" s="397"/>
      <c r="GFE10" s="397"/>
      <c r="GFF10" s="397"/>
      <c r="GFG10" s="397"/>
      <c r="GFH10" s="397"/>
      <c r="GFI10" s="397"/>
      <c r="GFJ10" s="397"/>
      <c r="GFK10" s="397"/>
      <c r="GFL10" s="397"/>
      <c r="GFM10" s="397"/>
      <c r="GFN10" s="397"/>
      <c r="GFO10" s="397"/>
      <c r="GFP10" s="397"/>
      <c r="GFQ10" s="397"/>
      <c r="GFR10" s="397"/>
      <c r="GFS10" s="397"/>
      <c r="GFT10" s="397"/>
      <c r="GFU10" s="397"/>
      <c r="GFV10" s="397"/>
      <c r="GFW10" s="397"/>
      <c r="GFX10" s="397"/>
      <c r="GFY10" s="397"/>
      <c r="GFZ10" s="397"/>
      <c r="GGA10" s="397"/>
      <c r="GGB10" s="397"/>
      <c r="GGC10" s="397"/>
      <c r="GGD10" s="397"/>
      <c r="GGE10" s="397"/>
      <c r="GGF10" s="397"/>
      <c r="GGG10" s="397"/>
      <c r="GGH10" s="397"/>
      <c r="GGI10" s="397"/>
      <c r="GGJ10" s="397"/>
      <c r="GGK10" s="397"/>
      <c r="GGL10" s="397"/>
      <c r="GGM10" s="397"/>
      <c r="GGN10" s="397"/>
      <c r="GGO10" s="397"/>
      <c r="GGP10" s="397"/>
      <c r="GGQ10" s="397"/>
      <c r="GGR10" s="397"/>
      <c r="GGS10" s="397"/>
      <c r="GGT10" s="397"/>
      <c r="GGU10" s="397"/>
      <c r="GGV10" s="397"/>
      <c r="GGW10" s="397"/>
      <c r="GGX10" s="397"/>
      <c r="GGY10" s="397"/>
      <c r="GGZ10" s="397"/>
      <c r="GHA10" s="397"/>
      <c r="GHB10" s="397"/>
      <c r="GHC10" s="397"/>
      <c r="GHD10" s="397"/>
      <c r="GHE10" s="397"/>
      <c r="GHF10" s="397"/>
      <c r="GHG10" s="397"/>
      <c r="GHH10" s="397"/>
      <c r="GHI10" s="397"/>
      <c r="GHJ10" s="397"/>
      <c r="GHK10" s="397"/>
      <c r="GHL10" s="397"/>
      <c r="GHM10" s="397"/>
      <c r="GHN10" s="397"/>
      <c r="GHO10" s="397"/>
      <c r="GHP10" s="397"/>
      <c r="GHQ10" s="397"/>
      <c r="GHR10" s="397"/>
      <c r="GHS10" s="397"/>
      <c r="GHT10" s="397"/>
      <c r="GHU10" s="397"/>
      <c r="GHV10" s="397"/>
      <c r="GHW10" s="397"/>
      <c r="GHX10" s="397"/>
      <c r="GHY10" s="397"/>
      <c r="GHZ10" s="397"/>
      <c r="GIA10" s="397"/>
      <c r="GIB10" s="397"/>
      <c r="GIC10" s="397"/>
      <c r="GID10" s="397"/>
      <c r="GIE10" s="397"/>
      <c r="GIF10" s="397"/>
      <c r="GIG10" s="397"/>
      <c r="GIH10" s="397"/>
      <c r="GII10" s="397"/>
      <c r="GIJ10" s="397"/>
      <c r="GIK10" s="397"/>
      <c r="GIL10" s="397"/>
      <c r="GIM10" s="397"/>
      <c r="GIN10" s="397"/>
      <c r="GIO10" s="397"/>
      <c r="GIP10" s="397"/>
      <c r="GIQ10" s="397"/>
      <c r="GIR10" s="397"/>
      <c r="GIS10" s="397"/>
      <c r="GIT10" s="397"/>
      <c r="GIU10" s="397"/>
      <c r="GIV10" s="397"/>
      <c r="GIW10" s="397"/>
      <c r="GIX10" s="397"/>
      <c r="GIY10" s="397"/>
      <c r="GIZ10" s="397"/>
      <c r="GJA10" s="397"/>
      <c r="GJB10" s="397"/>
      <c r="GJC10" s="397"/>
      <c r="GJD10" s="397"/>
      <c r="GJE10" s="397"/>
      <c r="GJF10" s="397"/>
      <c r="GJG10" s="397"/>
      <c r="GJH10" s="397"/>
      <c r="GJI10" s="397"/>
      <c r="GJJ10" s="397"/>
      <c r="GJK10" s="397"/>
      <c r="GJL10" s="397"/>
      <c r="GJM10" s="397"/>
      <c r="GJN10" s="397"/>
      <c r="GJO10" s="397"/>
      <c r="GJP10" s="397"/>
      <c r="GJQ10" s="397"/>
      <c r="GJR10" s="397"/>
      <c r="GJS10" s="397"/>
      <c r="GJT10" s="397"/>
      <c r="GJU10" s="397"/>
      <c r="GJV10" s="397"/>
      <c r="GJW10" s="397"/>
      <c r="GJX10" s="397"/>
      <c r="GJY10" s="397"/>
      <c r="GJZ10" s="397"/>
      <c r="GKA10" s="397"/>
      <c r="GKB10" s="397"/>
      <c r="GKC10" s="397"/>
      <c r="GKD10" s="397"/>
      <c r="GKE10" s="397"/>
      <c r="GKF10" s="397"/>
      <c r="GKG10" s="397"/>
      <c r="GKH10" s="397"/>
      <c r="GKI10" s="397"/>
      <c r="GKJ10" s="397"/>
      <c r="GKK10" s="397"/>
      <c r="GKL10" s="397"/>
      <c r="GKM10" s="397"/>
      <c r="GKN10" s="397"/>
      <c r="GKO10" s="397"/>
      <c r="GKP10" s="397"/>
      <c r="GKQ10" s="397"/>
      <c r="GKR10" s="397"/>
      <c r="GKS10" s="397"/>
      <c r="GKT10" s="397"/>
      <c r="GKU10" s="397"/>
      <c r="GKV10" s="397"/>
      <c r="GKW10" s="397"/>
      <c r="GKX10" s="397"/>
      <c r="GKY10" s="397"/>
      <c r="GKZ10" s="397"/>
      <c r="GLA10" s="397"/>
      <c r="GLB10" s="397"/>
      <c r="GLC10" s="397"/>
      <c r="GLD10" s="397"/>
      <c r="GLE10" s="397"/>
      <c r="GLF10" s="397"/>
      <c r="GLG10" s="397"/>
      <c r="GLH10" s="397"/>
      <c r="GLI10" s="397"/>
      <c r="GLJ10" s="397"/>
      <c r="GLK10" s="397"/>
      <c r="GLL10" s="397"/>
      <c r="GLM10" s="397"/>
      <c r="GLN10" s="397"/>
      <c r="GLO10" s="397"/>
      <c r="GLP10" s="397"/>
      <c r="GLQ10" s="397"/>
      <c r="GLR10" s="397"/>
      <c r="GLS10" s="397"/>
      <c r="GLT10" s="397"/>
      <c r="GLU10" s="397"/>
      <c r="GLV10" s="397"/>
      <c r="GLW10" s="397"/>
      <c r="GLX10" s="397"/>
      <c r="GLY10" s="397"/>
      <c r="GLZ10" s="397"/>
      <c r="GMA10" s="397"/>
      <c r="GMB10" s="397"/>
      <c r="GMC10" s="397"/>
      <c r="GMD10" s="397"/>
      <c r="GME10" s="397"/>
      <c r="GMF10" s="397"/>
      <c r="GMG10" s="397"/>
      <c r="GMH10" s="397"/>
      <c r="GMI10" s="397"/>
      <c r="GMJ10" s="397"/>
      <c r="GMK10" s="397"/>
      <c r="GML10" s="397"/>
      <c r="GMM10" s="397"/>
      <c r="GMN10" s="397"/>
      <c r="GMO10" s="397"/>
      <c r="GMP10" s="397"/>
      <c r="GMQ10" s="397"/>
      <c r="GMR10" s="397"/>
      <c r="GMS10" s="397"/>
      <c r="GMT10" s="397"/>
      <c r="GMU10" s="397"/>
      <c r="GMV10" s="397"/>
      <c r="GMW10" s="397"/>
      <c r="GMX10" s="397"/>
      <c r="GMY10" s="397"/>
      <c r="GMZ10" s="397"/>
      <c r="GNA10" s="397"/>
      <c r="GNB10" s="397"/>
      <c r="GNC10" s="397"/>
      <c r="GND10" s="397"/>
      <c r="GNE10" s="397"/>
      <c r="GNF10" s="397"/>
      <c r="GNG10" s="397"/>
      <c r="GNH10" s="397"/>
      <c r="GNI10" s="397"/>
      <c r="GNJ10" s="397"/>
      <c r="GNK10" s="397"/>
      <c r="GNL10" s="397"/>
      <c r="GNM10" s="397"/>
      <c r="GNN10" s="397"/>
      <c r="GNO10" s="397"/>
      <c r="GNP10" s="397"/>
      <c r="GNQ10" s="397"/>
      <c r="GNR10" s="397"/>
      <c r="GNS10" s="397"/>
      <c r="GNT10" s="397"/>
      <c r="GNU10" s="397"/>
      <c r="GNV10" s="397"/>
      <c r="GNW10" s="397"/>
      <c r="GNX10" s="397"/>
      <c r="GNY10" s="397"/>
      <c r="GNZ10" s="397"/>
      <c r="GOA10" s="397"/>
      <c r="GOB10" s="397"/>
      <c r="GOC10" s="397"/>
      <c r="GOD10" s="397"/>
      <c r="GOE10" s="397"/>
      <c r="GOF10" s="397"/>
      <c r="GOG10" s="397"/>
      <c r="GOH10" s="397"/>
      <c r="GOI10" s="397"/>
      <c r="GOJ10" s="397"/>
      <c r="GOK10" s="397"/>
      <c r="GOL10" s="397"/>
      <c r="GOM10" s="397"/>
      <c r="GON10" s="397"/>
      <c r="GOO10" s="397"/>
      <c r="GOP10" s="397"/>
      <c r="GOQ10" s="397"/>
      <c r="GOR10" s="397"/>
      <c r="GOS10" s="397"/>
      <c r="GOT10" s="397"/>
      <c r="GOU10" s="397"/>
      <c r="GOV10" s="397"/>
      <c r="GOW10" s="397"/>
      <c r="GOX10" s="397"/>
      <c r="GOY10" s="397"/>
      <c r="GOZ10" s="397"/>
      <c r="GPA10" s="397"/>
      <c r="GPB10" s="397"/>
      <c r="GPC10" s="397"/>
      <c r="GPD10" s="397"/>
      <c r="GPE10" s="397"/>
      <c r="GPF10" s="397"/>
      <c r="GPG10" s="397"/>
      <c r="GPH10" s="397"/>
      <c r="GPI10" s="397"/>
      <c r="GPJ10" s="397"/>
      <c r="GPK10" s="397"/>
      <c r="GPL10" s="397"/>
      <c r="GPM10" s="397"/>
      <c r="GPN10" s="397"/>
      <c r="GPO10" s="397"/>
      <c r="GPP10" s="397"/>
      <c r="GPQ10" s="397"/>
      <c r="GPR10" s="397"/>
      <c r="GPS10" s="397"/>
      <c r="GPT10" s="397"/>
      <c r="GPU10" s="397"/>
      <c r="GPV10" s="397"/>
      <c r="GPW10" s="397"/>
      <c r="GPX10" s="397"/>
      <c r="GPY10" s="397"/>
      <c r="GPZ10" s="397"/>
      <c r="GQA10" s="397"/>
      <c r="GQB10" s="397"/>
      <c r="GQC10" s="397"/>
      <c r="GQD10" s="397"/>
      <c r="GQE10" s="397"/>
      <c r="GQF10" s="397"/>
      <c r="GQG10" s="397"/>
      <c r="GQH10" s="397"/>
      <c r="GQI10" s="397"/>
      <c r="GQJ10" s="397"/>
      <c r="GQK10" s="397"/>
      <c r="GQL10" s="397"/>
      <c r="GQM10" s="397"/>
      <c r="GQN10" s="397"/>
      <c r="GQO10" s="397"/>
      <c r="GQP10" s="397"/>
      <c r="GQQ10" s="397"/>
      <c r="GQR10" s="397"/>
      <c r="GQS10" s="397"/>
      <c r="GQT10" s="397"/>
      <c r="GQU10" s="397"/>
      <c r="GQV10" s="397"/>
      <c r="GQW10" s="397"/>
      <c r="GQX10" s="397"/>
      <c r="GQY10" s="397"/>
      <c r="GQZ10" s="397"/>
      <c r="GRA10" s="397"/>
      <c r="GRB10" s="397"/>
      <c r="GRC10" s="397"/>
      <c r="GRD10" s="397"/>
      <c r="GRE10" s="397"/>
      <c r="GRF10" s="397"/>
      <c r="GRG10" s="397"/>
      <c r="GRH10" s="397"/>
      <c r="GRI10" s="397"/>
      <c r="GRJ10" s="397"/>
      <c r="GRK10" s="397"/>
      <c r="GRL10" s="397"/>
      <c r="GRM10" s="397"/>
      <c r="GRN10" s="397"/>
      <c r="GRO10" s="397"/>
      <c r="GRP10" s="397"/>
      <c r="GRQ10" s="397"/>
      <c r="GRR10" s="397"/>
      <c r="GRS10" s="397"/>
      <c r="GRT10" s="397"/>
      <c r="GRU10" s="397"/>
      <c r="GRV10" s="397"/>
      <c r="GRW10" s="397"/>
      <c r="GRX10" s="397"/>
      <c r="GRY10" s="397"/>
      <c r="GRZ10" s="397"/>
      <c r="GSA10" s="397"/>
      <c r="GSB10" s="397"/>
      <c r="GSC10" s="397"/>
      <c r="GSD10" s="397"/>
      <c r="GSE10" s="397"/>
      <c r="GSF10" s="397"/>
      <c r="GSG10" s="397"/>
      <c r="GSH10" s="397"/>
      <c r="GSI10" s="397"/>
      <c r="GSJ10" s="397"/>
      <c r="GSK10" s="397"/>
      <c r="GSL10" s="397"/>
      <c r="GSM10" s="397"/>
      <c r="GSN10" s="397"/>
      <c r="GSO10" s="397"/>
      <c r="GSP10" s="397"/>
      <c r="GSQ10" s="397"/>
      <c r="GSR10" s="397"/>
      <c r="GSS10" s="397"/>
      <c r="GST10" s="397"/>
      <c r="GSU10" s="397"/>
      <c r="GSV10" s="397"/>
      <c r="GSW10" s="397"/>
      <c r="GSX10" s="397"/>
      <c r="GSY10" s="397"/>
      <c r="GSZ10" s="397"/>
      <c r="GTA10" s="397"/>
      <c r="GTB10" s="397"/>
      <c r="GTC10" s="397"/>
      <c r="GTD10" s="397"/>
      <c r="GTE10" s="397"/>
      <c r="GTF10" s="397"/>
      <c r="GTG10" s="397"/>
      <c r="GTH10" s="397"/>
      <c r="GTI10" s="397"/>
      <c r="GTJ10" s="397"/>
      <c r="GTK10" s="397"/>
      <c r="GTL10" s="397"/>
      <c r="GTM10" s="397"/>
      <c r="GTN10" s="397"/>
      <c r="GTO10" s="397"/>
      <c r="GTP10" s="397"/>
      <c r="GTQ10" s="397"/>
      <c r="GTR10" s="397"/>
      <c r="GTS10" s="397"/>
      <c r="GTT10" s="397"/>
      <c r="GTU10" s="397"/>
      <c r="GTV10" s="397"/>
      <c r="GTW10" s="397"/>
      <c r="GTX10" s="397"/>
      <c r="GTY10" s="397"/>
      <c r="GTZ10" s="397"/>
      <c r="GUA10" s="397"/>
      <c r="GUB10" s="397"/>
      <c r="GUC10" s="397"/>
      <c r="GUD10" s="397"/>
      <c r="GUE10" s="397"/>
      <c r="GUF10" s="397"/>
      <c r="GUG10" s="397"/>
      <c r="GUH10" s="397"/>
      <c r="GUI10" s="397"/>
      <c r="GUJ10" s="397"/>
      <c r="GUK10" s="397"/>
      <c r="GUL10" s="397"/>
      <c r="GUM10" s="397"/>
      <c r="GUN10" s="397"/>
      <c r="GUO10" s="397"/>
      <c r="GUP10" s="397"/>
      <c r="GUQ10" s="397"/>
      <c r="GUR10" s="397"/>
      <c r="GUS10" s="397"/>
      <c r="GUT10" s="397"/>
      <c r="GUU10" s="397"/>
      <c r="GUV10" s="397"/>
      <c r="GUW10" s="397"/>
      <c r="GUX10" s="397"/>
      <c r="GUY10" s="397"/>
      <c r="GUZ10" s="397"/>
      <c r="GVA10" s="397"/>
      <c r="GVB10" s="397"/>
      <c r="GVC10" s="397"/>
      <c r="GVD10" s="397"/>
      <c r="GVE10" s="397"/>
      <c r="GVF10" s="397"/>
      <c r="GVG10" s="397"/>
      <c r="GVH10" s="397"/>
      <c r="GVI10" s="397"/>
      <c r="GVJ10" s="397"/>
      <c r="GVK10" s="397"/>
      <c r="GVL10" s="397"/>
      <c r="GVM10" s="397"/>
      <c r="GVN10" s="397"/>
      <c r="GVO10" s="397"/>
      <c r="GVP10" s="397"/>
      <c r="GVQ10" s="397"/>
      <c r="GVR10" s="397"/>
      <c r="GVS10" s="397"/>
      <c r="GVT10" s="397"/>
      <c r="GVU10" s="397"/>
      <c r="GVV10" s="397"/>
      <c r="GVW10" s="397"/>
      <c r="GVX10" s="397"/>
      <c r="GVY10" s="397"/>
      <c r="GVZ10" s="397"/>
      <c r="GWA10" s="397"/>
      <c r="GWB10" s="397"/>
      <c r="GWC10" s="397"/>
      <c r="GWD10" s="397"/>
      <c r="GWE10" s="397"/>
      <c r="GWF10" s="397"/>
      <c r="GWG10" s="397"/>
      <c r="GWH10" s="397"/>
      <c r="GWI10" s="397"/>
      <c r="GWJ10" s="397"/>
      <c r="GWK10" s="397"/>
      <c r="GWL10" s="397"/>
      <c r="GWM10" s="397"/>
      <c r="GWN10" s="397"/>
      <c r="GWO10" s="397"/>
      <c r="GWP10" s="397"/>
      <c r="GWQ10" s="397"/>
      <c r="GWR10" s="397"/>
      <c r="GWS10" s="397"/>
      <c r="GWT10" s="397"/>
      <c r="GWU10" s="397"/>
      <c r="GWV10" s="397"/>
      <c r="GWW10" s="397"/>
      <c r="GWX10" s="397"/>
      <c r="GWY10" s="397"/>
      <c r="GWZ10" s="397"/>
      <c r="GXA10" s="397"/>
      <c r="GXB10" s="397"/>
      <c r="GXC10" s="397"/>
      <c r="GXD10" s="397"/>
      <c r="GXE10" s="397"/>
      <c r="GXF10" s="397"/>
      <c r="GXG10" s="397"/>
      <c r="GXH10" s="397"/>
      <c r="GXI10" s="397"/>
      <c r="GXJ10" s="397"/>
      <c r="GXK10" s="397"/>
      <c r="GXL10" s="397"/>
      <c r="GXM10" s="397"/>
      <c r="GXN10" s="397"/>
      <c r="GXO10" s="397"/>
      <c r="GXP10" s="397"/>
      <c r="GXQ10" s="397"/>
      <c r="GXR10" s="397"/>
      <c r="GXS10" s="397"/>
      <c r="GXT10" s="397"/>
      <c r="GXU10" s="397"/>
      <c r="GXV10" s="397"/>
      <c r="GXW10" s="397"/>
      <c r="GXX10" s="397"/>
      <c r="GXY10" s="397"/>
      <c r="GXZ10" s="397"/>
      <c r="GYA10" s="397"/>
      <c r="GYB10" s="397"/>
      <c r="GYC10" s="397"/>
      <c r="GYD10" s="397"/>
      <c r="GYE10" s="397"/>
      <c r="GYF10" s="397"/>
      <c r="GYG10" s="397"/>
      <c r="GYH10" s="397"/>
      <c r="GYI10" s="397"/>
      <c r="GYJ10" s="397"/>
      <c r="GYK10" s="397"/>
      <c r="GYL10" s="397"/>
      <c r="GYM10" s="397"/>
      <c r="GYN10" s="397"/>
      <c r="GYO10" s="397"/>
      <c r="GYP10" s="397"/>
      <c r="GYQ10" s="397"/>
      <c r="GYR10" s="397"/>
      <c r="GYS10" s="397"/>
      <c r="GYT10" s="397"/>
      <c r="GYU10" s="397"/>
      <c r="GYV10" s="397"/>
      <c r="GYW10" s="397"/>
      <c r="GYX10" s="397"/>
      <c r="GYY10" s="397"/>
      <c r="GYZ10" s="397"/>
      <c r="GZA10" s="397"/>
      <c r="GZB10" s="397"/>
      <c r="GZC10" s="397"/>
      <c r="GZD10" s="397"/>
      <c r="GZE10" s="397"/>
      <c r="GZF10" s="397"/>
      <c r="GZG10" s="397"/>
      <c r="GZH10" s="397"/>
      <c r="GZI10" s="397"/>
      <c r="GZJ10" s="397"/>
      <c r="GZK10" s="397"/>
      <c r="GZL10" s="397"/>
      <c r="GZM10" s="397"/>
      <c r="GZN10" s="397"/>
      <c r="GZO10" s="397"/>
      <c r="GZP10" s="397"/>
      <c r="GZQ10" s="397"/>
      <c r="GZR10" s="397"/>
      <c r="GZS10" s="397"/>
      <c r="GZT10" s="397"/>
      <c r="GZU10" s="397"/>
      <c r="GZV10" s="397"/>
      <c r="GZW10" s="397"/>
      <c r="GZX10" s="397"/>
      <c r="GZY10" s="397"/>
      <c r="GZZ10" s="397"/>
      <c r="HAA10" s="397"/>
      <c r="HAB10" s="397"/>
      <c r="HAC10" s="397"/>
      <c r="HAD10" s="397"/>
      <c r="HAE10" s="397"/>
      <c r="HAF10" s="397"/>
      <c r="HAG10" s="397"/>
      <c r="HAH10" s="397"/>
      <c r="HAI10" s="397"/>
      <c r="HAJ10" s="397"/>
      <c r="HAK10" s="397"/>
      <c r="HAL10" s="397"/>
      <c r="HAM10" s="397"/>
      <c r="HAN10" s="397"/>
      <c r="HAO10" s="397"/>
      <c r="HAP10" s="397"/>
      <c r="HAQ10" s="397"/>
      <c r="HAR10" s="397"/>
      <c r="HAS10" s="397"/>
      <c r="HAT10" s="397"/>
      <c r="HAU10" s="397"/>
      <c r="HAV10" s="397"/>
      <c r="HAW10" s="397"/>
      <c r="HAX10" s="397"/>
      <c r="HAY10" s="397"/>
      <c r="HAZ10" s="397"/>
      <c r="HBA10" s="397"/>
      <c r="HBB10" s="397"/>
      <c r="HBC10" s="397"/>
      <c r="HBD10" s="397"/>
      <c r="HBE10" s="397"/>
      <c r="HBF10" s="397"/>
      <c r="HBG10" s="397"/>
      <c r="HBH10" s="397"/>
      <c r="HBI10" s="397"/>
      <c r="HBJ10" s="397"/>
      <c r="HBK10" s="397"/>
      <c r="HBL10" s="397"/>
      <c r="HBM10" s="397"/>
      <c r="HBN10" s="397"/>
      <c r="HBO10" s="397"/>
      <c r="HBP10" s="397"/>
      <c r="HBQ10" s="397"/>
      <c r="HBR10" s="397"/>
      <c r="HBS10" s="397"/>
      <c r="HBT10" s="397"/>
      <c r="HBU10" s="397"/>
      <c r="HBV10" s="397"/>
      <c r="HBW10" s="397"/>
      <c r="HBX10" s="397"/>
      <c r="HBY10" s="397"/>
      <c r="HBZ10" s="397"/>
      <c r="HCA10" s="397"/>
      <c r="HCB10" s="397"/>
      <c r="HCC10" s="397"/>
      <c r="HCD10" s="397"/>
      <c r="HCE10" s="397"/>
      <c r="HCF10" s="397"/>
      <c r="HCG10" s="397"/>
      <c r="HCH10" s="397"/>
      <c r="HCI10" s="397"/>
      <c r="HCJ10" s="397"/>
      <c r="HCK10" s="397"/>
      <c r="HCL10" s="397"/>
      <c r="HCM10" s="397"/>
      <c r="HCN10" s="397"/>
      <c r="HCO10" s="397"/>
      <c r="HCP10" s="397"/>
      <c r="HCQ10" s="397"/>
      <c r="HCR10" s="397"/>
      <c r="HCS10" s="397"/>
      <c r="HCT10" s="397"/>
      <c r="HCU10" s="397"/>
      <c r="HCV10" s="397"/>
      <c r="HCW10" s="397"/>
      <c r="HCX10" s="397"/>
      <c r="HCY10" s="397"/>
      <c r="HCZ10" s="397"/>
      <c r="HDA10" s="397"/>
      <c r="HDB10" s="397"/>
      <c r="HDC10" s="397"/>
      <c r="HDD10" s="397"/>
      <c r="HDE10" s="397"/>
      <c r="HDF10" s="397"/>
      <c r="HDG10" s="397"/>
      <c r="HDH10" s="397"/>
      <c r="HDI10" s="397"/>
      <c r="HDJ10" s="397"/>
      <c r="HDK10" s="397"/>
      <c r="HDL10" s="397"/>
      <c r="HDM10" s="397"/>
      <c r="HDN10" s="397"/>
      <c r="HDO10" s="397"/>
      <c r="HDP10" s="397"/>
      <c r="HDQ10" s="397"/>
      <c r="HDR10" s="397"/>
      <c r="HDS10" s="397"/>
      <c r="HDT10" s="397"/>
      <c r="HDU10" s="397"/>
      <c r="HDV10" s="397"/>
      <c r="HDW10" s="397"/>
      <c r="HDX10" s="397"/>
      <c r="HDY10" s="397"/>
      <c r="HDZ10" s="397"/>
      <c r="HEA10" s="397"/>
      <c r="HEB10" s="397"/>
      <c r="HEC10" s="397"/>
      <c r="HED10" s="397"/>
      <c r="HEE10" s="397"/>
      <c r="HEF10" s="397"/>
      <c r="HEG10" s="397"/>
      <c r="HEH10" s="397"/>
      <c r="HEI10" s="397"/>
      <c r="HEJ10" s="397"/>
      <c r="HEK10" s="397"/>
      <c r="HEL10" s="397"/>
      <c r="HEM10" s="397"/>
      <c r="HEN10" s="397"/>
      <c r="HEO10" s="397"/>
      <c r="HEP10" s="397"/>
      <c r="HEQ10" s="397"/>
      <c r="HER10" s="397"/>
      <c r="HES10" s="397"/>
      <c r="HET10" s="397"/>
      <c r="HEU10" s="397"/>
      <c r="HEV10" s="397"/>
      <c r="HEW10" s="397"/>
      <c r="HEX10" s="397"/>
      <c r="HEY10" s="397"/>
      <c r="HEZ10" s="397"/>
      <c r="HFA10" s="397"/>
      <c r="HFB10" s="397"/>
      <c r="HFC10" s="397"/>
      <c r="HFD10" s="397"/>
      <c r="HFE10" s="397"/>
      <c r="HFF10" s="397"/>
      <c r="HFG10" s="397"/>
      <c r="HFH10" s="397"/>
      <c r="HFI10" s="397"/>
      <c r="HFJ10" s="397"/>
      <c r="HFK10" s="397"/>
      <c r="HFL10" s="397"/>
      <c r="HFM10" s="397"/>
      <c r="HFN10" s="397"/>
      <c r="HFO10" s="397"/>
      <c r="HFP10" s="397"/>
      <c r="HFQ10" s="397"/>
      <c r="HFR10" s="397"/>
      <c r="HFS10" s="397"/>
      <c r="HFT10" s="397"/>
      <c r="HFU10" s="397"/>
      <c r="HFV10" s="397"/>
      <c r="HFW10" s="397"/>
      <c r="HFX10" s="397"/>
      <c r="HFY10" s="397"/>
      <c r="HFZ10" s="397"/>
      <c r="HGA10" s="397"/>
      <c r="HGB10" s="397"/>
      <c r="HGC10" s="397"/>
      <c r="HGD10" s="397"/>
      <c r="HGE10" s="397"/>
      <c r="HGF10" s="397"/>
      <c r="HGG10" s="397"/>
      <c r="HGH10" s="397"/>
      <c r="HGI10" s="397"/>
      <c r="HGJ10" s="397"/>
      <c r="HGK10" s="397"/>
      <c r="HGL10" s="397"/>
      <c r="HGM10" s="397"/>
      <c r="HGN10" s="397"/>
      <c r="HGO10" s="397"/>
      <c r="HGP10" s="397"/>
      <c r="HGQ10" s="397"/>
      <c r="HGR10" s="397"/>
      <c r="HGS10" s="397"/>
      <c r="HGT10" s="397"/>
      <c r="HGU10" s="397"/>
      <c r="HGV10" s="397"/>
      <c r="HGW10" s="397"/>
      <c r="HGX10" s="397"/>
      <c r="HGY10" s="397"/>
      <c r="HGZ10" s="397"/>
      <c r="HHA10" s="397"/>
      <c r="HHB10" s="397"/>
      <c r="HHC10" s="397"/>
      <c r="HHD10" s="397"/>
      <c r="HHE10" s="397"/>
      <c r="HHF10" s="397"/>
      <c r="HHG10" s="397"/>
      <c r="HHH10" s="397"/>
      <c r="HHI10" s="397"/>
      <c r="HHJ10" s="397"/>
      <c r="HHK10" s="397"/>
      <c r="HHL10" s="397"/>
      <c r="HHM10" s="397"/>
      <c r="HHN10" s="397"/>
      <c r="HHO10" s="397"/>
      <c r="HHP10" s="397"/>
      <c r="HHQ10" s="397"/>
      <c r="HHR10" s="397"/>
      <c r="HHS10" s="397"/>
      <c r="HHT10" s="397"/>
      <c r="HHU10" s="397"/>
      <c r="HHV10" s="397"/>
      <c r="HHW10" s="397"/>
      <c r="HHX10" s="397"/>
      <c r="HHY10" s="397"/>
      <c r="HHZ10" s="397"/>
      <c r="HIA10" s="397"/>
      <c r="HIB10" s="397"/>
      <c r="HIC10" s="397"/>
      <c r="HID10" s="397"/>
      <c r="HIE10" s="397"/>
      <c r="HIF10" s="397"/>
      <c r="HIG10" s="397"/>
      <c r="HIH10" s="397"/>
      <c r="HII10" s="397"/>
      <c r="HIJ10" s="397"/>
      <c r="HIK10" s="397"/>
      <c r="HIL10" s="397"/>
      <c r="HIM10" s="397"/>
      <c r="HIN10" s="397"/>
      <c r="HIO10" s="397"/>
      <c r="HIP10" s="397"/>
      <c r="HIQ10" s="397"/>
      <c r="HIR10" s="397"/>
      <c r="HIS10" s="397"/>
      <c r="HIT10" s="397"/>
      <c r="HIU10" s="397"/>
      <c r="HIV10" s="397"/>
      <c r="HIW10" s="397"/>
      <c r="HIX10" s="397"/>
      <c r="HIY10" s="397"/>
      <c r="HIZ10" s="397"/>
      <c r="HJA10" s="397"/>
      <c r="HJB10" s="397"/>
      <c r="HJC10" s="397"/>
      <c r="HJD10" s="397"/>
      <c r="HJE10" s="397"/>
      <c r="HJF10" s="397"/>
      <c r="HJG10" s="397"/>
      <c r="HJH10" s="397"/>
      <c r="HJI10" s="397"/>
      <c r="HJJ10" s="397"/>
      <c r="HJK10" s="397"/>
      <c r="HJL10" s="397"/>
      <c r="HJM10" s="397"/>
      <c r="HJN10" s="397"/>
      <c r="HJO10" s="397"/>
      <c r="HJP10" s="397"/>
      <c r="HJQ10" s="397"/>
      <c r="HJR10" s="397"/>
      <c r="HJS10" s="397"/>
      <c r="HJT10" s="397"/>
      <c r="HJU10" s="397"/>
      <c r="HJV10" s="397"/>
      <c r="HJW10" s="397"/>
      <c r="HJX10" s="397"/>
      <c r="HJY10" s="397"/>
      <c r="HJZ10" s="397"/>
      <c r="HKA10" s="397"/>
      <c r="HKB10" s="397"/>
      <c r="HKC10" s="397"/>
      <c r="HKD10" s="397"/>
      <c r="HKE10" s="397"/>
      <c r="HKF10" s="397"/>
      <c r="HKG10" s="397"/>
      <c r="HKH10" s="397"/>
      <c r="HKI10" s="397"/>
      <c r="HKJ10" s="397"/>
      <c r="HKK10" s="397"/>
      <c r="HKL10" s="397"/>
      <c r="HKM10" s="397"/>
      <c r="HKN10" s="397"/>
      <c r="HKO10" s="397"/>
      <c r="HKP10" s="397"/>
      <c r="HKQ10" s="397"/>
      <c r="HKR10" s="397"/>
      <c r="HKS10" s="397"/>
      <c r="HKT10" s="397"/>
      <c r="HKU10" s="397"/>
      <c r="HKV10" s="397"/>
      <c r="HKW10" s="397"/>
      <c r="HKX10" s="397"/>
      <c r="HKY10" s="397"/>
      <c r="HKZ10" s="397"/>
      <c r="HLA10" s="397"/>
      <c r="HLB10" s="397"/>
      <c r="HLC10" s="397"/>
      <c r="HLD10" s="397"/>
      <c r="HLE10" s="397"/>
      <c r="HLF10" s="397"/>
      <c r="HLG10" s="397"/>
      <c r="HLH10" s="397"/>
      <c r="HLI10" s="397"/>
      <c r="HLJ10" s="397"/>
      <c r="HLK10" s="397"/>
      <c r="HLL10" s="397"/>
      <c r="HLM10" s="397"/>
      <c r="HLN10" s="397"/>
      <c r="HLO10" s="397"/>
      <c r="HLP10" s="397"/>
      <c r="HLQ10" s="397"/>
      <c r="HLR10" s="397"/>
      <c r="HLS10" s="397"/>
      <c r="HLT10" s="397"/>
      <c r="HLU10" s="397"/>
      <c r="HLV10" s="397"/>
      <c r="HLW10" s="397"/>
      <c r="HLX10" s="397"/>
      <c r="HLY10" s="397"/>
      <c r="HLZ10" s="397"/>
      <c r="HMA10" s="397"/>
      <c r="HMB10" s="397"/>
      <c r="HMC10" s="397"/>
      <c r="HMD10" s="397"/>
      <c r="HME10" s="397"/>
      <c r="HMF10" s="397"/>
      <c r="HMG10" s="397"/>
      <c r="HMH10" s="397"/>
      <c r="HMI10" s="397"/>
      <c r="HMJ10" s="397"/>
      <c r="HMK10" s="397"/>
      <c r="HML10" s="397"/>
      <c r="HMM10" s="397"/>
      <c r="HMN10" s="397"/>
      <c r="HMO10" s="397"/>
      <c r="HMP10" s="397"/>
      <c r="HMQ10" s="397"/>
      <c r="HMR10" s="397"/>
      <c r="HMS10" s="397"/>
      <c r="HMT10" s="397"/>
      <c r="HMU10" s="397"/>
      <c r="HMV10" s="397"/>
      <c r="HMW10" s="397"/>
      <c r="HMX10" s="397"/>
      <c r="HMY10" s="397"/>
      <c r="HMZ10" s="397"/>
      <c r="HNA10" s="397"/>
      <c r="HNB10" s="397"/>
      <c r="HNC10" s="397"/>
      <c r="HND10" s="397"/>
      <c r="HNE10" s="397"/>
      <c r="HNF10" s="397"/>
      <c r="HNG10" s="397"/>
      <c r="HNH10" s="397"/>
      <c r="HNI10" s="397"/>
      <c r="HNJ10" s="397"/>
      <c r="HNK10" s="397"/>
      <c r="HNL10" s="397"/>
      <c r="HNM10" s="397"/>
      <c r="HNN10" s="397"/>
      <c r="HNO10" s="397"/>
      <c r="HNP10" s="397"/>
      <c r="HNQ10" s="397"/>
      <c r="HNR10" s="397"/>
      <c r="HNS10" s="397"/>
      <c r="HNT10" s="397"/>
      <c r="HNU10" s="397"/>
      <c r="HNV10" s="397"/>
      <c r="HNW10" s="397"/>
      <c r="HNX10" s="397"/>
      <c r="HNY10" s="397"/>
      <c r="HNZ10" s="397"/>
      <c r="HOA10" s="397"/>
      <c r="HOB10" s="397"/>
      <c r="HOC10" s="397"/>
      <c r="HOD10" s="397"/>
      <c r="HOE10" s="397"/>
      <c r="HOF10" s="397"/>
      <c r="HOG10" s="397"/>
      <c r="HOH10" s="397"/>
      <c r="HOI10" s="397"/>
      <c r="HOJ10" s="397"/>
      <c r="HOK10" s="397"/>
      <c r="HOL10" s="397"/>
      <c r="HOM10" s="397"/>
      <c r="HON10" s="397"/>
      <c r="HOO10" s="397"/>
      <c r="HOP10" s="397"/>
      <c r="HOQ10" s="397"/>
      <c r="HOR10" s="397"/>
      <c r="HOS10" s="397"/>
      <c r="HOT10" s="397"/>
      <c r="HOU10" s="397"/>
      <c r="HOV10" s="397"/>
      <c r="HOW10" s="397"/>
      <c r="HOX10" s="397"/>
      <c r="HOY10" s="397"/>
      <c r="HOZ10" s="397"/>
      <c r="HPA10" s="397"/>
      <c r="HPB10" s="397"/>
      <c r="HPC10" s="397"/>
      <c r="HPD10" s="397"/>
      <c r="HPE10" s="397"/>
      <c r="HPF10" s="397"/>
      <c r="HPG10" s="397"/>
      <c r="HPH10" s="397"/>
      <c r="HPI10" s="397"/>
      <c r="HPJ10" s="397"/>
      <c r="HPK10" s="397"/>
      <c r="HPL10" s="397"/>
      <c r="HPM10" s="397"/>
      <c r="HPN10" s="397"/>
      <c r="HPO10" s="397"/>
      <c r="HPP10" s="397"/>
      <c r="HPQ10" s="397"/>
      <c r="HPR10" s="397"/>
      <c r="HPS10" s="397"/>
      <c r="HPT10" s="397"/>
      <c r="HPU10" s="397"/>
      <c r="HPV10" s="397"/>
      <c r="HPW10" s="397"/>
      <c r="HPX10" s="397"/>
      <c r="HPY10" s="397"/>
      <c r="HPZ10" s="397"/>
      <c r="HQA10" s="397"/>
      <c r="HQB10" s="397"/>
      <c r="HQC10" s="397"/>
      <c r="HQD10" s="397"/>
      <c r="HQE10" s="397"/>
      <c r="HQF10" s="397"/>
      <c r="HQG10" s="397"/>
      <c r="HQH10" s="397"/>
      <c r="HQI10" s="397"/>
      <c r="HQJ10" s="397"/>
      <c r="HQK10" s="397"/>
      <c r="HQL10" s="397"/>
      <c r="HQM10" s="397"/>
      <c r="HQN10" s="397"/>
      <c r="HQO10" s="397"/>
      <c r="HQP10" s="397"/>
      <c r="HQQ10" s="397"/>
      <c r="HQR10" s="397"/>
      <c r="HQS10" s="397"/>
      <c r="HQT10" s="397"/>
      <c r="HQU10" s="397"/>
      <c r="HQV10" s="397"/>
      <c r="HQW10" s="397"/>
      <c r="HQX10" s="397"/>
      <c r="HQY10" s="397"/>
      <c r="HQZ10" s="397"/>
      <c r="HRA10" s="397"/>
      <c r="HRB10" s="397"/>
      <c r="HRC10" s="397"/>
      <c r="HRD10" s="397"/>
      <c r="HRE10" s="397"/>
      <c r="HRF10" s="397"/>
      <c r="HRG10" s="397"/>
      <c r="HRH10" s="397"/>
      <c r="HRI10" s="397"/>
      <c r="HRJ10" s="397"/>
      <c r="HRK10" s="397"/>
      <c r="HRL10" s="397"/>
      <c r="HRM10" s="397"/>
      <c r="HRN10" s="397"/>
      <c r="HRO10" s="397"/>
      <c r="HRP10" s="397"/>
      <c r="HRQ10" s="397"/>
      <c r="HRR10" s="397"/>
      <c r="HRS10" s="397"/>
      <c r="HRT10" s="397"/>
      <c r="HRU10" s="397"/>
      <c r="HRV10" s="397"/>
      <c r="HRW10" s="397"/>
      <c r="HRX10" s="397"/>
      <c r="HRY10" s="397"/>
      <c r="HRZ10" s="397"/>
      <c r="HSA10" s="397"/>
      <c r="HSB10" s="397"/>
      <c r="HSC10" s="397"/>
      <c r="HSD10" s="397"/>
      <c r="HSE10" s="397"/>
      <c r="HSF10" s="397"/>
      <c r="HSG10" s="397"/>
      <c r="HSH10" s="397"/>
      <c r="HSI10" s="397"/>
      <c r="HSJ10" s="397"/>
      <c r="HSK10" s="397"/>
      <c r="HSL10" s="397"/>
      <c r="HSM10" s="397"/>
      <c r="HSN10" s="397"/>
      <c r="HSO10" s="397"/>
      <c r="HSP10" s="397"/>
      <c r="HSQ10" s="397"/>
      <c r="HSR10" s="397"/>
      <c r="HSS10" s="397"/>
      <c r="HST10" s="397"/>
      <c r="HSU10" s="397"/>
      <c r="HSV10" s="397"/>
      <c r="HSW10" s="397"/>
      <c r="HSX10" s="397"/>
      <c r="HSY10" s="397"/>
      <c r="HSZ10" s="397"/>
      <c r="HTA10" s="397"/>
      <c r="HTB10" s="397"/>
      <c r="HTC10" s="397"/>
      <c r="HTD10" s="397"/>
      <c r="HTE10" s="397"/>
      <c r="HTF10" s="397"/>
      <c r="HTG10" s="397"/>
      <c r="HTH10" s="397"/>
      <c r="HTI10" s="397"/>
      <c r="HTJ10" s="397"/>
      <c r="HTK10" s="397"/>
      <c r="HTL10" s="397"/>
      <c r="HTM10" s="397"/>
      <c r="HTN10" s="397"/>
      <c r="HTO10" s="397"/>
      <c r="HTP10" s="397"/>
      <c r="HTQ10" s="397"/>
      <c r="HTR10" s="397"/>
      <c r="HTS10" s="397"/>
      <c r="HTT10" s="397"/>
      <c r="HTU10" s="397"/>
      <c r="HTV10" s="397"/>
      <c r="HTW10" s="397"/>
      <c r="HTX10" s="397"/>
      <c r="HTY10" s="397"/>
      <c r="HTZ10" s="397"/>
      <c r="HUA10" s="397"/>
      <c r="HUB10" s="397"/>
      <c r="HUC10" s="397"/>
      <c r="HUD10" s="397"/>
      <c r="HUE10" s="397"/>
      <c r="HUF10" s="397"/>
      <c r="HUG10" s="397"/>
      <c r="HUH10" s="397"/>
      <c r="HUI10" s="397"/>
      <c r="HUJ10" s="397"/>
      <c r="HUK10" s="397"/>
      <c r="HUL10" s="397"/>
      <c r="HUM10" s="397"/>
      <c r="HUN10" s="397"/>
      <c r="HUO10" s="397"/>
      <c r="HUP10" s="397"/>
      <c r="HUQ10" s="397"/>
      <c r="HUR10" s="397"/>
      <c r="HUS10" s="397"/>
      <c r="HUT10" s="397"/>
      <c r="HUU10" s="397"/>
      <c r="HUV10" s="397"/>
      <c r="HUW10" s="397"/>
      <c r="HUX10" s="397"/>
      <c r="HUY10" s="397"/>
      <c r="HUZ10" s="397"/>
      <c r="HVA10" s="397"/>
      <c r="HVB10" s="397"/>
      <c r="HVC10" s="397"/>
      <c r="HVD10" s="397"/>
      <c r="HVE10" s="397"/>
      <c r="HVF10" s="397"/>
      <c r="HVG10" s="397"/>
      <c r="HVH10" s="397"/>
      <c r="HVI10" s="397"/>
      <c r="HVJ10" s="397"/>
      <c r="HVK10" s="397"/>
      <c r="HVL10" s="397"/>
      <c r="HVM10" s="397"/>
      <c r="HVN10" s="397"/>
      <c r="HVO10" s="397"/>
      <c r="HVP10" s="397"/>
      <c r="HVQ10" s="397"/>
      <c r="HVR10" s="397"/>
      <c r="HVS10" s="397"/>
      <c r="HVT10" s="397"/>
      <c r="HVU10" s="397"/>
      <c r="HVV10" s="397"/>
      <c r="HVW10" s="397"/>
      <c r="HVX10" s="397"/>
      <c r="HVY10" s="397"/>
      <c r="HVZ10" s="397"/>
      <c r="HWA10" s="397"/>
      <c r="HWB10" s="397"/>
      <c r="HWC10" s="397"/>
      <c r="HWD10" s="397"/>
      <c r="HWE10" s="397"/>
      <c r="HWF10" s="397"/>
      <c r="HWG10" s="397"/>
      <c r="HWH10" s="397"/>
      <c r="HWI10" s="397"/>
      <c r="HWJ10" s="397"/>
      <c r="HWK10" s="397"/>
      <c r="HWL10" s="397"/>
      <c r="HWM10" s="397"/>
      <c r="HWN10" s="397"/>
      <c r="HWO10" s="397"/>
      <c r="HWP10" s="397"/>
      <c r="HWQ10" s="397"/>
      <c r="HWR10" s="397"/>
      <c r="HWS10" s="397"/>
      <c r="HWT10" s="397"/>
      <c r="HWU10" s="397"/>
      <c r="HWV10" s="397"/>
      <c r="HWW10" s="397"/>
      <c r="HWX10" s="397"/>
      <c r="HWY10" s="397"/>
      <c r="HWZ10" s="397"/>
      <c r="HXA10" s="397"/>
      <c r="HXB10" s="397"/>
      <c r="HXC10" s="397"/>
      <c r="HXD10" s="397"/>
      <c r="HXE10" s="397"/>
      <c r="HXF10" s="397"/>
      <c r="HXG10" s="397"/>
      <c r="HXH10" s="397"/>
      <c r="HXI10" s="397"/>
      <c r="HXJ10" s="397"/>
      <c r="HXK10" s="397"/>
      <c r="HXL10" s="397"/>
      <c r="HXM10" s="397"/>
      <c r="HXN10" s="397"/>
      <c r="HXO10" s="397"/>
      <c r="HXP10" s="397"/>
      <c r="HXQ10" s="397"/>
      <c r="HXR10" s="397"/>
      <c r="HXS10" s="397"/>
      <c r="HXT10" s="397"/>
      <c r="HXU10" s="397"/>
      <c r="HXV10" s="397"/>
      <c r="HXW10" s="397"/>
      <c r="HXX10" s="397"/>
      <c r="HXY10" s="397"/>
      <c r="HXZ10" s="397"/>
      <c r="HYA10" s="397"/>
      <c r="HYB10" s="397"/>
      <c r="HYC10" s="397"/>
      <c r="HYD10" s="397"/>
      <c r="HYE10" s="397"/>
      <c r="HYF10" s="397"/>
      <c r="HYG10" s="397"/>
      <c r="HYH10" s="397"/>
      <c r="HYI10" s="397"/>
      <c r="HYJ10" s="397"/>
      <c r="HYK10" s="397"/>
      <c r="HYL10" s="397"/>
      <c r="HYM10" s="397"/>
      <c r="HYN10" s="397"/>
      <c r="HYO10" s="397"/>
      <c r="HYP10" s="397"/>
      <c r="HYQ10" s="397"/>
      <c r="HYR10" s="397"/>
      <c r="HYS10" s="397"/>
      <c r="HYT10" s="397"/>
      <c r="HYU10" s="397"/>
      <c r="HYV10" s="397"/>
      <c r="HYW10" s="397"/>
      <c r="HYX10" s="397"/>
      <c r="HYY10" s="397"/>
      <c r="HYZ10" s="397"/>
      <c r="HZA10" s="397"/>
      <c r="HZB10" s="397"/>
      <c r="HZC10" s="397"/>
      <c r="HZD10" s="397"/>
      <c r="HZE10" s="397"/>
      <c r="HZF10" s="397"/>
      <c r="HZG10" s="397"/>
      <c r="HZH10" s="397"/>
      <c r="HZI10" s="397"/>
      <c r="HZJ10" s="397"/>
      <c r="HZK10" s="397"/>
      <c r="HZL10" s="397"/>
      <c r="HZM10" s="397"/>
      <c r="HZN10" s="397"/>
      <c r="HZO10" s="397"/>
      <c r="HZP10" s="397"/>
      <c r="HZQ10" s="397"/>
      <c r="HZR10" s="397"/>
      <c r="HZS10" s="397"/>
      <c r="HZT10" s="397"/>
      <c r="HZU10" s="397"/>
      <c r="HZV10" s="397"/>
      <c r="HZW10" s="397"/>
      <c r="HZX10" s="397"/>
      <c r="HZY10" s="397"/>
      <c r="HZZ10" s="397"/>
      <c r="IAA10" s="397"/>
      <c r="IAB10" s="397"/>
      <c r="IAC10" s="397"/>
      <c r="IAD10" s="397"/>
      <c r="IAE10" s="397"/>
      <c r="IAF10" s="397"/>
      <c r="IAG10" s="397"/>
      <c r="IAH10" s="397"/>
      <c r="IAI10" s="397"/>
      <c r="IAJ10" s="397"/>
      <c r="IAK10" s="397"/>
      <c r="IAL10" s="397"/>
      <c r="IAM10" s="397"/>
      <c r="IAN10" s="397"/>
      <c r="IAO10" s="397"/>
      <c r="IAP10" s="397"/>
      <c r="IAQ10" s="397"/>
      <c r="IAR10" s="397"/>
      <c r="IAS10" s="397"/>
      <c r="IAT10" s="397"/>
      <c r="IAU10" s="397"/>
      <c r="IAV10" s="397"/>
      <c r="IAW10" s="397"/>
      <c r="IAX10" s="397"/>
      <c r="IAY10" s="397"/>
      <c r="IAZ10" s="397"/>
      <c r="IBA10" s="397"/>
      <c r="IBB10" s="397"/>
      <c r="IBC10" s="397"/>
      <c r="IBD10" s="397"/>
      <c r="IBE10" s="397"/>
      <c r="IBF10" s="397"/>
      <c r="IBG10" s="397"/>
      <c r="IBH10" s="397"/>
      <c r="IBI10" s="397"/>
      <c r="IBJ10" s="397"/>
      <c r="IBK10" s="397"/>
      <c r="IBL10" s="397"/>
      <c r="IBM10" s="397"/>
      <c r="IBN10" s="397"/>
      <c r="IBO10" s="397"/>
      <c r="IBP10" s="397"/>
      <c r="IBQ10" s="397"/>
      <c r="IBR10" s="397"/>
      <c r="IBS10" s="397"/>
      <c r="IBT10" s="397"/>
      <c r="IBU10" s="397"/>
      <c r="IBV10" s="397"/>
      <c r="IBW10" s="397"/>
      <c r="IBX10" s="397"/>
      <c r="IBY10" s="397"/>
      <c r="IBZ10" s="397"/>
      <c r="ICA10" s="397"/>
      <c r="ICB10" s="397"/>
      <c r="ICC10" s="397"/>
      <c r="ICD10" s="397"/>
      <c r="ICE10" s="397"/>
      <c r="ICF10" s="397"/>
      <c r="ICG10" s="397"/>
      <c r="ICH10" s="397"/>
      <c r="ICI10" s="397"/>
      <c r="ICJ10" s="397"/>
      <c r="ICK10" s="397"/>
      <c r="ICL10" s="397"/>
      <c r="ICM10" s="397"/>
      <c r="ICN10" s="397"/>
      <c r="ICO10" s="397"/>
      <c r="ICP10" s="397"/>
      <c r="ICQ10" s="397"/>
      <c r="ICR10" s="397"/>
      <c r="ICS10" s="397"/>
      <c r="ICT10" s="397"/>
      <c r="ICU10" s="397"/>
      <c r="ICV10" s="397"/>
      <c r="ICW10" s="397"/>
      <c r="ICX10" s="397"/>
      <c r="ICY10" s="397"/>
      <c r="ICZ10" s="397"/>
      <c r="IDA10" s="397"/>
      <c r="IDB10" s="397"/>
      <c r="IDC10" s="397"/>
      <c r="IDD10" s="397"/>
      <c r="IDE10" s="397"/>
      <c r="IDF10" s="397"/>
      <c r="IDG10" s="397"/>
      <c r="IDH10" s="397"/>
      <c r="IDI10" s="397"/>
      <c r="IDJ10" s="397"/>
      <c r="IDK10" s="397"/>
      <c r="IDL10" s="397"/>
      <c r="IDM10" s="397"/>
      <c r="IDN10" s="397"/>
      <c r="IDO10" s="397"/>
      <c r="IDP10" s="397"/>
      <c r="IDQ10" s="397"/>
      <c r="IDR10" s="397"/>
      <c r="IDS10" s="397"/>
      <c r="IDT10" s="397"/>
      <c r="IDU10" s="397"/>
      <c r="IDV10" s="397"/>
      <c r="IDW10" s="397"/>
      <c r="IDX10" s="397"/>
      <c r="IDY10" s="397"/>
      <c r="IDZ10" s="397"/>
      <c r="IEA10" s="397"/>
      <c r="IEB10" s="397"/>
      <c r="IEC10" s="397"/>
      <c r="IED10" s="397"/>
      <c r="IEE10" s="397"/>
      <c r="IEF10" s="397"/>
      <c r="IEG10" s="397"/>
      <c r="IEH10" s="397"/>
      <c r="IEI10" s="397"/>
      <c r="IEJ10" s="397"/>
      <c r="IEK10" s="397"/>
      <c r="IEL10" s="397"/>
      <c r="IEM10" s="397"/>
      <c r="IEN10" s="397"/>
      <c r="IEO10" s="397"/>
      <c r="IEP10" s="397"/>
      <c r="IEQ10" s="397"/>
      <c r="IER10" s="397"/>
      <c r="IES10" s="397"/>
      <c r="IET10" s="397"/>
      <c r="IEU10" s="397"/>
      <c r="IEV10" s="397"/>
      <c r="IEW10" s="397"/>
      <c r="IEX10" s="397"/>
      <c r="IEY10" s="397"/>
      <c r="IEZ10" s="397"/>
      <c r="IFA10" s="397"/>
      <c r="IFB10" s="397"/>
      <c r="IFC10" s="397"/>
      <c r="IFD10" s="397"/>
      <c r="IFE10" s="397"/>
      <c r="IFF10" s="397"/>
      <c r="IFG10" s="397"/>
      <c r="IFH10" s="397"/>
      <c r="IFI10" s="397"/>
      <c r="IFJ10" s="397"/>
      <c r="IFK10" s="397"/>
      <c r="IFL10" s="397"/>
      <c r="IFM10" s="397"/>
      <c r="IFN10" s="397"/>
      <c r="IFO10" s="397"/>
      <c r="IFP10" s="397"/>
      <c r="IFQ10" s="397"/>
      <c r="IFR10" s="397"/>
      <c r="IFS10" s="397"/>
      <c r="IFT10" s="397"/>
      <c r="IFU10" s="397"/>
      <c r="IFV10" s="397"/>
      <c r="IFW10" s="397"/>
      <c r="IFX10" s="397"/>
      <c r="IFY10" s="397"/>
      <c r="IFZ10" s="397"/>
      <c r="IGA10" s="397"/>
      <c r="IGB10" s="397"/>
      <c r="IGC10" s="397"/>
      <c r="IGD10" s="397"/>
      <c r="IGE10" s="397"/>
      <c r="IGF10" s="397"/>
      <c r="IGG10" s="397"/>
      <c r="IGH10" s="397"/>
      <c r="IGI10" s="397"/>
      <c r="IGJ10" s="397"/>
      <c r="IGK10" s="397"/>
      <c r="IGL10" s="397"/>
      <c r="IGM10" s="397"/>
      <c r="IGN10" s="397"/>
      <c r="IGO10" s="397"/>
      <c r="IGP10" s="397"/>
      <c r="IGQ10" s="397"/>
      <c r="IGR10" s="397"/>
      <c r="IGS10" s="397"/>
      <c r="IGT10" s="397"/>
      <c r="IGU10" s="397"/>
      <c r="IGV10" s="397"/>
      <c r="IGW10" s="397"/>
      <c r="IGX10" s="397"/>
      <c r="IGY10" s="397"/>
      <c r="IGZ10" s="397"/>
      <c r="IHA10" s="397"/>
      <c r="IHB10" s="397"/>
      <c r="IHC10" s="397"/>
      <c r="IHD10" s="397"/>
      <c r="IHE10" s="397"/>
      <c r="IHF10" s="397"/>
      <c r="IHG10" s="397"/>
      <c r="IHH10" s="397"/>
      <c r="IHI10" s="397"/>
      <c r="IHJ10" s="397"/>
      <c r="IHK10" s="397"/>
      <c r="IHL10" s="397"/>
      <c r="IHM10" s="397"/>
      <c r="IHN10" s="397"/>
      <c r="IHO10" s="397"/>
      <c r="IHP10" s="397"/>
      <c r="IHQ10" s="397"/>
      <c r="IHR10" s="397"/>
      <c r="IHS10" s="397"/>
      <c r="IHT10" s="397"/>
      <c r="IHU10" s="397"/>
      <c r="IHV10" s="397"/>
      <c r="IHW10" s="397"/>
      <c r="IHX10" s="397"/>
      <c r="IHY10" s="397"/>
      <c r="IHZ10" s="397"/>
      <c r="IIA10" s="397"/>
      <c r="IIB10" s="397"/>
      <c r="IIC10" s="397"/>
      <c r="IID10" s="397"/>
      <c r="IIE10" s="397"/>
      <c r="IIF10" s="397"/>
      <c r="IIG10" s="397"/>
      <c r="IIH10" s="397"/>
      <c r="III10" s="397"/>
      <c r="IIJ10" s="397"/>
      <c r="IIK10" s="397"/>
      <c r="IIL10" s="397"/>
      <c r="IIM10" s="397"/>
      <c r="IIN10" s="397"/>
      <c r="IIO10" s="397"/>
      <c r="IIP10" s="397"/>
      <c r="IIQ10" s="397"/>
      <c r="IIR10" s="397"/>
      <c r="IIS10" s="397"/>
      <c r="IIT10" s="397"/>
      <c r="IIU10" s="397"/>
      <c r="IIV10" s="397"/>
      <c r="IIW10" s="397"/>
      <c r="IIX10" s="397"/>
      <c r="IIY10" s="397"/>
      <c r="IIZ10" s="397"/>
      <c r="IJA10" s="397"/>
      <c r="IJB10" s="397"/>
      <c r="IJC10" s="397"/>
      <c r="IJD10" s="397"/>
      <c r="IJE10" s="397"/>
      <c r="IJF10" s="397"/>
      <c r="IJG10" s="397"/>
      <c r="IJH10" s="397"/>
      <c r="IJI10" s="397"/>
      <c r="IJJ10" s="397"/>
      <c r="IJK10" s="397"/>
      <c r="IJL10" s="397"/>
      <c r="IJM10" s="397"/>
      <c r="IJN10" s="397"/>
      <c r="IJO10" s="397"/>
      <c r="IJP10" s="397"/>
      <c r="IJQ10" s="397"/>
      <c r="IJR10" s="397"/>
      <c r="IJS10" s="397"/>
      <c r="IJT10" s="397"/>
      <c r="IJU10" s="397"/>
      <c r="IJV10" s="397"/>
      <c r="IJW10" s="397"/>
      <c r="IJX10" s="397"/>
      <c r="IJY10" s="397"/>
      <c r="IJZ10" s="397"/>
      <c r="IKA10" s="397"/>
      <c r="IKB10" s="397"/>
      <c r="IKC10" s="397"/>
      <c r="IKD10" s="397"/>
      <c r="IKE10" s="397"/>
      <c r="IKF10" s="397"/>
      <c r="IKG10" s="397"/>
      <c r="IKH10" s="397"/>
      <c r="IKI10" s="397"/>
      <c r="IKJ10" s="397"/>
      <c r="IKK10" s="397"/>
      <c r="IKL10" s="397"/>
      <c r="IKM10" s="397"/>
      <c r="IKN10" s="397"/>
      <c r="IKO10" s="397"/>
      <c r="IKP10" s="397"/>
      <c r="IKQ10" s="397"/>
      <c r="IKR10" s="397"/>
      <c r="IKS10" s="397"/>
      <c r="IKT10" s="397"/>
      <c r="IKU10" s="397"/>
      <c r="IKV10" s="397"/>
      <c r="IKW10" s="397"/>
      <c r="IKX10" s="397"/>
      <c r="IKY10" s="397"/>
      <c r="IKZ10" s="397"/>
      <c r="ILA10" s="397"/>
      <c r="ILB10" s="397"/>
      <c r="ILC10" s="397"/>
      <c r="ILD10" s="397"/>
      <c r="ILE10" s="397"/>
      <c r="ILF10" s="397"/>
      <c r="ILG10" s="397"/>
      <c r="ILH10" s="397"/>
      <c r="ILI10" s="397"/>
      <c r="ILJ10" s="397"/>
      <c r="ILK10" s="397"/>
      <c r="ILL10" s="397"/>
      <c r="ILM10" s="397"/>
      <c r="ILN10" s="397"/>
      <c r="ILO10" s="397"/>
      <c r="ILP10" s="397"/>
      <c r="ILQ10" s="397"/>
      <c r="ILR10" s="397"/>
      <c r="ILS10" s="397"/>
      <c r="ILT10" s="397"/>
      <c r="ILU10" s="397"/>
      <c r="ILV10" s="397"/>
      <c r="ILW10" s="397"/>
      <c r="ILX10" s="397"/>
      <c r="ILY10" s="397"/>
      <c r="ILZ10" s="397"/>
      <c r="IMA10" s="397"/>
      <c r="IMB10" s="397"/>
      <c r="IMC10" s="397"/>
      <c r="IMD10" s="397"/>
      <c r="IME10" s="397"/>
      <c r="IMF10" s="397"/>
      <c r="IMG10" s="397"/>
      <c r="IMH10" s="397"/>
      <c r="IMI10" s="397"/>
      <c r="IMJ10" s="397"/>
      <c r="IMK10" s="397"/>
      <c r="IML10" s="397"/>
      <c r="IMM10" s="397"/>
      <c r="IMN10" s="397"/>
      <c r="IMO10" s="397"/>
      <c r="IMP10" s="397"/>
      <c r="IMQ10" s="397"/>
      <c r="IMR10" s="397"/>
      <c r="IMS10" s="397"/>
      <c r="IMT10" s="397"/>
      <c r="IMU10" s="397"/>
      <c r="IMV10" s="397"/>
      <c r="IMW10" s="397"/>
      <c r="IMX10" s="397"/>
      <c r="IMY10" s="397"/>
      <c r="IMZ10" s="397"/>
      <c r="INA10" s="397"/>
      <c r="INB10" s="397"/>
      <c r="INC10" s="397"/>
      <c r="IND10" s="397"/>
      <c r="INE10" s="397"/>
      <c r="INF10" s="397"/>
      <c r="ING10" s="397"/>
      <c r="INH10" s="397"/>
      <c r="INI10" s="397"/>
      <c r="INJ10" s="397"/>
      <c r="INK10" s="397"/>
      <c r="INL10" s="397"/>
      <c r="INM10" s="397"/>
      <c r="INN10" s="397"/>
      <c r="INO10" s="397"/>
      <c r="INP10" s="397"/>
      <c r="INQ10" s="397"/>
      <c r="INR10" s="397"/>
      <c r="INS10" s="397"/>
      <c r="INT10" s="397"/>
      <c r="INU10" s="397"/>
      <c r="INV10" s="397"/>
      <c r="INW10" s="397"/>
      <c r="INX10" s="397"/>
      <c r="INY10" s="397"/>
      <c r="INZ10" s="397"/>
      <c r="IOA10" s="397"/>
      <c r="IOB10" s="397"/>
      <c r="IOC10" s="397"/>
      <c r="IOD10" s="397"/>
      <c r="IOE10" s="397"/>
      <c r="IOF10" s="397"/>
      <c r="IOG10" s="397"/>
      <c r="IOH10" s="397"/>
      <c r="IOI10" s="397"/>
      <c r="IOJ10" s="397"/>
      <c r="IOK10" s="397"/>
      <c r="IOL10" s="397"/>
      <c r="IOM10" s="397"/>
      <c r="ION10" s="397"/>
      <c r="IOO10" s="397"/>
      <c r="IOP10" s="397"/>
      <c r="IOQ10" s="397"/>
      <c r="IOR10" s="397"/>
      <c r="IOS10" s="397"/>
      <c r="IOT10" s="397"/>
      <c r="IOU10" s="397"/>
      <c r="IOV10" s="397"/>
      <c r="IOW10" s="397"/>
      <c r="IOX10" s="397"/>
      <c r="IOY10" s="397"/>
      <c r="IOZ10" s="397"/>
      <c r="IPA10" s="397"/>
      <c r="IPB10" s="397"/>
      <c r="IPC10" s="397"/>
      <c r="IPD10" s="397"/>
      <c r="IPE10" s="397"/>
      <c r="IPF10" s="397"/>
      <c r="IPG10" s="397"/>
      <c r="IPH10" s="397"/>
      <c r="IPI10" s="397"/>
      <c r="IPJ10" s="397"/>
      <c r="IPK10" s="397"/>
      <c r="IPL10" s="397"/>
      <c r="IPM10" s="397"/>
      <c r="IPN10" s="397"/>
      <c r="IPO10" s="397"/>
      <c r="IPP10" s="397"/>
      <c r="IPQ10" s="397"/>
      <c r="IPR10" s="397"/>
      <c r="IPS10" s="397"/>
      <c r="IPT10" s="397"/>
      <c r="IPU10" s="397"/>
      <c r="IPV10" s="397"/>
      <c r="IPW10" s="397"/>
      <c r="IPX10" s="397"/>
      <c r="IPY10" s="397"/>
      <c r="IPZ10" s="397"/>
      <c r="IQA10" s="397"/>
      <c r="IQB10" s="397"/>
      <c r="IQC10" s="397"/>
      <c r="IQD10" s="397"/>
      <c r="IQE10" s="397"/>
      <c r="IQF10" s="397"/>
      <c r="IQG10" s="397"/>
      <c r="IQH10" s="397"/>
      <c r="IQI10" s="397"/>
      <c r="IQJ10" s="397"/>
      <c r="IQK10" s="397"/>
      <c r="IQL10" s="397"/>
      <c r="IQM10" s="397"/>
      <c r="IQN10" s="397"/>
      <c r="IQO10" s="397"/>
      <c r="IQP10" s="397"/>
      <c r="IQQ10" s="397"/>
      <c r="IQR10" s="397"/>
      <c r="IQS10" s="397"/>
      <c r="IQT10" s="397"/>
      <c r="IQU10" s="397"/>
      <c r="IQV10" s="397"/>
      <c r="IQW10" s="397"/>
      <c r="IQX10" s="397"/>
      <c r="IQY10" s="397"/>
      <c r="IQZ10" s="397"/>
      <c r="IRA10" s="397"/>
      <c r="IRB10" s="397"/>
      <c r="IRC10" s="397"/>
      <c r="IRD10" s="397"/>
      <c r="IRE10" s="397"/>
      <c r="IRF10" s="397"/>
      <c r="IRG10" s="397"/>
      <c r="IRH10" s="397"/>
      <c r="IRI10" s="397"/>
      <c r="IRJ10" s="397"/>
      <c r="IRK10" s="397"/>
      <c r="IRL10" s="397"/>
      <c r="IRM10" s="397"/>
      <c r="IRN10" s="397"/>
      <c r="IRO10" s="397"/>
      <c r="IRP10" s="397"/>
      <c r="IRQ10" s="397"/>
      <c r="IRR10" s="397"/>
      <c r="IRS10" s="397"/>
      <c r="IRT10" s="397"/>
      <c r="IRU10" s="397"/>
      <c r="IRV10" s="397"/>
      <c r="IRW10" s="397"/>
      <c r="IRX10" s="397"/>
      <c r="IRY10" s="397"/>
      <c r="IRZ10" s="397"/>
      <c r="ISA10" s="397"/>
      <c r="ISB10" s="397"/>
      <c r="ISC10" s="397"/>
      <c r="ISD10" s="397"/>
      <c r="ISE10" s="397"/>
      <c r="ISF10" s="397"/>
      <c r="ISG10" s="397"/>
      <c r="ISH10" s="397"/>
      <c r="ISI10" s="397"/>
      <c r="ISJ10" s="397"/>
      <c r="ISK10" s="397"/>
      <c r="ISL10" s="397"/>
      <c r="ISM10" s="397"/>
      <c r="ISN10" s="397"/>
      <c r="ISO10" s="397"/>
      <c r="ISP10" s="397"/>
      <c r="ISQ10" s="397"/>
      <c r="ISR10" s="397"/>
      <c r="ISS10" s="397"/>
      <c r="IST10" s="397"/>
      <c r="ISU10" s="397"/>
      <c r="ISV10" s="397"/>
      <c r="ISW10" s="397"/>
      <c r="ISX10" s="397"/>
      <c r="ISY10" s="397"/>
      <c r="ISZ10" s="397"/>
      <c r="ITA10" s="397"/>
      <c r="ITB10" s="397"/>
      <c r="ITC10" s="397"/>
      <c r="ITD10" s="397"/>
      <c r="ITE10" s="397"/>
      <c r="ITF10" s="397"/>
      <c r="ITG10" s="397"/>
      <c r="ITH10" s="397"/>
      <c r="ITI10" s="397"/>
      <c r="ITJ10" s="397"/>
      <c r="ITK10" s="397"/>
      <c r="ITL10" s="397"/>
      <c r="ITM10" s="397"/>
      <c r="ITN10" s="397"/>
      <c r="ITO10" s="397"/>
      <c r="ITP10" s="397"/>
      <c r="ITQ10" s="397"/>
      <c r="ITR10" s="397"/>
      <c r="ITS10" s="397"/>
      <c r="ITT10" s="397"/>
      <c r="ITU10" s="397"/>
      <c r="ITV10" s="397"/>
      <c r="ITW10" s="397"/>
      <c r="ITX10" s="397"/>
      <c r="ITY10" s="397"/>
      <c r="ITZ10" s="397"/>
      <c r="IUA10" s="397"/>
      <c r="IUB10" s="397"/>
      <c r="IUC10" s="397"/>
      <c r="IUD10" s="397"/>
      <c r="IUE10" s="397"/>
      <c r="IUF10" s="397"/>
      <c r="IUG10" s="397"/>
      <c r="IUH10" s="397"/>
      <c r="IUI10" s="397"/>
      <c r="IUJ10" s="397"/>
      <c r="IUK10" s="397"/>
      <c r="IUL10" s="397"/>
      <c r="IUM10" s="397"/>
      <c r="IUN10" s="397"/>
      <c r="IUO10" s="397"/>
      <c r="IUP10" s="397"/>
      <c r="IUQ10" s="397"/>
      <c r="IUR10" s="397"/>
      <c r="IUS10" s="397"/>
      <c r="IUT10" s="397"/>
      <c r="IUU10" s="397"/>
      <c r="IUV10" s="397"/>
      <c r="IUW10" s="397"/>
      <c r="IUX10" s="397"/>
      <c r="IUY10" s="397"/>
      <c r="IUZ10" s="397"/>
      <c r="IVA10" s="397"/>
      <c r="IVB10" s="397"/>
      <c r="IVC10" s="397"/>
      <c r="IVD10" s="397"/>
      <c r="IVE10" s="397"/>
      <c r="IVF10" s="397"/>
      <c r="IVG10" s="397"/>
      <c r="IVH10" s="397"/>
      <c r="IVI10" s="397"/>
      <c r="IVJ10" s="397"/>
      <c r="IVK10" s="397"/>
      <c r="IVL10" s="397"/>
      <c r="IVM10" s="397"/>
      <c r="IVN10" s="397"/>
      <c r="IVO10" s="397"/>
      <c r="IVP10" s="397"/>
      <c r="IVQ10" s="397"/>
      <c r="IVR10" s="397"/>
      <c r="IVS10" s="397"/>
      <c r="IVT10" s="397"/>
      <c r="IVU10" s="397"/>
      <c r="IVV10" s="397"/>
      <c r="IVW10" s="397"/>
      <c r="IVX10" s="397"/>
      <c r="IVY10" s="397"/>
      <c r="IVZ10" s="397"/>
      <c r="IWA10" s="397"/>
      <c r="IWB10" s="397"/>
      <c r="IWC10" s="397"/>
      <c r="IWD10" s="397"/>
      <c r="IWE10" s="397"/>
      <c r="IWF10" s="397"/>
      <c r="IWG10" s="397"/>
      <c r="IWH10" s="397"/>
      <c r="IWI10" s="397"/>
      <c r="IWJ10" s="397"/>
      <c r="IWK10" s="397"/>
      <c r="IWL10" s="397"/>
      <c r="IWM10" s="397"/>
      <c r="IWN10" s="397"/>
      <c r="IWO10" s="397"/>
      <c r="IWP10" s="397"/>
      <c r="IWQ10" s="397"/>
      <c r="IWR10" s="397"/>
      <c r="IWS10" s="397"/>
      <c r="IWT10" s="397"/>
      <c r="IWU10" s="397"/>
      <c r="IWV10" s="397"/>
      <c r="IWW10" s="397"/>
      <c r="IWX10" s="397"/>
      <c r="IWY10" s="397"/>
      <c r="IWZ10" s="397"/>
      <c r="IXA10" s="397"/>
      <c r="IXB10" s="397"/>
      <c r="IXC10" s="397"/>
      <c r="IXD10" s="397"/>
      <c r="IXE10" s="397"/>
      <c r="IXF10" s="397"/>
      <c r="IXG10" s="397"/>
      <c r="IXH10" s="397"/>
      <c r="IXI10" s="397"/>
      <c r="IXJ10" s="397"/>
      <c r="IXK10" s="397"/>
      <c r="IXL10" s="397"/>
      <c r="IXM10" s="397"/>
      <c r="IXN10" s="397"/>
      <c r="IXO10" s="397"/>
      <c r="IXP10" s="397"/>
      <c r="IXQ10" s="397"/>
      <c r="IXR10" s="397"/>
      <c r="IXS10" s="397"/>
      <c r="IXT10" s="397"/>
      <c r="IXU10" s="397"/>
      <c r="IXV10" s="397"/>
      <c r="IXW10" s="397"/>
      <c r="IXX10" s="397"/>
      <c r="IXY10" s="397"/>
      <c r="IXZ10" s="397"/>
      <c r="IYA10" s="397"/>
      <c r="IYB10" s="397"/>
      <c r="IYC10" s="397"/>
      <c r="IYD10" s="397"/>
      <c r="IYE10" s="397"/>
      <c r="IYF10" s="397"/>
      <c r="IYG10" s="397"/>
      <c r="IYH10" s="397"/>
      <c r="IYI10" s="397"/>
      <c r="IYJ10" s="397"/>
      <c r="IYK10" s="397"/>
      <c r="IYL10" s="397"/>
      <c r="IYM10" s="397"/>
      <c r="IYN10" s="397"/>
      <c r="IYO10" s="397"/>
      <c r="IYP10" s="397"/>
      <c r="IYQ10" s="397"/>
      <c r="IYR10" s="397"/>
      <c r="IYS10" s="397"/>
      <c r="IYT10" s="397"/>
      <c r="IYU10" s="397"/>
      <c r="IYV10" s="397"/>
      <c r="IYW10" s="397"/>
      <c r="IYX10" s="397"/>
      <c r="IYY10" s="397"/>
      <c r="IYZ10" s="397"/>
      <c r="IZA10" s="397"/>
      <c r="IZB10" s="397"/>
      <c r="IZC10" s="397"/>
      <c r="IZD10" s="397"/>
      <c r="IZE10" s="397"/>
      <c r="IZF10" s="397"/>
      <c r="IZG10" s="397"/>
      <c r="IZH10" s="397"/>
      <c r="IZI10" s="397"/>
      <c r="IZJ10" s="397"/>
      <c r="IZK10" s="397"/>
      <c r="IZL10" s="397"/>
      <c r="IZM10" s="397"/>
      <c r="IZN10" s="397"/>
      <c r="IZO10" s="397"/>
      <c r="IZP10" s="397"/>
      <c r="IZQ10" s="397"/>
      <c r="IZR10" s="397"/>
      <c r="IZS10" s="397"/>
      <c r="IZT10" s="397"/>
      <c r="IZU10" s="397"/>
      <c r="IZV10" s="397"/>
      <c r="IZW10" s="397"/>
      <c r="IZX10" s="397"/>
      <c r="IZY10" s="397"/>
      <c r="IZZ10" s="397"/>
      <c r="JAA10" s="397"/>
      <c r="JAB10" s="397"/>
      <c r="JAC10" s="397"/>
      <c r="JAD10" s="397"/>
      <c r="JAE10" s="397"/>
      <c r="JAF10" s="397"/>
      <c r="JAG10" s="397"/>
      <c r="JAH10" s="397"/>
      <c r="JAI10" s="397"/>
      <c r="JAJ10" s="397"/>
      <c r="JAK10" s="397"/>
      <c r="JAL10" s="397"/>
      <c r="JAM10" s="397"/>
      <c r="JAN10" s="397"/>
      <c r="JAO10" s="397"/>
      <c r="JAP10" s="397"/>
      <c r="JAQ10" s="397"/>
      <c r="JAR10" s="397"/>
      <c r="JAS10" s="397"/>
      <c r="JAT10" s="397"/>
      <c r="JAU10" s="397"/>
      <c r="JAV10" s="397"/>
      <c r="JAW10" s="397"/>
      <c r="JAX10" s="397"/>
      <c r="JAY10" s="397"/>
      <c r="JAZ10" s="397"/>
      <c r="JBA10" s="397"/>
      <c r="JBB10" s="397"/>
      <c r="JBC10" s="397"/>
      <c r="JBD10" s="397"/>
      <c r="JBE10" s="397"/>
      <c r="JBF10" s="397"/>
      <c r="JBG10" s="397"/>
      <c r="JBH10" s="397"/>
      <c r="JBI10" s="397"/>
      <c r="JBJ10" s="397"/>
      <c r="JBK10" s="397"/>
      <c r="JBL10" s="397"/>
      <c r="JBM10" s="397"/>
      <c r="JBN10" s="397"/>
      <c r="JBO10" s="397"/>
      <c r="JBP10" s="397"/>
      <c r="JBQ10" s="397"/>
      <c r="JBR10" s="397"/>
      <c r="JBS10" s="397"/>
      <c r="JBT10" s="397"/>
      <c r="JBU10" s="397"/>
      <c r="JBV10" s="397"/>
      <c r="JBW10" s="397"/>
      <c r="JBX10" s="397"/>
      <c r="JBY10" s="397"/>
      <c r="JBZ10" s="397"/>
      <c r="JCA10" s="397"/>
      <c r="JCB10" s="397"/>
      <c r="JCC10" s="397"/>
      <c r="JCD10" s="397"/>
      <c r="JCE10" s="397"/>
      <c r="JCF10" s="397"/>
      <c r="JCG10" s="397"/>
      <c r="JCH10" s="397"/>
      <c r="JCI10" s="397"/>
      <c r="JCJ10" s="397"/>
      <c r="JCK10" s="397"/>
      <c r="JCL10" s="397"/>
      <c r="JCM10" s="397"/>
      <c r="JCN10" s="397"/>
      <c r="JCO10" s="397"/>
      <c r="JCP10" s="397"/>
      <c r="JCQ10" s="397"/>
      <c r="JCR10" s="397"/>
      <c r="JCS10" s="397"/>
      <c r="JCT10" s="397"/>
      <c r="JCU10" s="397"/>
      <c r="JCV10" s="397"/>
      <c r="JCW10" s="397"/>
      <c r="JCX10" s="397"/>
      <c r="JCY10" s="397"/>
      <c r="JCZ10" s="397"/>
      <c r="JDA10" s="397"/>
      <c r="JDB10" s="397"/>
      <c r="JDC10" s="397"/>
      <c r="JDD10" s="397"/>
      <c r="JDE10" s="397"/>
      <c r="JDF10" s="397"/>
      <c r="JDG10" s="397"/>
      <c r="JDH10" s="397"/>
      <c r="JDI10" s="397"/>
      <c r="JDJ10" s="397"/>
      <c r="JDK10" s="397"/>
      <c r="JDL10" s="397"/>
      <c r="JDM10" s="397"/>
      <c r="JDN10" s="397"/>
      <c r="JDO10" s="397"/>
      <c r="JDP10" s="397"/>
      <c r="JDQ10" s="397"/>
      <c r="JDR10" s="397"/>
      <c r="JDS10" s="397"/>
      <c r="JDT10" s="397"/>
      <c r="JDU10" s="397"/>
      <c r="JDV10" s="397"/>
      <c r="JDW10" s="397"/>
      <c r="JDX10" s="397"/>
      <c r="JDY10" s="397"/>
      <c r="JDZ10" s="397"/>
      <c r="JEA10" s="397"/>
      <c r="JEB10" s="397"/>
      <c r="JEC10" s="397"/>
      <c r="JED10" s="397"/>
      <c r="JEE10" s="397"/>
      <c r="JEF10" s="397"/>
      <c r="JEG10" s="397"/>
      <c r="JEH10" s="397"/>
      <c r="JEI10" s="397"/>
      <c r="JEJ10" s="397"/>
      <c r="JEK10" s="397"/>
      <c r="JEL10" s="397"/>
      <c r="JEM10" s="397"/>
      <c r="JEN10" s="397"/>
      <c r="JEO10" s="397"/>
      <c r="JEP10" s="397"/>
      <c r="JEQ10" s="397"/>
      <c r="JER10" s="397"/>
      <c r="JES10" s="397"/>
      <c r="JET10" s="397"/>
      <c r="JEU10" s="397"/>
      <c r="JEV10" s="397"/>
      <c r="JEW10" s="397"/>
      <c r="JEX10" s="397"/>
      <c r="JEY10" s="397"/>
      <c r="JEZ10" s="397"/>
      <c r="JFA10" s="397"/>
      <c r="JFB10" s="397"/>
      <c r="JFC10" s="397"/>
      <c r="JFD10" s="397"/>
      <c r="JFE10" s="397"/>
      <c r="JFF10" s="397"/>
      <c r="JFG10" s="397"/>
      <c r="JFH10" s="397"/>
      <c r="JFI10" s="397"/>
      <c r="JFJ10" s="397"/>
      <c r="JFK10" s="397"/>
      <c r="JFL10" s="397"/>
      <c r="JFM10" s="397"/>
      <c r="JFN10" s="397"/>
      <c r="JFO10" s="397"/>
      <c r="JFP10" s="397"/>
      <c r="JFQ10" s="397"/>
      <c r="JFR10" s="397"/>
      <c r="JFS10" s="397"/>
      <c r="JFT10" s="397"/>
      <c r="JFU10" s="397"/>
      <c r="JFV10" s="397"/>
      <c r="JFW10" s="397"/>
      <c r="JFX10" s="397"/>
      <c r="JFY10" s="397"/>
      <c r="JFZ10" s="397"/>
      <c r="JGA10" s="397"/>
      <c r="JGB10" s="397"/>
      <c r="JGC10" s="397"/>
      <c r="JGD10" s="397"/>
      <c r="JGE10" s="397"/>
      <c r="JGF10" s="397"/>
      <c r="JGG10" s="397"/>
      <c r="JGH10" s="397"/>
      <c r="JGI10" s="397"/>
      <c r="JGJ10" s="397"/>
      <c r="JGK10" s="397"/>
      <c r="JGL10" s="397"/>
      <c r="JGM10" s="397"/>
      <c r="JGN10" s="397"/>
      <c r="JGO10" s="397"/>
      <c r="JGP10" s="397"/>
      <c r="JGQ10" s="397"/>
      <c r="JGR10" s="397"/>
      <c r="JGS10" s="397"/>
      <c r="JGT10" s="397"/>
      <c r="JGU10" s="397"/>
      <c r="JGV10" s="397"/>
      <c r="JGW10" s="397"/>
      <c r="JGX10" s="397"/>
      <c r="JGY10" s="397"/>
      <c r="JGZ10" s="397"/>
      <c r="JHA10" s="397"/>
      <c r="JHB10" s="397"/>
      <c r="JHC10" s="397"/>
      <c r="JHD10" s="397"/>
      <c r="JHE10" s="397"/>
      <c r="JHF10" s="397"/>
      <c r="JHG10" s="397"/>
      <c r="JHH10" s="397"/>
      <c r="JHI10" s="397"/>
      <c r="JHJ10" s="397"/>
      <c r="JHK10" s="397"/>
      <c r="JHL10" s="397"/>
      <c r="JHM10" s="397"/>
      <c r="JHN10" s="397"/>
      <c r="JHO10" s="397"/>
      <c r="JHP10" s="397"/>
      <c r="JHQ10" s="397"/>
      <c r="JHR10" s="397"/>
      <c r="JHS10" s="397"/>
      <c r="JHT10" s="397"/>
      <c r="JHU10" s="397"/>
      <c r="JHV10" s="397"/>
      <c r="JHW10" s="397"/>
      <c r="JHX10" s="397"/>
      <c r="JHY10" s="397"/>
      <c r="JHZ10" s="397"/>
      <c r="JIA10" s="397"/>
      <c r="JIB10" s="397"/>
      <c r="JIC10" s="397"/>
      <c r="JID10" s="397"/>
      <c r="JIE10" s="397"/>
      <c r="JIF10" s="397"/>
      <c r="JIG10" s="397"/>
      <c r="JIH10" s="397"/>
      <c r="JII10" s="397"/>
      <c r="JIJ10" s="397"/>
      <c r="JIK10" s="397"/>
      <c r="JIL10" s="397"/>
      <c r="JIM10" s="397"/>
      <c r="JIN10" s="397"/>
      <c r="JIO10" s="397"/>
      <c r="JIP10" s="397"/>
      <c r="JIQ10" s="397"/>
      <c r="JIR10" s="397"/>
      <c r="JIS10" s="397"/>
      <c r="JIT10" s="397"/>
      <c r="JIU10" s="397"/>
      <c r="JIV10" s="397"/>
      <c r="JIW10" s="397"/>
      <c r="JIX10" s="397"/>
      <c r="JIY10" s="397"/>
      <c r="JIZ10" s="397"/>
      <c r="JJA10" s="397"/>
      <c r="JJB10" s="397"/>
      <c r="JJC10" s="397"/>
      <c r="JJD10" s="397"/>
      <c r="JJE10" s="397"/>
      <c r="JJF10" s="397"/>
      <c r="JJG10" s="397"/>
      <c r="JJH10" s="397"/>
      <c r="JJI10" s="397"/>
      <c r="JJJ10" s="397"/>
      <c r="JJK10" s="397"/>
      <c r="JJL10" s="397"/>
      <c r="JJM10" s="397"/>
      <c r="JJN10" s="397"/>
      <c r="JJO10" s="397"/>
      <c r="JJP10" s="397"/>
      <c r="JJQ10" s="397"/>
      <c r="JJR10" s="397"/>
      <c r="JJS10" s="397"/>
      <c r="JJT10" s="397"/>
      <c r="JJU10" s="397"/>
      <c r="JJV10" s="397"/>
      <c r="JJW10" s="397"/>
      <c r="JJX10" s="397"/>
      <c r="JJY10" s="397"/>
      <c r="JJZ10" s="397"/>
      <c r="JKA10" s="397"/>
      <c r="JKB10" s="397"/>
      <c r="JKC10" s="397"/>
      <c r="JKD10" s="397"/>
      <c r="JKE10" s="397"/>
      <c r="JKF10" s="397"/>
      <c r="JKG10" s="397"/>
      <c r="JKH10" s="397"/>
      <c r="JKI10" s="397"/>
      <c r="JKJ10" s="397"/>
      <c r="JKK10" s="397"/>
      <c r="JKL10" s="397"/>
      <c r="JKM10" s="397"/>
      <c r="JKN10" s="397"/>
      <c r="JKO10" s="397"/>
      <c r="JKP10" s="397"/>
      <c r="JKQ10" s="397"/>
      <c r="JKR10" s="397"/>
      <c r="JKS10" s="397"/>
      <c r="JKT10" s="397"/>
      <c r="JKU10" s="397"/>
      <c r="JKV10" s="397"/>
      <c r="JKW10" s="397"/>
      <c r="JKX10" s="397"/>
      <c r="JKY10" s="397"/>
      <c r="JKZ10" s="397"/>
      <c r="JLA10" s="397"/>
      <c r="JLB10" s="397"/>
      <c r="JLC10" s="397"/>
      <c r="JLD10" s="397"/>
      <c r="JLE10" s="397"/>
      <c r="JLF10" s="397"/>
      <c r="JLG10" s="397"/>
      <c r="JLH10" s="397"/>
      <c r="JLI10" s="397"/>
      <c r="JLJ10" s="397"/>
      <c r="JLK10" s="397"/>
      <c r="JLL10" s="397"/>
      <c r="JLM10" s="397"/>
      <c r="JLN10" s="397"/>
      <c r="JLO10" s="397"/>
      <c r="JLP10" s="397"/>
      <c r="JLQ10" s="397"/>
      <c r="JLR10" s="397"/>
      <c r="JLS10" s="397"/>
      <c r="JLT10" s="397"/>
      <c r="JLU10" s="397"/>
      <c r="JLV10" s="397"/>
      <c r="JLW10" s="397"/>
      <c r="JLX10" s="397"/>
      <c r="JLY10" s="397"/>
      <c r="JLZ10" s="397"/>
      <c r="JMA10" s="397"/>
      <c r="JMB10" s="397"/>
      <c r="JMC10" s="397"/>
      <c r="JMD10" s="397"/>
      <c r="JME10" s="397"/>
      <c r="JMF10" s="397"/>
      <c r="JMG10" s="397"/>
      <c r="JMH10" s="397"/>
      <c r="JMI10" s="397"/>
      <c r="JMJ10" s="397"/>
      <c r="JMK10" s="397"/>
      <c r="JML10" s="397"/>
      <c r="JMM10" s="397"/>
      <c r="JMN10" s="397"/>
      <c r="JMO10" s="397"/>
      <c r="JMP10" s="397"/>
      <c r="JMQ10" s="397"/>
      <c r="JMR10" s="397"/>
      <c r="JMS10" s="397"/>
      <c r="JMT10" s="397"/>
      <c r="JMU10" s="397"/>
      <c r="JMV10" s="397"/>
      <c r="JMW10" s="397"/>
      <c r="JMX10" s="397"/>
      <c r="JMY10" s="397"/>
      <c r="JMZ10" s="397"/>
      <c r="JNA10" s="397"/>
      <c r="JNB10" s="397"/>
      <c r="JNC10" s="397"/>
      <c r="JND10" s="397"/>
      <c r="JNE10" s="397"/>
      <c r="JNF10" s="397"/>
      <c r="JNG10" s="397"/>
      <c r="JNH10" s="397"/>
      <c r="JNI10" s="397"/>
      <c r="JNJ10" s="397"/>
      <c r="JNK10" s="397"/>
      <c r="JNL10" s="397"/>
      <c r="JNM10" s="397"/>
      <c r="JNN10" s="397"/>
      <c r="JNO10" s="397"/>
      <c r="JNP10" s="397"/>
      <c r="JNQ10" s="397"/>
      <c r="JNR10" s="397"/>
      <c r="JNS10" s="397"/>
      <c r="JNT10" s="397"/>
      <c r="JNU10" s="397"/>
      <c r="JNV10" s="397"/>
      <c r="JNW10" s="397"/>
      <c r="JNX10" s="397"/>
      <c r="JNY10" s="397"/>
      <c r="JNZ10" s="397"/>
      <c r="JOA10" s="397"/>
      <c r="JOB10" s="397"/>
      <c r="JOC10" s="397"/>
      <c r="JOD10" s="397"/>
      <c r="JOE10" s="397"/>
      <c r="JOF10" s="397"/>
      <c r="JOG10" s="397"/>
      <c r="JOH10" s="397"/>
      <c r="JOI10" s="397"/>
      <c r="JOJ10" s="397"/>
      <c r="JOK10" s="397"/>
      <c r="JOL10" s="397"/>
      <c r="JOM10" s="397"/>
      <c r="JON10" s="397"/>
      <c r="JOO10" s="397"/>
      <c r="JOP10" s="397"/>
      <c r="JOQ10" s="397"/>
      <c r="JOR10" s="397"/>
      <c r="JOS10" s="397"/>
      <c r="JOT10" s="397"/>
      <c r="JOU10" s="397"/>
      <c r="JOV10" s="397"/>
      <c r="JOW10" s="397"/>
      <c r="JOX10" s="397"/>
      <c r="JOY10" s="397"/>
      <c r="JOZ10" s="397"/>
      <c r="JPA10" s="397"/>
      <c r="JPB10" s="397"/>
      <c r="JPC10" s="397"/>
      <c r="JPD10" s="397"/>
      <c r="JPE10" s="397"/>
      <c r="JPF10" s="397"/>
      <c r="JPG10" s="397"/>
      <c r="JPH10" s="397"/>
      <c r="JPI10" s="397"/>
      <c r="JPJ10" s="397"/>
      <c r="JPK10" s="397"/>
      <c r="JPL10" s="397"/>
      <c r="JPM10" s="397"/>
      <c r="JPN10" s="397"/>
      <c r="JPO10" s="397"/>
      <c r="JPP10" s="397"/>
      <c r="JPQ10" s="397"/>
      <c r="JPR10" s="397"/>
      <c r="JPS10" s="397"/>
      <c r="JPT10" s="397"/>
      <c r="JPU10" s="397"/>
      <c r="JPV10" s="397"/>
      <c r="JPW10" s="397"/>
      <c r="JPX10" s="397"/>
      <c r="JPY10" s="397"/>
      <c r="JPZ10" s="397"/>
      <c r="JQA10" s="397"/>
      <c r="JQB10" s="397"/>
      <c r="JQC10" s="397"/>
      <c r="JQD10" s="397"/>
      <c r="JQE10" s="397"/>
      <c r="JQF10" s="397"/>
      <c r="JQG10" s="397"/>
      <c r="JQH10" s="397"/>
      <c r="JQI10" s="397"/>
      <c r="JQJ10" s="397"/>
      <c r="JQK10" s="397"/>
      <c r="JQL10" s="397"/>
      <c r="JQM10" s="397"/>
      <c r="JQN10" s="397"/>
      <c r="JQO10" s="397"/>
      <c r="JQP10" s="397"/>
      <c r="JQQ10" s="397"/>
      <c r="JQR10" s="397"/>
      <c r="JQS10" s="397"/>
      <c r="JQT10" s="397"/>
      <c r="JQU10" s="397"/>
      <c r="JQV10" s="397"/>
      <c r="JQW10" s="397"/>
      <c r="JQX10" s="397"/>
      <c r="JQY10" s="397"/>
      <c r="JQZ10" s="397"/>
      <c r="JRA10" s="397"/>
      <c r="JRB10" s="397"/>
      <c r="JRC10" s="397"/>
      <c r="JRD10" s="397"/>
      <c r="JRE10" s="397"/>
      <c r="JRF10" s="397"/>
      <c r="JRG10" s="397"/>
      <c r="JRH10" s="397"/>
      <c r="JRI10" s="397"/>
      <c r="JRJ10" s="397"/>
      <c r="JRK10" s="397"/>
      <c r="JRL10" s="397"/>
      <c r="JRM10" s="397"/>
      <c r="JRN10" s="397"/>
      <c r="JRO10" s="397"/>
      <c r="JRP10" s="397"/>
      <c r="JRQ10" s="397"/>
      <c r="JRR10" s="397"/>
      <c r="JRS10" s="397"/>
      <c r="JRT10" s="397"/>
      <c r="JRU10" s="397"/>
      <c r="JRV10" s="397"/>
      <c r="JRW10" s="397"/>
      <c r="JRX10" s="397"/>
      <c r="JRY10" s="397"/>
      <c r="JRZ10" s="397"/>
      <c r="JSA10" s="397"/>
      <c r="JSB10" s="397"/>
      <c r="JSC10" s="397"/>
      <c r="JSD10" s="397"/>
      <c r="JSE10" s="397"/>
      <c r="JSF10" s="397"/>
      <c r="JSG10" s="397"/>
      <c r="JSH10" s="397"/>
      <c r="JSI10" s="397"/>
      <c r="JSJ10" s="397"/>
      <c r="JSK10" s="397"/>
      <c r="JSL10" s="397"/>
      <c r="JSM10" s="397"/>
      <c r="JSN10" s="397"/>
      <c r="JSO10" s="397"/>
      <c r="JSP10" s="397"/>
      <c r="JSQ10" s="397"/>
      <c r="JSR10" s="397"/>
      <c r="JSS10" s="397"/>
      <c r="JST10" s="397"/>
      <c r="JSU10" s="397"/>
      <c r="JSV10" s="397"/>
      <c r="JSW10" s="397"/>
      <c r="JSX10" s="397"/>
      <c r="JSY10" s="397"/>
      <c r="JSZ10" s="397"/>
      <c r="JTA10" s="397"/>
      <c r="JTB10" s="397"/>
      <c r="JTC10" s="397"/>
      <c r="JTD10" s="397"/>
      <c r="JTE10" s="397"/>
      <c r="JTF10" s="397"/>
      <c r="JTG10" s="397"/>
      <c r="JTH10" s="397"/>
      <c r="JTI10" s="397"/>
      <c r="JTJ10" s="397"/>
      <c r="JTK10" s="397"/>
      <c r="JTL10" s="397"/>
      <c r="JTM10" s="397"/>
      <c r="JTN10" s="397"/>
      <c r="JTO10" s="397"/>
      <c r="JTP10" s="397"/>
      <c r="JTQ10" s="397"/>
      <c r="JTR10" s="397"/>
      <c r="JTS10" s="397"/>
      <c r="JTT10" s="397"/>
      <c r="JTU10" s="397"/>
      <c r="JTV10" s="397"/>
      <c r="JTW10" s="397"/>
      <c r="JTX10" s="397"/>
      <c r="JTY10" s="397"/>
      <c r="JTZ10" s="397"/>
      <c r="JUA10" s="397"/>
      <c r="JUB10" s="397"/>
      <c r="JUC10" s="397"/>
      <c r="JUD10" s="397"/>
      <c r="JUE10" s="397"/>
      <c r="JUF10" s="397"/>
      <c r="JUG10" s="397"/>
      <c r="JUH10" s="397"/>
      <c r="JUI10" s="397"/>
      <c r="JUJ10" s="397"/>
      <c r="JUK10" s="397"/>
      <c r="JUL10" s="397"/>
      <c r="JUM10" s="397"/>
      <c r="JUN10" s="397"/>
      <c r="JUO10" s="397"/>
      <c r="JUP10" s="397"/>
      <c r="JUQ10" s="397"/>
      <c r="JUR10" s="397"/>
      <c r="JUS10" s="397"/>
      <c r="JUT10" s="397"/>
      <c r="JUU10" s="397"/>
      <c r="JUV10" s="397"/>
      <c r="JUW10" s="397"/>
      <c r="JUX10" s="397"/>
      <c r="JUY10" s="397"/>
      <c r="JUZ10" s="397"/>
      <c r="JVA10" s="397"/>
      <c r="JVB10" s="397"/>
      <c r="JVC10" s="397"/>
      <c r="JVD10" s="397"/>
      <c r="JVE10" s="397"/>
      <c r="JVF10" s="397"/>
      <c r="JVG10" s="397"/>
      <c r="JVH10" s="397"/>
      <c r="JVI10" s="397"/>
      <c r="JVJ10" s="397"/>
      <c r="JVK10" s="397"/>
      <c r="JVL10" s="397"/>
      <c r="JVM10" s="397"/>
      <c r="JVN10" s="397"/>
      <c r="JVO10" s="397"/>
      <c r="JVP10" s="397"/>
      <c r="JVQ10" s="397"/>
      <c r="JVR10" s="397"/>
      <c r="JVS10" s="397"/>
      <c r="JVT10" s="397"/>
      <c r="JVU10" s="397"/>
      <c r="JVV10" s="397"/>
      <c r="JVW10" s="397"/>
      <c r="JVX10" s="397"/>
      <c r="JVY10" s="397"/>
      <c r="JVZ10" s="397"/>
      <c r="JWA10" s="397"/>
      <c r="JWB10" s="397"/>
      <c r="JWC10" s="397"/>
      <c r="JWD10" s="397"/>
      <c r="JWE10" s="397"/>
      <c r="JWF10" s="397"/>
      <c r="JWG10" s="397"/>
      <c r="JWH10" s="397"/>
      <c r="JWI10" s="397"/>
      <c r="JWJ10" s="397"/>
      <c r="JWK10" s="397"/>
      <c r="JWL10" s="397"/>
      <c r="JWM10" s="397"/>
      <c r="JWN10" s="397"/>
      <c r="JWO10" s="397"/>
      <c r="JWP10" s="397"/>
      <c r="JWQ10" s="397"/>
      <c r="JWR10" s="397"/>
      <c r="JWS10" s="397"/>
      <c r="JWT10" s="397"/>
      <c r="JWU10" s="397"/>
      <c r="JWV10" s="397"/>
      <c r="JWW10" s="397"/>
      <c r="JWX10" s="397"/>
      <c r="JWY10" s="397"/>
      <c r="JWZ10" s="397"/>
      <c r="JXA10" s="397"/>
      <c r="JXB10" s="397"/>
      <c r="JXC10" s="397"/>
      <c r="JXD10" s="397"/>
      <c r="JXE10" s="397"/>
      <c r="JXF10" s="397"/>
      <c r="JXG10" s="397"/>
      <c r="JXH10" s="397"/>
      <c r="JXI10" s="397"/>
      <c r="JXJ10" s="397"/>
      <c r="JXK10" s="397"/>
      <c r="JXL10" s="397"/>
      <c r="JXM10" s="397"/>
      <c r="JXN10" s="397"/>
      <c r="JXO10" s="397"/>
      <c r="JXP10" s="397"/>
      <c r="JXQ10" s="397"/>
      <c r="JXR10" s="397"/>
      <c r="JXS10" s="397"/>
      <c r="JXT10" s="397"/>
      <c r="JXU10" s="397"/>
      <c r="JXV10" s="397"/>
      <c r="JXW10" s="397"/>
      <c r="JXX10" s="397"/>
      <c r="JXY10" s="397"/>
      <c r="JXZ10" s="397"/>
      <c r="JYA10" s="397"/>
      <c r="JYB10" s="397"/>
      <c r="JYC10" s="397"/>
      <c r="JYD10" s="397"/>
      <c r="JYE10" s="397"/>
      <c r="JYF10" s="397"/>
      <c r="JYG10" s="397"/>
      <c r="JYH10" s="397"/>
      <c r="JYI10" s="397"/>
      <c r="JYJ10" s="397"/>
      <c r="JYK10" s="397"/>
      <c r="JYL10" s="397"/>
      <c r="JYM10" s="397"/>
      <c r="JYN10" s="397"/>
      <c r="JYO10" s="397"/>
      <c r="JYP10" s="397"/>
      <c r="JYQ10" s="397"/>
      <c r="JYR10" s="397"/>
      <c r="JYS10" s="397"/>
      <c r="JYT10" s="397"/>
      <c r="JYU10" s="397"/>
      <c r="JYV10" s="397"/>
      <c r="JYW10" s="397"/>
      <c r="JYX10" s="397"/>
      <c r="JYY10" s="397"/>
      <c r="JYZ10" s="397"/>
      <c r="JZA10" s="397"/>
      <c r="JZB10" s="397"/>
      <c r="JZC10" s="397"/>
      <c r="JZD10" s="397"/>
      <c r="JZE10" s="397"/>
      <c r="JZF10" s="397"/>
      <c r="JZG10" s="397"/>
      <c r="JZH10" s="397"/>
      <c r="JZI10" s="397"/>
      <c r="JZJ10" s="397"/>
      <c r="JZK10" s="397"/>
      <c r="JZL10" s="397"/>
      <c r="JZM10" s="397"/>
      <c r="JZN10" s="397"/>
      <c r="JZO10" s="397"/>
      <c r="JZP10" s="397"/>
      <c r="JZQ10" s="397"/>
      <c r="JZR10" s="397"/>
      <c r="JZS10" s="397"/>
      <c r="JZT10" s="397"/>
      <c r="JZU10" s="397"/>
      <c r="JZV10" s="397"/>
      <c r="JZW10" s="397"/>
      <c r="JZX10" s="397"/>
      <c r="JZY10" s="397"/>
      <c r="JZZ10" s="397"/>
      <c r="KAA10" s="397"/>
      <c r="KAB10" s="397"/>
      <c r="KAC10" s="397"/>
      <c r="KAD10" s="397"/>
      <c r="KAE10" s="397"/>
      <c r="KAF10" s="397"/>
      <c r="KAG10" s="397"/>
      <c r="KAH10" s="397"/>
      <c r="KAI10" s="397"/>
      <c r="KAJ10" s="397"/>
      <c r="KAK10" s="397"/>
      <c r="KAL10" s="397"/>
      <c r="KAM10" s="397"/>
      <c r="KAN10" s="397"/>
      <c r="KAO10" s="397"/>
      <c r="KAP10" s="397"/>
      <c r="KAQ10" s="397"/>
      <c r="KAR10" s="397"/>
      <c r="KAS10" s="397"/>
      <c r="KAT10" s="397"/>
      <c r="KAU10" s="397"/>
      <c r="KAV10" s="397"/>
      <c r="KAW10" s="397"/>
      <c r="KAX10" s="397"/>
      <c r="KAY10" s="397"/>
      <c r="KAZ10" s="397"/>
      <c r="KBA10" s="397"/>
      <c r="KBB10" s="397"/>
      <c r="KBC10" s="397"/>
      <c r="KBD10" s="397"/>
      <c r="KBE10" s="397"/>
      <c r="KBF10" s="397"/>
      <c r="KBG10" s="397"/>
      <c r="KBH10" s="397"/>
      <c r="KBI10" s="397"/>
      <c r="KBJ10" s="397"/>
      <c r="KBK10" s="397"/>
      <c r="KBL10" s="397"/>
      <c r="KBM10" s="397"/>
      <c r="KBN10" s="397"/>
      <c r="KBO10" s="397"/>
      <c r="KBP10" s="397"/>
      <c r="KBQ10" s="397"/>
      <c r="KBR10" s="397"/>
      <c r="KBS10" s="397"/>
      <c r="KBT10" s="397"/>
      <c r="KBU10" s="397"/>
      <c r="KBV10" s="397"/>
      <c r="KBW10" s="397"/>
      <c r="KBX10" s="397"/>
      <c r="KBY10" s="397"/>
      <c r="KBZ10" s="397"/>
      <c r="KCA10" s="397"/>
      <c r="KCB10" s="397"/>
      <c r="KCC10" s="397"/>
      <c r="KCD10" s="397"/>
      <c r="KCE10" s="397"/>
      <c r="KCF10" s="397"/>
      <c r="KCG10" s="397"/>
      <c r="KCH10" s="397"/>
      <c r="KCI10" s="397"/>
      <c r="KCJ10" s="397"/>
      <c r="KCK10" s="397"/>
      <c r="KCL10" s="397"/>
      <c r="KCM10" s="397"/>
      <c r="KCN10" s="397"/>
      <c r="KCO10" s="397"/>
      <c r="KCP10" s="397"/>
      <c r="KCQ10" s="397"/>
      <c r="KCR10" s="397"/>
      <c r="KCS10" s="397"/>
      <c r="KCT10" s="397"/>
      <c r="KCU10" s="397"/>
      <c r="KCV10" s="397"/>
      <c r="KCW10" s="397"/>
      <c r="KCX10" s="397"/>
      <c r="KCY10" s="397"/>
      <c r="KCZ10" s="397"/>
      <c r="KDA10" s="397"/>
      <c r="KDB10" s="397"/>
      <c r="KDC10" s="397"/>
      <c r="KDD10" s="397"/>
      <c r="KDE10" s="397"/>
      <c r="KDF10" s="397"/>
      <c r="KDG10" s="397"/>
      <c r="KDH10" s="397"/>
      <c r="KDI10" s="397"/>
      <c r="KDJ10" s="397"/>
      <c r="KDK10" s="397"/>
      <c r="KDL10" s="397"/>
      <c r="KDM10" s="397"/>
      <c r="KDN10" s="397"/>
      <c r="KDO10" s="397"/>
      <c r="KDP10" s="397"/>
      <c r="KDQ10" s="397"/>
      <c r="KDR10" s="397"/>
      <c r="KDS10" s="397"/>
      <c r="KDT10" s="397"/>
      <c r="KDU10" s="397"/>
      <c r="KDV10" s="397"/>
      <c r="KDW10" s="397"/>
      <c r="KDX10" s="397"/>
      <c r="KDY10" s="397"/>
      <c r="KDZ10" s="397"/>
      <c r="KEA10" s="397"/>
      <c r="KEB10" s="397"/>
      <c r="KEC10" s="397"/>
      <c r="KED10" s="397"/>
      <c r="KEE10" s="397"/>
      <c r="KEF10" s="397"/>
      <c r="KEG10" s="397"/>
      <c r="KEH10" s="397"/>
      <c r="KEI10" s="397"/>
      <c r="KEJ10" s="397"/>
      <c r="KEK10" s="397"/>
      <c r="KEL10" s="397"/>
      <c r="KEM10" s="397"/>
      <c r="KEN10" s="397"/>
      <c r="KEO10" s="397"/>
      <c r="KEP10" s="397"/>
      <c r="KEQ10" s="397"/>
      <c r="KER10" s="397"/>
      <c r="KES10" s="397"/>
      <c r="KET10" s="397"/>
      <c r="KEU10" s="397"/>
      <c r="KEV10" s="397"/>
      <c r="KEW10" s="397"/>
      <c r="KEX10" s="397"/>
      <c r="KEY10" s="397"/>
      <c r="KEZ10" s="397"/>
      <c r="KFA10" s="397"/>
      <c r="KFB10" s="397"/>
      <c r="KFC10" s="397"/>
      <c r="KFD10" s="397"/>
      <c r="KFE10" s="397"/>
      <c r="KFF10" s="397"/>
      <c r="KFG10" s="397"/>
      <c r="KFH10" s="397"/>
      <c r="KFI10" s="397"/>
      <c r="KFJ10" s="397"/>
      <c r="KFK10" s="397"/>
      <c r="KFL10" s="397"/>
      <c r="KFM10" s="397"/>
      <c r="KFN10" s="397"/>
      <c r="KFO10" s="397"/>
      <c r="KFP10" s="397"/>
      <c r="KFQ10" s="397"/>
      <c r="KFR10" s="397"/>
      <c r="KFS10" s="397"/>
      <c r="KFT10" s="397"/>
      <c r="KFU10" s="397"/>
      <c r="KFV10" s="397"/>
      <c r="KFW10" s="397"/>
      <c r="KFX10" s="397"/>
      <c r="KFY10" s="397"/>
      <c r="KFZ10" s="397"/>
      <c r="KGA10" s="397"/>
      <c r="KGB10" s="397"/>
      <c r="KGC10" s="397"/>
      <c r="KGD10" s="397"/>
      <c r="KGE10" s="397"/>
      <c r="KGF10" s="397"/>
      <c r="KGG10" s="397"/>
      <c r="KGH10" s="397"/>
      <c r="KGI10" s="397"/>
      <c r="KGJ10" s="397"/>
      <c r="KGK10" s="397"/>
      <c r="KGL10" s="397"/>
      <c r="KGM10" s="397"/>
      <c r="KGN10" s="397"/>
      <c r="KGO10" s="397"/>
      <c r="KGP10" s="397"/>
      <c r="KGQ10" s="397"/>
      <c r="KGR10" s="397"/>
      <c r="KGS10" s="397"/>
      <c r="KGT10" s="397"/>
      <c r="KGU10" s="397"/>
      <c r="KGV10" s="397"/>
      <c r="KGW10" s="397"/>
      <c r="KGX10" s="397"/>
      <c r="KGY10" s="397"/>
      <c r="KGZ10" s="397"/>
      <c r="KHA10" s="397"/>
      <c r="KHB10" s="397"/>
      <c r="KHC10" s="397"/>
      <c r="KHD10" s="397"/>
      <c r="KHE10" s="397"/>
      <c r="KHF10" s="397"/>
      <c r="KHG10" s="397"/>
      <c r="KHH10" s="397"/>
      <c r="KHI10" s="397"/>
      <c r="KHJ10" s="397"/>
      <c r="KHK10" s="397"/>
      <c r="KHL10" s="397"/>
      <c r="KHM10" s="397"/>
      <c r="KHN10" s="397"/>
      <c r="KHO10" s="397"/>
      <c r="KHP10" s="397"/>
      <c r="KHQ10" s="397"/>
      <c r="KHR10" s="397"/>
      <c r="KHS10" s="397"/>
      <c r="KHT10" s="397"/>
      <c r="KHU10" s="397"/>
      <c r="KHV10" s="397"/>
      <c r="KHW10" s="397"/>
      <c r="KHX10" s="397"/>
      <c r="KHY10" s="397"/>
      <c r="KHZ10" s="397"/>
      <c r="KIA10" s="397"/>
      <c r="KIB10" s="397"/>
      <c r="KIC10" s="397"/>
      <c r="KID10" s="397"/>
      <c r="KIE10" s="397"/>
      <c r="KIF10" s="397"/>
      <c r="KIG10" s="397"/>
      <c r="KIH10" s="397"/>
      <c r="KII10" s="397"/>
      <c r="KIJ10" s="397"/>
      <c r="KIK10" s="397"/>
      <c r="KIL10" s="397"/>
      <c r="KIM10" s="397"/>
      <c r="KIN10" s="397"/>
      <c r="KIO10" s="397"/>
      <c r="KIP10" s="397"/>
      <c r="KIQ10" s="397"/>
      <c r="KIR10" s="397"/>
      <c r="KIS10" s="397"/>
      <c r="KIT10" s="397"/>
      <c r="KIU10" s="397"/>
      <c r="KIV10" s="397"/>
      <c r="KIW10" s="397"/>
      <c r="KIX10" s="397"/>
      <c r="KIY10" s="397"/>
      <c r="KIZ10" s="397"/>
      <c r="KJA10" s="397"/>
      <c r="KJB10" s="397"/>
      <c r="KJC10" s="397"/>
      <c r="KJD10" s="397"/>
      <c r="KJE10" s="397"/>
      <c r="KJF10" s="397"/>
      <c r="KJG10" s="397"/>
      <c r="KJH10" s="397"/>
      <c r="KJI10" s="397"/>
      <c r="KJJ10" s="397"/>
      <c r="KJK10" s="397"/>
      <c r="KJL10" s="397"/>
      <c r="KJM10" s="397"/>
      <c r="KJN10" s="397"/>
      <c r="KJO10" s="397"/>
      <c r="KJP10" s="397"/>
      <c r="KJQ10" s="397"/>
      <c r="KJR10" s="397"/>
      <c r="KJS10" s="397"/>
      <c r="KJT10" s="397"/>
      <c r="KJU10" s="397"/>
      <c r="KJV10" s="397"/>
      <c r="KJW10" s="397"/>
      <c r="KJX10" s="397"/>
      <c r="KJY10" s="397"/>
      <c r="KJZ10" s="397"/>
      <c r="KKA10" s="397"/>
      <c r="KKB10" s="397"/>
      <c r="KKC10" s="397"/>
      <c r="KKD10" s="397"/>
      <c r="KKE10" s="397"/>
      <c r="KKF10" s="397"/>
      <c r="KKG10" s="397"/>
      <c r="KKH10" s="397"/>
      <c r="KKI10" s="397"/>
      <c r="KKJ10" s="397"/>
      <c r="KKK10" s="397"/>
      <c r="KKL10" s="397"/>
      <c r="KKM10" s="397"/>
      <c r="KKN10" s="397"/>
      <c r="KKO10" s="397"/>
      <c r="KKP10" s="397"/>
      <c r="KKQ10" s="397"/>
      <c r="KKR10" s="397"/>
      <c r="KKS10" s="397"/>
      <c r="KKT10" s="397"/>
      <c r="KKU10" s="397"/>
      <c r="KKV10" s="397"/>
      <c r="KKW10" s="397"/>
      <c r="KKX10" s="397"/>
      <c r="KKY10" s="397"/>
      <c r="KKZ10" s="397"/>
      <c r="KLA10" s="397"/>
      <c r="KLB10" s="397"/>
      <c r="KLC10" s="397"/>
      <c r="KLD10" s="397"/>
      <c r="KLE10" s="397"/>
      <c r="KLF10" s="397"/>
      <c r="KLG10" s="397"/>
      <c r="KLH10" s="397"/>
      <c r="KLI10" s="397"/>
      <c r="KLJ10" s="397"/>
      <c r="KLK10" s="397"/>
      <c r="KLL10" s="397"/>
      <c r="KLM10" s="397"/>
      <c r="KLN10" s="397"/>
      <c r="KLO10" s="397"/>
      <c r="KLP10" s="397"/>
      <c r="KLQ10" s="397"/>
      <c r="KLR10" s="397"/>
      <c r="KLS10" s="397"/>
      <c r="KLT10" s="397"/>
      <c r="KLU10" s="397"/>
      <c r="KLV10" s="397"/>
      <c r="KLW10" s="397"/>
      <c r="KLX10" s="397"/>
      <c r="KLY10" s="397"/>
      <c r="KLZ10" s="397"/>
      <c r="KMA10" s="397"/>
      <c r="KMB10" s="397"/>
      <c r="KMC10" s="397"/>
      <c r="KMD10" s="397"/>
      <c r="KME10" s="397"/>
      <c r="KMF10" s="397"/>
      <c r="KMG10" s="397"/>
      <c r="KMH10" s="397"/>
      <c r="KMI10" s="397"/>
      <c r="KMJ10" s="397"/>
      <c r="KMK10" s="397"/>
      <c r="KML10" s="397"/>
      <c r="KMM10" s="397"/>
      <c r="KMN10" s="397"/>
      <c r="KMO10" s="397"/>
      <c r="KMP10" s="397"/>
      <c r="KMQ10" s="397"/>
      <c r="KMR10" s="397"/>
      <c r="KMS10" s="397"/>
      <c r="KMT10" s="397"/>
      <c r="KMU10" s="397"/>
      <c r="KMV10" s="397"/>
      <c r="KMW10" s="397"/>
      <c r="KMX10" s="397"/>
      <c r="KMY10" s="397"/>
      <c r="KMZ10" s="397"/>
      <c r="KNA10" s="397"/>
      <c r="KNB10" s="397"/>
      <c r="KNC10" s="397"/>
      <c r="KND10" s="397"/>
      <c r="KNE10" s="397"/>
      <c r="KNF10" s="397"/>
      <c r="KNG10" s="397"/>
      <c r="KNH10" s="397"/>
      <c r="KNI10" s="397"/>
      <c r="KNJ10" s="397"/>
      <c r="KNK10" s="397"/>
      <c r="KNL10" s="397"/>
      <c r="KNM10" s="397"/>
      <c r="KNN10" s="397"/>
      <c r="KNO10" s="397"/>
      <c r="KNP10" s="397"/>
      <c r="KNQ10" s="397"/>
      <c r="KNR10" s="397"/>
      <c r="KNS10" s="397"/>
      <c r="KNT10" s="397"/>
      <c r="KNU10" s="397"/>
      <c r="KNV10" s="397"/>
      <c r="KNW10" s="397"/>
      <c r="KNX10" s="397"/>
      <c r="KNY10" s="397"/>
      <c r="KNZ10" s="397"/>
      <c r="KOA10" s="397"/>
      <c r="KOB10" s="397"/>
      <c r="KOC10" s="397"/>
      <c r="KOD10" s="397"/>
      <c r="KOE10" s="397"/>
      <c r="KOF10" s="397"/>
      <c r="KOG10" s="397"/>
      <c r="KOH10" s="397"/>
      <c r="KOI10" s="397"/>
      <c r="KOJ10" s="397"/>
      <c r="KOK10" s="397"/>
      <c r="KOL10" s="397"/>
      <c r="KOM10" s="397"/>
      <c r="KON10" s="397"/>
      <c r="KOO10" s="397"/>
      <c r="KOP10" s="397"/>
      <c r="KOQ10" s="397"/>
      <c r="KOR10" s="397"/>
      <c r="KOS10" s="397"/>
      <c r="KOT10" s="397"/>
      <c r="KOU10" s="397"/>
      <c r="KOV10" s="397"/>
      <c r="KOW10" s="397"/>
      <c r="KOX10" s="397"/>
      <c r="KOY10" s="397"/>
      <c r="KOZ10" s="397"/>
      <c r="KPA10" s="397"/>
      <c r="KPB10" s="397"/>
      <c r="KPC10" s="397"/>
      <c r="KPD10" s="397"/>
      <c r="KPE10" s="397"/>
      <c r="KPF10" s="397"/>
      <c r="KPG10" s="397"/>
      <c r="KPH10" s="397"/>
      <c r="KPI10" s="397"/>
      <c r="KPJ10" s="397"/>
      <c r="KPK10" s="397"/>
      <c r="KPL10" s="397"/>
      <c r="KPM10" s="397"/>
      <c r="KPN10" s="397"/>
      <c r="KPO10" s="397"/>
      <c r="KPP10" s="397"/>
      <c r="KPQ10" s="397"/>
      <c r="KPR10" s="397"/>
      <c r="KPS10" s="397"/>
      <c r="KPT10" s="397"/>
      <c r="KPU10" s="397"/>
      <c r="KPV10" s="397"/>
      <c r="KPW10" s="397"/>
      <c r="KPX10" s="397"/>
      <c r="KPY10" s="397"/>
      <c r="KPZ10" s="397"/>
      <c r="KQA10" s="397"/>
      <c r="KQB10" s="397"/>
      <c r="KQC10" s="397"/>
      <c r="KQD10" s="397"/>
      <c r="KQE10" s="397"/>
      <c r="KQF10" s="397"/>
      <c r="KQG10" s="397"/>
      <c r="KQH10" s="397"/>
      <c r="KQI10" s="397"/>
      <c r="KQJ10" s="397"/>
      <c r="KQK10" s="397"/>
      <c r="KQL10" s="397"/>
      <c r="KQM10" s="397"/>
      <c r="KQN10" s="397"/>
      <c r="KQO10" s="397"/>
      <c r="KQP10" s="397"/>
      <c r="KQQ10" s="397"/>
      <c r="KQR10" s="397"/>
      <c r="KQS10" s="397"/>
      <c r="KQT10" s="397"/>
      <c r="KQU10" s="397"/>
      <c r="KQV10" s="397"/>
      <c r="KQW10" s="397"/>
      <c r="KQX10" s="397"/>
      <c r="KQY10" s="397"/>
      <c r="KQZ10" s="397"/>
      <c r="KRA10" s="397"/>
      <c r="KRB10" s="397"/>
      <c r="KRC10" s="397"/>
      <c r="KRD10" s="397"/>
      <c r="KRE10" s="397"/>
      <c r="KRF10" s="397"/>
      <c r="KRG10" s="397"/>
      <c r="KRH10" s="397"/>
      <c r="KRI10" s="397"/>
      <c r="KRJ10" s="397"/>
      <c r="KRK10" s="397"/>
      <c r="KRL10" s="397"/>
      <c r="KRM10" s="397"/>
      <c r="KRN10" s="397"/>
      <c r="KRO10" s="397"/>
      <c r="KRP10" s="397"/>
      <c r="KRQ10" s="397"/>
      <c r="KRR10" s="397"/>
      <c r="KRS10" s="397"/>
      <c r="KRT10" s="397"/>
      <c r="KRU10" s="397"/>
      <c r="KRV10" s="397"/>
      <c r="KRW10" s="397"/>
      <c r="KRX10" s="397"/>
      <c r="KRY10" s="397"/>
      <c r="KRZ10" s="397"/>
      <c r="KSA10" s="397"/>
      <c r="KSB10" s="397"/>
      <c r="KSC10" s="397"/>
      <c r="KSD10" s="397"/>
      <c r="KSE10" s="397"/>
      <c r="KSF10" s="397"/>
      <c r="KSG10" s="397"/>
      <c r="KSH10" s="397"/>
      <c r="KSI10" s="397"/>
      <c r="KSJ10" s="397"/>
      <c r="KSK10" s="397"/>
      <c r="KSL10" s="397"/>
      <c r="KSM10" s="397"/>
      <c r="KSN10" s="397"/>
      <c r="KSO10" s="397"/>
      <c r="KSP10" s="397"/>
      <c r="KSQ10" s="397"/>
      <c r="KSR10" s="397"/>
      <c r="KSS10" s="397"/>
      <c r="KST10" s="397"/>
      <c r="KSU10" s="397"/>
      <c r="KSV10" s="397"/>
      <c r="KSW10" s="397"/>
      <c r="KSX10" s="397"/>
      <c r="KSY10" s="397"/>
      <c r="KSZ10" s="397"/>
      <c r="KTA10" s="397"/>
      <c r="KTB10" s="397"/>
      <c r="KTC10" s="397"/>
      <c r="KTD10" s="397"/>
      <c r="KTE10" s="397"/>
      <c r="KTF10" s="397"/>
      <c r="KTG10" s="397"/>
      <c r="KTH10" s="397"/>
      <c r="KTI10" s="397"/>
      <c r="KTJ10" s="397"/>
      <c r="KTK10" s="397"/>
      <c r="KTL10" s="397"/>
      <c r="KTM10" s="397"/>
      <c r="KTN10" s="397"/>
      <c r="KTO10" s="397"/>
      <c r="KTP10" s="397"/>
      <c r="KTQ10" s="397"/>
      <c r="KTR10" s="397"/>
      <c r="KTS10" s="397"/>
      <c r="KTT10" s="397"/>
      <c r="KTU10" s="397"/>
      <c r="KTV10" s="397"/>
      <c r="KTW10" s="397"/>
      <c r="KTX10" s="397"/>
      <c r="KTY10" s="397"/>
      <c r="KTZ10" s="397"/>
      <c r="KUA10" s="397"/>
      <c r="KUB10" s="397"/>
      <c r="KUC10" s="397"/>
      <c r="KUD10" s="397"/>
      <c r="KUE10" s="397"/>
      <c r="KUF10" s="397"/>
      <c r="KUG10" s="397"/>
      <c r="KUH10" s="397"/>
      <c r="KUI10" s="397"/>
      <c r="KUJ10" s="397"/>
      <c r="KUK10" s="397"/>
      <c r="KUL10" s="397"/>
      <c r="KUM10" s="397"/>
      <c r="KUN10" s="397"/>
      <c r="KUO10" s="397"/>
      <c r="KUP10" s="397"/>
      <c r="KUQ10" s="397"/>
      <c r="KUR10" s="397"/>
      <c r="KUS10" s="397"/>
      <c r="KUT10" s="397"/>
      <c r="KUU10" s="397"/>
      <c r="KUV10" s="397"/>
      <c r="KUW10" s="397"/>
      <c r="KUX10" s="397"/>
      <c r="KUY10" s="397"/>
      <c r="KUZ10" s="397"/>
      <c r="KVA10" s="397"/>
      <c r="KVB10" s="397"/>
      <c r="KVC10" s="397"/>
      <c r="KVD10" s="397"/>
      <c r="KVE10" s="397"/>
      <c r="KVF10" s="397"/>
      <c r="KVG10" s="397"/>
      <c r="KVH10" s="397"/>
      <c r="KVI10" s="397"/>
      <c r="KVJ10" s="397"/>
      <c r="KVK10" s="397"/>
      <c r="KVL10" s="397"/>
      <c r="KVM10" s="397"/>
      <c r="KVN10" s="397"/>
      <c r="KVO10" s="397"/>
      <c r="KVP10" s="397"/>
      <c r="KVQ10" s="397"/>
      <c r="KVR10" s="397"/>
      <c r="KVS10" s="397"/>
      <c r="KVT10" s="397"/>
      <c r="KVU10" s="397"/>
      <c r="KVV10" s="397"/>
      <c r="KVW10" s="397"/>
      <c r="KVX10" s="397"/>
      <c r="KVY10" s="397"/>
      <c r="KVZ10" s="397"/>
      <c r="KWA10" s="397"/>
      <c r="KWB10" s="397"/>
      <c r="KWC10" s="397"/>
      <c r="KWD10" s="397"/>
      <c r="KWE10" s="397"/>
      <c r="KWF10" s="397"/>
      <c r="KWG10" s="397"/>
      <c r="KWH10" s="397"/>
      <c r="KWI10" s="397"/>
      <c r="KWJ10" s="397"/>
      <c r="KWK10" s="397"/>
      <c r="KWL10" s="397"/>
      <c r="KWM10" s="397"/>
      <c r="KWN10" s="397"/>
      <c r="KWO10" s="397"/>
      <c r="KWP10" s="397"/>
      <c r="KWQ10" s="397"/>
      <c r="KWR10" s="397"/>
      <c r="KWS10" s="397"/>
      <c r="KWT10" s="397"/>
      <c r="KWU10" s="397"/>
      <c r="KWV10" s="397"/>
      <c r="KWW10" s="397"/>
      <c r="KWX10" s="397"/>
      <c r="KWY10" s="397"/>
      <c r="KWZ10" s="397"/>
      <c r="KXA10" s="397"/>
      <c r="KXB10" s="397"/>
      <c r="KXC10" s="397"/>
      <c r="KXD10" s="397"/>
      <c r="KXE10" s="397"/>
      <c r="KXF10" s="397"/>
      <c r="KXG10" s="397"/>
      <c r="KXH10" s="397"/>
      <c r="KXI10" s="397"/>
      <c r="KXJ10" s="397"/>
      <c r="KXK10" s="397"/>
      <c r="KXL10" s="397"/>
      <c r="KXM10" s="397"/>
      <c r="KXN10" s="397"/>
      <c r="KXO10" s="397"/>
      <c r="KXP10" s="397"/>
      <c r="KXQ10" s="397"/>
      <c r="KXR10" s="397"/>
      <c r="KXS10" s="397"/>
      <c r="KXT10" s="397"/>
      <c r="KXU10" s="397"/>
      <c r="KXV10" s="397"/>
      <c r="KXW10" s="397"/>
      <c r="KXX10" s="397"/>
      <c r="KXY10" s="397"/>
      <c r="KXZ10" s="397"/>
      <c r="KYA10" s="397"/>
      <c r="KYB10" s="397"/>
      <c r="KYC10" s="397"/>
      <c r="KYD10" s="397"/>
      <c r="KYE10" s="397"/>
      <c r="KYF10" s="397"/>
      <c r="KYG10" s="397"/>
      <c r="KYH10" s="397"/>
      <c r="KYI10" s="397"/>
      <c r="KYJ10" s="397"/>
      <c r="KYK10" s="397"/>
      <c r="KYL10" s="397"/>
      <c r="KYM10" s="397"/>
      <c r="KYN10" s="397"/>
      <c r="KYO10" s="397"/>
      <c r="KYP10" s="397"/>
      <c r="KYQ10" s="397"/>
      <c r="KYR10" s="397"/>
      <c r="KYS10" s="397"/>
      <c r="KYT10" s="397"/>
      <c r="KYU10" s="397"/>
      <c r="KYV10" s="397"/>
      <c r="KYW10" s="397"/>
      <c r="KYX10" s="397"/>
      <c r="KYY10" s="397"/>
      <c r="KYZ10" s="397"/>
      <c r="KZA10" s="397"/>
      <c r="KZB10" s="397"/>
      <c r="KZC10" s="397"/>
      <c r="KZD10" s="397"/>
      <c r="KZE10" s="397"/>
      <c r="KZF10" s="397"/>
      <c r="KZG10" s="397"/>
      <c r="KZH10" s="397"/>
      <c r="KZI10" s="397"/>
      <c r="KZJ10" s="397"/>
      <c r="KZK10" s="397"/>
      <c r="KZL10" s="397"/>
      <c r="KZM10" s="397"/>
      <c r="KZN10" s="397"/>
      <c r="KZO10" s="397"/>
      <c r="KZP10" s="397"/>
      <c r="KZQ10" s="397"/>
      <c r="KZR10" s="397"/>
      <c r="KZS10" s="397"/>
      <c r="KZT10" s="397"/>
      <c r="KZU10" s="397"/>
      <c r="KZV10" s="397"/>
      <c r="KZW10" s="397"/>
      <c r="KZX10" s="397"/>
      <c r="KZY10" s="397"/>
      <c r="KZZ10" s="397"/>
      <c r="LAA10" s="397"/>
      <c r="LAB10" s="397"/>
      <c r="LAC10" s="397"/>
      <c r="LAD10" s="397"/>
      <c r="LAE10" s="397"/>
      <c r="LAF10" s="397"/>
      <c r="LAG10" s="397"/>
      <c r="LAH10" s="397"/>
      <c r="LAI10" s="397"/>
      <c r="LAJ10" s="397"/>
      <c r="LAK10" s="397"/>
      <c r="LAL10" s="397"/>
      <c r="LAM10" s="397"/>
      <c r="LAN10" s="397"/>
      <c r="LAO10" s="397"/>
      <c r="LAP10" s="397"/>
      <c r="LAQ10" s="397"/>
      <c r="LAR10" s="397"/>
      <c r="LAS10" s="397"/>
      <c r="LAT10" s="397"/>
      <c r="LAU10" s="397"/>
      <c r="LAV10" s="397"/>
      <c r="LAW10" s="397"/>
      <c r="LAX10" s="397"/>
      <c r="LAY10" s="397"/>
      <c r="LAZ10" s="397"/>
      <c r="LBA10" s="397"/>
      <c r="LBB10" s="397"/>
      <c r="LBC10" s="397"/>
      <c r="LBD10" s="397"/>
      <c r="LBE10" s="397"/>
      <c r="LBF10" s="397"/>
      <c r="LBG10" s="397"/>
      <c r="LBH10" s="397"/>
      <c r="LBI10" s="397"/>
      <c r="LBJ10" s="397"/>
      <c r="LBK10" s="397"/>
      <c r="LBL10" s="397"/>
      <c r="LBM10" s="397"/>
      <c r="LBN10" s="397"/>
      <c r="LBO10" s="397"/>
      <c r="LBP10" s="397"/>
      <c r="LBQ10" s="397"/>
      <c r="LBR10" s="397"/>
      <c r="LBS10" s="397"/>
      <c r="LBT10" s="397"/>
      <c r="LBU10" s="397"/>
      <c r="LBV10" s="397"/>
      <c r="LBW10" s="397"/>
      <c r="LBX10" s="397"/>
      <c r="LBY10" s="397"/>
      <c r="LBZ10" s="397"/>
      <c r="LCA10" s="397"/>
      <c r="LCB10" s="397"/>
      <c r="LCC10" s="397"/>
      <c r="LCD10" s="397"/>
      <c r="LCE10" s="397"/>
      <c r="LCF10" s="397"/>
      <c r="LCG10" s="397"/>
      <c r="LCH10" s="397"/>
      <c r="LCI10" s="397"/>
      <c r="LCJ10" s="397"/>
      <c r="LCK10" s="397"/>
      <c r="LCL10" s="397"/>
      <c r="LCM10" s="397"/>
      <c r="LCN10" s="397"/>
      <c r="LCO10" s="397"/>
      <c r="LCP10" s="397"/>
      <c r="LCQ10" s="397"/>
      <c r="LCR10" s="397"/>
      <c r="LCS10" s="397"/>
      <c r="LCT10" s="397"/>
      <c r="LCU10" s="397"/>
      <c r="LCV10" s="397"/>
      <c r="LCW10" s="397"/>
      <c r="LCX10" s="397"/>
      <c r="LCY10" s="397"/>
      <c r="LCZ10" s="397"/>
      <c r="LDA10" s="397"/>
      <c r="LDB10" s="397"/>
      <c r="LDC10" s="397"/>
      <c r="LDD10" s="397"/>
      <c r="LDE10" s="397"/>
      <c r="LDF10" s="397"/>
      <c r="LDG10" s="397"/>
      <c r="LDH10" s="397"/>
      <c r="LDI10" s="397"/>
      <c r="LDJ10" s="397"/>
      <c r="LDK10" s="397"/>
      <c r="LDL10" s="397"/>
      <c r="LDM10" s="397"/>
      <c r="LDN10" s="397"/>
      <c r="LDO10" s="397"/>
      <c r="LDP10" s="397"/>
      <c r="LDQ10" s="397"/>
      <c r="LDR10" s="397"/>
      <c r="LDS10" s="397"/>
      <c r="LDT10" s="397"/>
      <c r="LDU10" s="397"/>
      <c r="LDV10" s="397"/>
      <c r="LDW10" s="397"/>
      <c r="LDX10" s="397"/>
      <c r="LDY10" s="397"/>
      <c r="LDZ10" s="397"/>
      <c r="LEA10" s="397"/>
      <c r="LEB10" s="397"/>
      <c r="LEC10" s="397"/>
      <c r="LED10" s="397"/>
      <c r="LEE10" s="397"/>
      <c r="LEF10" s="397"/>
      <c r="LEG10" s="397"/>
      <c r="LEH10" s="397"/>
      <c r="LEI10" s="397"/>
      <c r="LEJ10" s="397"/>
      <c r="LEK10" s="397"/>
      <c r="LEL10" s="397"/>
      <c r="LEM10" s="397"/>
      <c r="LEN10" s="397"/>
      <c r="LEO10" s="397"/>
      <c r="LEP10" s="397"/>
      <c r="LEQ10" s="397"/>
      <c r="LER10" s="397"/>
      <c r="LES10" s="397"/>
      <c r="LET10" s="397"/>
      <c r="LEU10" s="397"/>
      <c r="LEV10" s="397"/>
      <c r="LEW10" s="397"/>
      <c r="LEX10" s="397"/>
      <c r="LEY10" s="397"/>
      <c r="LEZ10" s="397"/>
      <c r="LFA10" s="397"/>
      <c r="LFB10" s="397"/>
      <c r="LFC10" s="397"/>
      <c r="LFD10" s="397"/>
      <c r="LFE10" s="397"/>
      <c r="LFF10" s="397"/>
      <c r="LFG10" s="397"/>
      <c r="LFH10" s="397"/>
      <c r="LFI10" s="397"/>
      <c r="LFJ10" s="397"/>
      <c r="LFK10" s="397"/>
      <c r="LFL10" s="397"/>
      <c r="LFM10" s="397"/>
      <c r="LFN10" s="397"/>
      <c r="LFO10" s="397"/>
      <c r="LFP10" s="397"/>
      <c r="LFQ10" s="397"/>
      <c r="LFR10" s="397"/>
      <c r="LFS10" s="397"/>
      <c r="LFT10" s="397"/>
      <c r="LFU10" s="397"/>
      <c r="LFV10" s="397"/>
      <c r="LFW10" s="397"/>
      <c r="LFX10" s="397"/>
      <c r="LFY10" s="397"/>
      <c r="LFZ10" s="397"/>
      <c r="LGA10" s="397"/>
      <c r="LGB10" s="397"/>
      <c r="LGC10" s="397"/>
      <c r="LGD10" s="397"/>
      <c r="LGE10" s="397"/>
      <c r="LGF10" s="397"/>
      <c r="LGG10" s="397"/>
      <c r="LGH10" s="397"/>
      <c r="LGI10" s="397"/>
      <c r="LGJ10" s="397"/>
      <c r="LGK10" s="397"/>
      <c r="LGL10" s="397"/>
      <c r="LGM10" s="397"/>
      <c r="LGN10" s="397"/>
      <c r="LGO10" s="397"/>
      <c r="LGP10" s="397"/>
      <c r="LGQ10" s="397"/>
      <c r="LGR10" s="397"/>
      <c r="LGS10" s="397"/>
      <c r="LGT10" s="397"/>
      <c r="LGU10" s="397"/>
      <c r="LGV10" s="397"/>
      <c r="LGW10" s="397"/>
      <c r="LGX10" s="397"/>
      <c r="LGY10" s="397"/>
      <c r="LGZ10" s="397"/>
      <c r="LHA10" s="397"/>
      <c r="LHB10" s="397"/>
      <c r="LHC10" s="397"/>
      <c r="LHD10" s="397"/>
      <c r="LHE10" s="397"/>
      <c r="LHF10" s="397"/>
      <c r="LHG10" s="397"/>
      <c r="LHH10" s="397"/>
      <c r="LHI10" s="397"/>
      <c r="LHJ10" s="397"/>
      <c r="LHK10" s="397"/>
      <c r="LHL10" s="397"/>
      <c r="LHM10" s="397"/>
      <c r="LHN10" s="397"/>
      <c r="LHO10" s="397"/>
      <c r="LHP10" s="397"/>
      <c r="LHQ10" s="397"/>
      <c r="LHR10" s="397"/>
      <c r="LHS10" s="397"/>
      <c r="LHT10" s="397"/>
      <c r="LHU10" s="397"/>
      <c r="LHV10" s="397"/>
      <c r="LHW10" s="397"/>
      <c r="LHX10" s="397"/>
      <c r="LHY10" s="397"/>
      <c r="LHZ10" s="397"/>
      <c r="LIA10" s="397"/>
      <c r="LIB10" s="397"/>
      <c r="LIC10" s="397"/>
      <c r="LID10" s="397"/>
      <c r="LIE10" s="397"/>
      <c r="LIF10" s="397"/>
      <c r="LIG10" s="397"/>
      <c r="LIH10" s="397"/>
      <c r="LII10" s="397"/>
      <c r="LIJ10" s="397"/>
      <c r="LIK10" s="397"/>
      <c r="LIL10" s="397"/>
      <c r="LIM10" s="397"/>
      <c r="LIN10" s="397"/>
      <c r="LIO10" s="397"/>
      <c r="LIP10" s="397"/>
      <c r="LIQ10" s="397"/>
      <c r="LIR10" s="397"/>
      <c r="LIS10" s="397"/>
      <c r="LIT10" s="397"/>
      <c r="LIU10" s="397"/>
      <c r="LIV10" s="397"/>
      <c r="LIW10" s="397"/>
      <c r="LIX10" s="397"/>
      <c r="LIY10" s="397"/>
      <c r="LIZ10" s="397"/>
      <c r="LJA10" s="397"/>
      <c r="LJB10" s="397"/>
      <c r="LJC10" s="397"/>
      <c r="LJD10" s="397"/>
      <c r="LJE10" s="397"/>
      <c r="LJF10" s="397"/>
      <c r="LJG10" s="397"/>
      <c r="LJH10" s="397"/>
      <c r="LJI10" s="397"/>
      <c r="LJJ10" s="397"/>
      <c r="LJK10" s="397"/>
      <c r="LJL10" s="397"/>
      <c r="LJM10" s="397"/>
      <c r="LJN10" s="397"/>
      <c r="LJO10" s="397"/>
      <c r="LJP10" s="397"/>
      <c r="LJQ10" s="397"/>
      <c r="LJR10" s="397"/>
      <c r="LJS10" s="397"/>
      <c r="LJT10" s="397"/>
      <c r="LJU10" s="397"/>
      <c r="LJV10" s="397"/>
      <c r="LJW10" s="397"/>
      <c r="LJX10" s="397"/>
      <c r="LJY10" s="397"/>
      <c r="LJZ10" s="397"/>
      <c r="LKA10" s="397"/>
      <c r="LKB10" s="397"/>
      <c r="LKC10" s="397"/>
      <c r="LKD10" s="397"/>
      <c r="LKE10" s="397"/>
      <c r="LKF10" s="397"/>
      <c r="LKG10" s="397"/>
      <c r="LKH10" s="397"/>
      <c r="LKI10" s="397"/>
      <c r="LKJ10" s="397"/>
      <c r="LKK10" s="397"/>
      <c r="LKL10" s="397"/>
      <c r="LKM10" s="397"/>
      <c r="LKN10" s="397"/>
      <c r="LKO10" s="397"/>
      <c r="LKP10" s="397"/>
      <c r="LKQ10" s="397"/>
      <c r="LKR10" s="397"/>
      <c r="LKS10" s="397"/>
      <c r="LKT10" s="397"/>
      <c r="LKU10" s="397"/>
      <c r="LKV10" s="397"/>
      <c r="LKW10" s="397"/>
      <c r="LKX10" s="397"/>
      <c r="LKY10" s="397"/>
      <c r="LKZ10" s="397"/>
      <c r="LLA10" s="397"/>
      <c r="LLB10" s="397"/>
      <c r="LLC10" s="397"/>
      <c r="LLD10" s="397"/>
      <c r="LLE10" s="397"/>
      <c r="LLF10" s="397"/>
      <c r="LLG10" s="397"/>
      <c r="LLH10" s="397"/>
      <c r="LLI10" s="397"/>
      <c r="LLJ10" s="397"/>
      <c r="LLK10" s="397"/>
      <c r="LLL10" s="397"/>
      <c r="LLM10" s="397"/>
      <c r="LLN10" s="397"/>
      <c r="LLO10" s="397"/>
      <c r="LLP10" s="397"/>
      <c r="LLQ10" s="397"/>
      <c r="LLR10" s="397"/>
      <c r="LLS10" s="397"/>
      <c r="LLT10" s="397"/>
      <c r="LLU10" s="397"/>
      <c r="LLV10" s="397"/>
      <c r="LLW10" s="397"/>
      <c r="LLX10" s="397"/>
      <c r="LLY10" s="397"/>
      <c r="LLZ10" s="397"/>
      <c r="LMA10" s="397"/>
      <c r="LMB10" s="397"/>
      <c r="LMC10" s="397"/>
      <c r="LMD10" s="397"/>
      <c r="LME10" s="397"/>
      <c r="LMF10" s="397"/>
      <c r="LMG10" s="397"/>
      <c r="LMH10" s="397"/>
      <c r="LMI10" s="397"/>
      <c r="LMJ10" s="397"/>
      <c r="LMK10" s="397"/>
      <c r="LML10" s="397"/>
      <c r="LMM10" s="397"/>
      <c r="LMN10" s="397"/>
      <c r="LMO10" s="397"/>
      <c r="LMP10" s="397"/>
      <c r="LMQ10" s="397"/>
      <c r="LMR10" s="397"/>
      <c r="LMS10" s="397"/>
      <c r="LMT10" s="397"/>
      <c r="LMU10" s="397"/>
      <c r="LMV10" s="397"/>
      <c r="LMW10" s="397"/>
      <c r="LMX10" s="397"/>
      <c r="LMY10" s="397"/>
      <c r="LMZ10" s="397"/>
      <c r="LNA10" s="397"/>
      <c r="LNB10" s="397"/>
      <c r="LNC10" s="397"/>
      <c r="LND10" s="397"/>
      <c r="LNE10" s="397"/>
      <c r="LNF10" s="397"/>
      <c r="LNG10" s="397"/>
      <c r="LNH10" s="397"/>
      <c r="LNI10" s="397"/>
      <c r="LNJ10" s="397"/>
      <c r="LNK10" s="397"/>
      <c r="LNL10" s="397"/>
      <c r="LNM10" s="397"/>
      <c r="LNN10" s="397"/>
      <c r="LNO10" s="397"/>
      <c r="LNP10" s="397"/>
      <c r="LNQ10" s="397"/>
      <c r="LNR10" s="397"/>
      <c r="LNS10" s="397"/>
      <c r="LNT10" s="397"/>
      <c r="LNU10" s="397"/>
      <c r="LNV10" s="397"/>
      <c r="LNW10" s="397"/>
      <c r="LNX10" s="397"/>
      <c r="LNY10" s="397"/>
      <c r="LNZ10" s="397"/>
      <c r="LOA10" s="397"/>
      <c r="LOB10" s="397"/>
      <c r="LOC10" s="397"/>
      <c r="LOD10" s="397"/>
      <c r="LOE10" s="397"/>
      <c r="LOF10" s="397"/>
      <c r="LOG10" s="397"/>
      <c r="LOH10" s="397"/>
      <c r="LOI10" s="397"/>
      <c r="LOJ10" s="397"/>
      <c r="LOK10" s="397"/>
      <c r="LOL10" s="397"/>
      <c r="LOM10" s="397"/>
      <c r="LON10" s="397"/>
      <c r="LOO10" s="397"/>
      <c r="LOP10" s="397"/>
      <c r="LOQ10" s="397"/>
      <c r="LOR10" s="397"/>
      <c r="LOS10" s="397"/>
      <c r="LOT10" s="397"/>
      <c r="LOU10" s="397"/>
      <c r="LOV10" s="397"/>
      <c r="LOW10" s="397"/>
      <c r="LOX10" s="397"/>
      <c r="LOY10" s="397"/>
      <c r="LOZ10" s="397"/>
      <c r="LPA10" s="397"/>
      <c r="LPB10" s="397"/>
      <c r="LPC10" s="397"/>
      <c r="LPD10" s="397"/>
      <c r="LPE10" s="397"/>
      <c r="LPF10" s="397"/>
      <c r="LPG10" s="397"/>
      <c r="LPH10" s="397"/>
      <c r="LPI10" s="397"/>
      <c r="LPJ10" s="397"/>
      <c r="LPK10" s="397"/>
      <c r="LPL10" s="397"/>
      <c r="LPM10" s="397"/>
      <c r="LPN10" s="397"/>
      <c r="LPO10" s="397"/>
      <c r="LPP10" s="397"/>
      <c r="LPQ10" s="397"/>
      <c r="LPR10" s="397"/>
      <c r="LPS10" s="397"/>
      <c r="LPT10" s="397"/>
      <c r="LPU10" s="397"/>
      <c r="LPV10" s="397"/>
      <c r="LPW10" s="397"/>
      <c r="LPX10" s="397"/>
      <c r="LPY10" s="397"/>
      <c r="LPZ10" s="397"/>
      <c r="LQA10" s="397"/>
      <c r="LQB10" s="397"/>
      <c r="LQC10" s="397"/>
      <c r="LQD10" s="397"/>
      <c r="LQE10" s="397"/>
      <c r="LQF10" s="397"/>
      <c r="LQG10" s="397"/>
      <c r="LQH10" s="397"/>
      <c r="LQI10" s="397"/>
      <c r="LQJ10" s="397"/>
      <c r="LQK10" s="397"/>
      <c r="LQL10" s="397"/>
      <c r="LQM10" s="397"/>
      <c r="LQN10" s="397"/>
      <c r="LQO10" s="397"/>
      <c r="LQP10" s="397"/>
      <c r="LQQ10" s="397"/>
      <c r="LQR10" s="397"/>
      <c r="LQS10" s="397"/>
      <c r="LQT10" s="397"/>
      <c r="LQU10" s="397"/>
      <c r="LQV10" s="397"/>
      <c r="LQW10" s="397"/>
      <c r="LQX10" s="397"/>
      <c r="LQY10" s="397"/>
      <c r="LQZ10" s="397"/>
      <c r="LRA10" s="397"/>
      <c r="LRB10" s="397"/>
      <c r="LRC10" s="397"/>
      <c r="LRD10" s="397"/>
      <c r="LRE10" s="397"/>
      <c r="LRF10" s="397"/>
      <c r="LRG10" s="397"/>
      <c r="LRH10" s="397"/>
      <c r="LRI10" s="397"/>
      <c r="LRJ10" s="397"/>
      <c r="LRK10" s="397"/>
      <c r="LRL10" s="397"/>
      <c r="LRM10" s="397"/>
      <c r="LRN10" s="397"/>
      <c r="LRO10" s="397"/>
      <c r="LRP10" s="397"/>
      <c r="LRQ10" s="397"/>
      <c r="LRR10" s="397"/>
      <c r="LRS10" s="397"/>
      <c r="LRT10" s="397"/>
      <c r="LRU10" s="397"/>
      <c r="LRV10" s="397"/>
      <c r="LRW10" s="397"/>
      <c r="LRX10" s="397"/>
      <c r="LRY10" s="397"/>
      <c r="LRZ10" s="397"/>
      <c r="LSA10" s="397"/>
      <c r="LSB10" s="397"/>
      <c r="LSC10" s="397"/>
      <c r="LSD10" s="397"/>
      <c r="LSE10" s="397"/>
      <c r="LSF10" s="397"/>
      <c r="LSG10" s="397"/>
      <c r="LSH10" s="397"/>
      <c r="LSI10" s="397"/>
      <c r="LSJ10" s="397"/>
      <c r="LSK10" s="397"/>
      <c r="LSL10" s="397"/>
      <c r="LSM10" s="397"/>
      <c r="LSN10" s="397"/>
      <c r="LSO10" s="397"/>
      <c r="LSP10" s="397"/>
      <c r="LSQ10" s="397"/>
      <c r="LSR10" s="397"/>
      <c r="LSS10" s="397"/>
      <c r="LST10" s="397"/>
      <c r="LSU10" s="397"/>
      <c r="LSV10" s="397"/>
      <c r="LSW10" s="397"/>
      <c r="LSX10" s="397"/>
      <c r="LSY10" s="397"/>
      <c r="LSZ10" s="397"/>
      <c r="LTA10" s="397"/>
      <c r="LTB10" s="397"/>
      <c r="LTC10" s="397"/>
      <c r="LTD10" s="397"/>
      <c r="LTE10" s="397"/>
      <c r="LTF10" s="397"/>
      <c r="LTG10" s="397"/>
      <c r="LTH10" s="397"/>
      <c r="LTI10" s="397"/>
      <c r="LTJ10" s="397"/>
      <c r="LTK10" s="397"/>
      <c r="LTL10" s="397"/>
      <c r="LTM10" s="397"/>
      <c r="LTN10" s="397"/>
      <c r="LTO10" s="397"/>
      <c r="LTP10" s="397"/>
      <c r="LTQ10" s="397"/>
      <c r="LTR10" s="397"/>
      <c r="LTS10" s="397"/>
      <c r="LTT10" s="397"/>
      <c r="LTU10" s="397"/>
      <c r="LTV10" s="397"/>
      <c r="LTW10" s="397"/>
      <c r="LTX10" s="397"/>
      <c r="LTY10" s="397"/>
      <c r="LTZ10" s="397"/>
      <c r="LUA10" s="397"/>
      <c r="LUB10" s="397"/>
      <c r="LUC10" s="397"/>
      <c r="LUD10" s="397"/>
      <c r="LUE10" s="397"/>
      <c r="LUF10" s="397"/>
      <c r="LUG10" s="397"/>
      <c r="LUH10" s="397"/>
      <c r="LUI10" s="397"/>
      <c r="LUJ10" s="397"/>
      <c r="LUK10" s="397"/>
      <c r="LUL10" s="397"/>
      <c r="LUM10" s="397"/>
      <c r="LUN10" s="397"/>
      <c r="LUO10" s="397"/>
      <c r="LUP10" s="397"/>
      <c r="LUQ10" s="397"/>
      <c r="LUR10" s="397"/>
      <c r="LUS10" s="397"/>
      <c r="LUT10" s="397"/>
      <c r="LUU10" s="397"/>
      <c r="LUV10" s="397"/>
      <c r="LUW10" s="397"/>
      <c r="LUX10" s="397"/>
      <c r="LUY10" s="397"/>
      <c r="LUZ10" s="397"/>
      <c r="LVA10" s="397"/>
      <c r="LVB10" s="397"/>
      <c r="LVC10" s="397"/>
      <c r="LVD10" s="397"/>
      <c r="LVE10" s="397"/>
      <c r="LVF10" s="397"/>
      <c r="LVG10" s="397"/>
      <c r="LVH10" s="397"/>
      <c r="LVI10" s="397"/>
      <c r="LVJ10" s="397"/>
      <c r="LVK10" s="397"/>
      <c r="LVL10" s="397"/>
      <c r="LVM10" s="397"/>
      <c r="LVN10" s="397"/>
      <c r="LVO10" s="397"/>
      <c r="LVP10" s="397"/>
      <c r="LVQ10" s="397"/>
      <c r="LVR10" s="397"/>
      <c r="LVS10" s="397"/>
      <c r="LVT10" s="397"/>
      <c r="LVU10" s="397"/>
      <c r="LVV10" s="397"/>
      <c r="LVW10" s="397"/>
      <c r="LVX10" s="397"/>
      <c r="LVY10" s="397"/>
      <c r="LVZ10" s="397"/>
      <c r="LWA10" s="397"/>
      <c r="LWB10" s="397"/>
      <c r="LWC10" s="397"/>
      <c r="LWD10" s="397"/>
      <c r="LWE10" s="397"/>
      <c r="LWF10" s="397"/>
      <c r="LWG10" s="397"/>
      <c r="LWH10" s="397"/>
      <c r="LWI10" s="397"/>
      <c r="LWJ10" s="397"/>
      <c r="LWK10" s="397"/>
      <c r="LWL10" s="397"/>
      <c r="LWM10" s="397"/>
      <c r="LWN10" s="397"/>
      <c r="LWO10" s="397"/>
      <c r="LWP10" s="397"/>
      <c r="LWQ10" s="397"/>
      <c r="LWR10" s="397"/>
      <c r="LWS10" s="397"/>
      <c r="LWT10" s="397"/>
      <c r="LWU10" s="397"/>
      <c r="LWV10" s="397"/>
      <c r="LWW10" s="397"/>
      <c r="LWX10" s="397"/>
      <c r="LWY10" s="397"/>
      <c r="LWZ10" s="397"/>
      <c r="LXA10" s="397"/>
      <c r="LXB10" s="397"/>
      <c r="LXC10" s="397"/>
      <c r="LXD10" s="397"/>
      <c r="LXE10" s="397"/>
      <c r="LXF10" s="397"/>
      <c r="LXG10" s="397"/>
      <c r="LXH10" s="397"/>
      <c r="LXI10" s="397"/>
      <c r="LXJ10" s="397"/>
      <c r="LXK10" s="397"/>
      <c r="LXL10" s="397"/>
      <c r="LXM10" s="397"/>
      <c r="LXN10" s="397"/>
      <c r="LXO10" s="397"/>
      <c r="LXP10" s="397"/>
      <c r="LXQ10" s="397"/>
      <c r="LXR10" s="397"/>
      <c r="LXS10" s="397"/>
      <c r="LXT10" s="397"/>
      <c r="LXU10" s="397"/>
      <c r="LXV10" s="397"/>
      <c r="LXW10" s="397"/>
      <c r="LXX10" s="397"/>
      <c r="LXY10" s="397"/>
      <c r="LXZ10" s="397"/>
      <c r="LYA10" s="397"/>
      <c r="LYB10" s="397"/>
      <c r="LYC10" s="397"/>
      <c r="LYD10" s="397"/>
      <c r="LYE10" s="397"/>
      <c r="LYF10" s="397"/>
      <c r="LYG10" s="397"/>
      <c r="LYH10" s="397"/>
      <c r="LYI10" s="397"/>
      <c r="LYJ10" s="397"/>
      <c r="LYK10" s="397"/>
      <c r="LYL10" s="397"/>
      <c r="LYM10" s="397"/>
      <c r="LYN10" s="397"/>
      <c r="LYO10" s="397"/>
      <c r="LYP10" s="397"/>
      <c r="LYQ10" s="397"/>
      <c r="LYR10" s="397"/>
      <c r="LYS10" s="397"/>
      <c r="LYT10" s="397"/>
      <c r="LYU10" s="397"/>
      <c r="LYV10" s="397"/>
      <c r="LYW10" s="397"/>
      <c r="LYX10" s="397"/>
      <c r="LYY10" s="397"/>
      <c r="LYZ10" s="397"/>
      <c r="LZA10" s="397"/>
      <c r="LZB10" s="397"/>
      <c r="LZC10" s="397"/>
      <c r="LZD10" s="397"/>
      <c r="LZE10" s="397"/>
      <c r="LZF10" s="397"/>
      <c r="LZG10" s="397"/>
      <c r="LZH10" s="397"/>
      <c r="LZI10" s="397"/>
      <c r="LZJ10" s="397"/>
      <c r="LZK10" s="397"/>
      <c r="LZL10" s="397"/>
      <c r="LZM10" s="397"/>
      <c r="LZN10" s="397"/>
      <c r="LZO10" s="397"/>
      <c r="LZP10" s="397"/>
      <c r="LZQ10" s="397"/>
      <c r="LZR10" s="397"/>
      <c r="LZS10" s="397"/>
      <c r="LZT10" s="397"/>
      <c r="LZU10" s="397"/>
      <c r="LZV10" s="397"/>
      <c r="LZW10" s="397"/>
      <c r="LZX10" s="397"/>
      <c r="LZY10" s="397"/>
      <c r="LZZ10" s="397"/>
      <c r="MAA10" s="397"/>
      <c r="MAB10" s="397"/>
      <c r="MAC10" s="397"/>
      <c r="MAD10" s="397"/>
      <c r="MAE10" s="397"/>
      <c r="MAF10" s="397"/>
      <c r="MAG10" s="397"/>
      <c r="MAH10" s="397"/>
      <c r="MAI10" s="397"/>
      <c r="MAJ10" s="397"/>
      <c r="MAK10" s="397"/>
      <c r="MAL10" s="397"/>
      <c r="MAM10" s="397"/>
      <c r="MAN10" s="397"/>
      <c r="MAO10" s="397"/>
      <c r="MAP10" s="397"/>
      <c r="MAQ10" s="397"/>
      <c r="MAR10" s="397"/>
      <c r="MAS10" s="397"/>
      <c r="MAT10" s="397"/>
      <c r="MAU10" s="397"/>
      <c r="MAV10" s="397"/>
      <c r="MAW10" s="397"/>
      <c r="MAX10" s="397"/>
      <c r="MAY10" s="397"/>
      <c r="MAZ10" s="397"/>
      <c r="MBA10" s="397"/>
      <c r="MBB10" s="397"/>
      <c r="MBC10" s="397"/>
      <c r="MBD10" s="397"/>
      <c r="MBE10" s="397"/>
      <c r="MBF10" s="397"/>
      <c r="MBG10" s="397"/>
      <c r="MBH10" s="397"/>
      <c r="MBI10" s="397"/>
      <c r="MBJ10" s="397"/>
      <c r="MBK10" s="397"/>
      <c r="MBL10" s="397"/>
      <c r="MBM10" s="397"/>
      <c r="MBN10" s="397"/>
      <c r="MBO10" s="397"/>
      <c r="MBP10" s="397"/>
      <c r="MBQ10" s="397"/>
      <c r="MBR10" s="397"/>
      <c r="MBS10" s="397"/>
      <c r="MBT10" s="397"/>
      <c r="MBU10" s="397"/>
      <c r="MBV10" s="397"/>
      <c r="MBW10" s="397"/>
      <c r="MBX10" s="397"/>
      <c r="MBY10" s="397"/>
      <c r="MBZ10" s="397"/>
      <c r="MCA10" s="397"/>
      <c r="MCB10" s="397"/>
      <c r="MCC10" s="397"/>
      <c r="MCD10" s="397"/>
      <c r="MCE10" s="397"/>
      <c r="MCF10" s="397"/>
      <c r="MCG10" s="397"/>
      <c r="MCH10" s="397"/>
      <c r="MCI10" s="397"/>
      <c r="MCJ10" s="397"/>
      <c r="MCK10" s="397"/>
      <c r="MCL10" s="397"/>
      <c r="MCM10" s="397"/>
      <c r="MCN10" s="397"/>
      <c r="MCO10" s="397"/>
      <c r="MCP10" s="397"/>
      <c r="MCQ10" s="397"/>
      <c r="MCR10" s="397"/>
      <c r="MCS10" s="397"/>
      <c r="MCT10" s="397"/>
      <c r="MCU10" s="397"/>
      <c r="MCV10" s="397"/>
      <c r="MCW10" s="397"/>
      <c r="MCX10" s="397"/>
      <c r="MCY10" s="397"/>
      <c r="MCZ10" s="397"/>
      <c r="MDA10" s="397"/>
      <c r="MDB10" s="397"/>
      <c r="MDC10" s="397"/>
      <c r="MDD10" s="397"/>
      <c r="MDE10" s="397"/>
      <c r="MDF10" s="397"/>
      <c r="MDG10" s="397"/>
      <c r="MDH10" s="397"/>
      <c r="MDI10" s="397"/>
      <c r="MDJ10" s="397"/>
      <c r="MDK10" s="397"/>
      <c r="MDL10" s="397"/>
      <c r="MDM10" s="397"/>
      <c r="MDN10" s="397"/>
      <c r="MDO10" s="397"/>
      <c r="MDP10" s="397"/>
      <c r="MDQ10" s="397"/>
      <c r="MDR10" s="397"/>
      <c r="MDS10" s="397"/>
      <c r="MDT10" s="397"/>
      <c r="MDU10" s="397"/>
      <c r="MDV10" s="397"/>
      <c r="MDW10" s="397"/>
      <c r="MDX10" s="397"/>
      <c r="MDY10" s="397"/>
      <c r="MDZ10" s="397"/>
      <c r="MEA10" s="397"/>
      <c r="MEB10" s="397"/>
      <c r="MEC10" s="397"/>
      <c r="MED10" s="397"/>
      <c r="MEE10" s="397"/>
      <c r="MEF10" s="397"/>
      <c r="MEG10" s="397"/>
      <c r="MEH10" s="397"/>
      <c r="MEI10" s="397"/>
      <c r="MEJ10" s="397"/>
      <c r="MEK10" s="397"/>
      <c r="MEL10" s="397"/>
      <c r="MEM10" s="397"/>
      <c r="MEN10" s="397"/>
      <c r="MEO10" s="397"/>
      <c r="MEP10" s="397"/>
      <c r="MEQ10" s="397"/>
      <c r="MER10" s="397"/>
      <c r="MES10" s="397"/>
      <c r="MET10" s="397"/>
      <c r="MEU10" s="397"/>
      <c r="MEV10" s="397"/>
      <c r="MEW10" s="397"/>
      <c r="MEX10" s="397"/>
      <c r="MEY10" s="397"/>
      <c r="MEZ10" s="397"/>
      <c r="MFA10" s="397"/>
      <c r="MFB10" s="397"/>
      <c r="MFC10" s="397"/>
      <c r="MFD10" s="397"/>
      <c r="MFE10" s="397"/>
      <c r="MFF10" s="397"/>
      <c r="MFG10" s="397"/>
      <c r="MFH10" s="397"/>
      <c r="MFI10" s="397"/>
      <c r="MFJ10" s="397"/>
      <c r="MFK10" s="397"/>
      <c r="MFL10" s="397"/>
      <c r="MFM10" s="397"/>
      <c r="MFN10" s="397"/>
      <c r="MFO10" s="397"/>
      <c r="MFP10" s="397"/>
      <c r="MFQ10" s="397"/>
      <c r="MFR10" s="397"/>
      <c r="MFS10" s="397"/>
      <c r="MFT10" s="397"/>
      <c r="MFU10" s="397"/>
      <c r="MFV10" s="397"/>
      <c r="MFW10" s="397"/>
      <c r="MFX10" s="397"/>
      <c r="MFY10" s="397"/>
      <c r="MFZ10" s="397"/>
      <c r="MGA10" s="397"/>
      <c r="MGB10" s="397"/>
      <c r="MGC10" s="397"/>
      <c r="MGD10" s="397"/>
      <c r="MGE10" s="397"/>
      <c r="MGF10" s="397"/>
      <c r="MGG10" s="397"/>
      <c r="MGH10" s="397"/>
      <c r="MGI10" s="397"/>
      <c r="MGJ10" s="397"/>
      <c r="MGK10" s="397"/>
      <c r="MGL10" s="397"/>
      <c r="MGM10" s="397"/>
      <c r="MGN10" s="397"/>
      <c r="MGO10" s="397"/>
      <c r="MGP10" s="397"/>
      <c r="MGQ10" s="397"/>
      <c r="MGR10" s="397"/>
      <c r="MGS10" s="397"/>
      <c r="MGT10" s="397"/>
      <c r="MGU10" s="397"/>
      <c r="MGV10" s="397"/>
      <c r="MGW10" s="397"/>
      <c r="MGX10" s="397"/>
      <c r="MGY10" s="397"/>
      <c r="MGZ10" s="397"/>
      <c r="MHA10" s="397"/>
      <c r="MHB10" s="397"/>
      <c r="MHC10" s="397"/>
      <c r="MHD10" s="397"/>
      <c r="MHE10" s="397"/>
      <c r="MHF10" s="397"/>
      <c r="MHG10" s="397"/>
      <c r="MHH10" s="397"/>
      <c r="MHI10" s="397"/>
      <c r="MHJ10" s="397"/>
      <c r="MHK10" s="397"/>
      <c r="MHL10" s="397"/>
      <c r="MHM10" s="397"/>
      <c r="MHN10" s="397"/>
      <c r="MHO10" s="397"/>
      <c r="MHP10" s="397"/>
      <c r="MHQ10" s="397"/>
      <c r="MHR10" s="397"/>
      <c r="MHS10" s="397"/>
      <c r="MHT10" s="397"/>
      <c r="MHU10" s="397"/>
      <c r="MHV10" s="397"/>
      <c r="MHW10" s="397"/>
      <c r="MHX10" s="397"/>
      <c r="MHY10" s="397"/>
      <c r="MHZ10" s="397"/>
      <c r="MIA10" s="397"/>
      <c r="MIB10" s="397"/>
      <c r="MIC10" s="397"/>
      <c r="MID10" s="397"/>
      <c r="MIE10" s="397"/>
      <c r="MIF10" s="397"/>
      <c r="MIG10" s="397"/>
      <c r="MIH10" s="397"/>
      <c r="MII10" s="397"/>
      <c r="MIJ10" s="397"/>
      <c r="MIK10" s="397"/>
      <c r="MIL10" s="397"/>
      <c r="MIM10" s="397"/>
      <c r="MIN10" s="397"/>
      <c r="MIO10" s="397"/>
      <c r="MIP10" s="397"/>
      <c r="MIQ10" s="397"/>
      <c r="MIR10" s="397"/>
      <c r="MIS10" s="397"/>
      <c r="MIT10" s="397"/>
      <c r="MIU10" s="397"/>
      <c r="MIV10" s="397"/>
      <c r="MIW10" s="397"/>
      <c r="MIX10" s="397"/>
      <c r="MIY10" s="397"/>
      <c r="MIZ10" s="397"/>
      <c r="MJA10" s="397"/>
      <c r="MJB10" s="397"/>
      <c r="MJC10" s="397"/>
      <c r="MJD10" s="397"/>
      <c r="MJE10" s="397"/>
      <c r="MJF10" s="397"/>
      <c r="MJG10" s="397"/>
      <c r="MJH10" s="397"/>
      <c r="MJI10" s="397"/>
      <c r="MJJ10" s="397"/>
      <c r="MJK10" s="397"/>
      <c r="MJL10" s="397"/>
      <c r="MJM10" s="397"/>
      <c r="MJN10" s="397"/>
      <c r="MJO10" s="397"/>
      <c r="MJP10" s="397"/>
      <c r="MJQ10" s="397"/>
      <c r="MJR10" s="397"/>
      <c r="MJS10" s="397"/>
      <c r="MJT10" s="397"/>
      <c r="MJU10" s="397"/>
      <c r="MJV10" s="397"/>
      <c r="MJW10" s="397"/>
      <c r="MJX10" s="397"/>
      <c r="MJY10" s="397"/>
      <c r="MJZ10" s="397"/>
      <c r="MKA10" s="397"/>
      <c r="MKB10" s="397"/>
      <c r="MKC10" s="397"/>
      <c r="MKD10" s="397"/>
      <c r="MKE10" s="397"/>
      <c r="MKF10" s="397"/>
      <c r="MKG10" s="397"/>
      <c r="MKH10" s="397"/>
      <c r="MKI10" s="397"/>
      <c r="MKJ10" s="397"/>
      <c r="MKK10" s="397"/>
      <c r="MKL10" s="397"/>
      <c r="MKM10" s="397"/>
      <c r="MKN10" s="397"/>
      <c r="MKO10" s="397"/>
      <c r="MKP10" s="397"/>
      <c r="MKQ10" s="397"/>
      <c r="MKR10" s="397"/>
      <c r="MKS10" s="397"/>
      <c r="MKT10" s="397"/>
      <c r="MKU10" s="397"/>
      <c r="MKV10" s="397"/>
      <c r="MKW10" s="397"/>
      <c r="MKX10" s="397"/>
      <c r="MKY10" s="397"/>
      <c r="MKZ10" s="397"/>
      <c r="MLA10" s="397"/>
      <c r="MLB10" s="397"/>
      <c r="MLC10" s="397"/>
      <c r="MLD10" s="397"/>
      <c r="MLE10" s="397"/>
      <c r="MLF10" s="397"/>
      <c r="MLG10" s="397"/>
      <c r="MLH10" s="397"/>
      <c r="MLI10" s="397"/>
      <c r="MLJ10" s="397"/>
      <c r="MLK10" s="397"/>
      <c r="MLL10" s="397"/>
      <c r="MLM10" s="397"/>
      <c r="MLN10" s="397"/>
      <c r="MLO10" s="397"/>
      <c r="MLP10" s="397"/>
      <c r="MLQ10" s="397"/>
      <c r="MLR10" s="397"/>
      <c r="MLS10" s="397"/>
      <c r="MLT10" s="397"/>
      <c r="MLU10" s="397"/>
      <c r="MLV10" s="397"/>
      <c r="MLW10" s="397"/>
      <c r="MLX10" s="397"/>
      <c r="MLY10" s="397"/>
      <c r="MLZ10" s="397"/>
      <c r="MMA10" s="397"/>
      <c r="MMB10" s="397"/>
      <c r="MMC10" s="397"/>
      <c r="MMD10" s="397"/>
      <c r="MME10" s="397"/>
      <c r="MMF10" s="397"/>
      <c r="MMG10" s="397"/>
      <c r="MMH10" s="397"/>
      <c r="MMI10" s="397"/>
      <c r="MMJ10" s="397"/>
      <c r="MMK10" s="397"/>
      <c r="MML10" s="397"/>
      <c r="MMM10" s="397"/>
      <c r="MMN10" s="397"/>
      <c r="MMO10" s="397"/>
      <c r="MMP10" s="397"/>
      <c r="MMQ10" s="397"/>
      <c r="MMR10" s="397"/>
      <c r="MMS10" s="397"/>
      <c r="MMT10" s="397"/>
      <c r="MMU10" s="397"/>
      <c r="MMV10" s="397"/>
      <c r="MMW10" s="397"/>
      <c r="MMX10" s="397"/>
      <c r="MMY10" s="397"/>
      <c r="MMZ10" s="397"/>
      <c r="MNA10" s="397"/>
      <c r="MNB10" s="397"/>
      <c r="MNC10" s="397"/>
      <c r="MND10" s="397"/>
      <c r="MNE10" s="397"/>
      <c r="MNF10" s="397"/>
      <c r="MNG10" s="397"/>
      <c r="MNH10" s="397"/>
      <c r="MNI10" s="397"/>
      <c r="MNJ10" s="397"/>
      <c r="MNK10" s="397"/>
      <c r="MNL10" s="397"/>
      <c r="MNM10" s="397"/>
      <c r="MNN10" s="397"/>
      <c r="MNO10" s="397"/>
      <c r="MNP10" s="397"/>
      <c r="MNQ10" s="397"/>
      <c r="MNR10" s="397"/>
      <c r="MNS10" s="397"/>
      <c r="MNT10" s="397"/>
      <c r="MNU10" s="397"/>
      <c r="MNV10" s="397"/>
      <c r="MNW10" s="397"/>
      <c r="MNX10" s="397"/>
      <c r="MNY10" s="397"/>
      <c r="MNZ10" s="397"/>
      <c r="MOA10" s="397"/>
      <c r="MOB10" s="397"/>
      <c r="MOC10" s="397"/>
      <c r="MOD10" s="397"/>
      <c r="MOE10" s="397"/>
      <c r="MOF10" s="397"/>
      <c r="MOG10" s="397"/>
      <c r="MOH10" s="397"/>
      <c r="MOI10" s="397"/>
      <c r="MOJ10" s="397"/>
      <c r="MOK10" s="397"/>
      <c r="MOL10" s="397"/>
      <c r="MOM10" s="397"/>
      <c r="MON10" s="397"/>
      <c r="MOO10" s="397"/>
      <c r="MOP10" s="397"/>
      <c r="MOQ10" s="397"/>
      <c r="MOR10" s="397"/>
      <c r="MOS10" s="397"/>
      <c r="MOT10" s="397"/>
      <c r="MOU10" s="397"/>
      <c r="MOV10" s="397"/>
      <c r="MOW10" s="397"/>
      <c r="MOX10" s="397"/>
      <c r="MOY10" s="397"/>
      <c r="MOZ10" s="397"/>
      <c r="MPA10" s="397"/>
      <c r="MPB10" s="397"/>
      <c r="MPC10" s="397"/>
      <c r="MPD10" s="397"/>
      <c r="MPE10" s="397"/>
      <c r="MPF10" s="397"/>
      <c r="MPG10" s="397"/>
      <c r="MPH10" s="397"/>
      <c r="MPI10" s="397"/>
      <c r="MPJ10" s="397"/>
      <c r="MPK10" s="397"/>
      <c r="MPL10" s="397"/>
      <c r="MPM10" s="397"/>
      <c r="MPN10" s="397"/>
      <c r="MPO10" s="397"/>
      <c r="MPP10" s="397"/>
      <c r="MPQ10" s="397"/>
      <c r="MPR10" s="397"/>
      <c r="MPS10" s="397"/>
      <c r="MPT10" s="397"/>
      <c r="MPU10" s="397"/>
      <c r="MPV10" s="397"/>
      <c r="MPW10" s="397"/>
      <c r="MPX10" s="397"/>
      <c r="MPY10" s="397"/>
      <c r="MPZ10" s="397"/>
      <c r="MQA10" s="397"/>
      <c r="MQB10" s="397"/>
      <c r="MQC10" s="397"/>
      <c r="MQD10" s="397"/>
      <c r="MQE10" s="397"/>
      <c r="MQF10" s="397"/>
      <c r="MQG10" s="397"/>
      <c r="MQH10" s="397"/>
      <c r="MQI10" s="397"/>
      <c r="MQJ10" s="397"/>
      <c r="MQK10" s="397"/>
      <c r="MQL10" s="397"/>
      <c r="MQM10" s="397"/>
      <c r="MQN10" s="397"/>
      <c r="MQO10" s="397"/>
      <c r="MQP10" s="397"/>
      <c r="MQQ10" s="397"/>
      <c r="MQR10" s="397"/>
      <c r="MQS10" s="397"/>
      <c r="MQT10" s="397"/>
      <c r="MQU10" s="397"/>
      <c r="MQV10" s="397"/>
      <c r="MQW10" s="397"/>
      <c r="MQX10" s="397"/>
      <c r="MQY10" s="397"/>
      <c r="MQZ10" s="397"/>
      <c r="MRA10" s="397"/>
      <c r="MRB10" s="397"/>
      <c r="MRC10" s="397"/>
      <c r="MRD10" s="397"/>
      <c r="MRE10" s="397"/>
      <c r="MRF10" s="397"/>
      <c r="MRG10" s="397"/>
      <c r="MRH10" s="397"/>
      <c r="MRI10" s="397"/>
      <c r="MRJ10" s="397"/>
      <c r="MRK10" s="397"/>
      <c r="MRL10" s="397"/>
      <c r="MRM10" s="397"/>
      <c r="MRN10" s="397"/>
      <c r="MRO10" s="397"/>
      <c r="MRP10" s="397"/>
      <c r="MRQ10" s="397"/>
      <c r="MRR10" s="397"/>
      <c r="MRS10" s="397"/>
      <c r="MRT10" s="397"/>
      <c r="MRU10" s="397"/>
      <c r="MRV10" s="397"/>
      <c r="MRW10" s="397"/>
      <c r="MRX10" s="397"/>
      <c r="MRY10" s="397"/>
      <c r="MRZ10" s="397"/>
      <c r="MSA10" s="397"/>
      <c r="MSB10" s="397"/>
      <c r="MSC10" s="397"/>
      <c r="MSD10" s="397"/>
      <c r="MSE10" s="397"/>
      <c r="MSF10" s="397"/>
      <c r="MSG10" s="397"/>
      <c r="MSH10" s="397"/>
      <c r="MSI10" s="397"/>
      <c r="MSJ10" s="397"/>
      <c r="MSK10" s="397"/>
      <c r="MSL10" s="397"/>
      <c r="MSM10" s="397"/>
      <c r="MSN10" s="397"/>
      <c r="MSO10" s="397"/>
      <c r="MSP10" s="397"/>
      <c r="MSQ10" s="397"/>
      <c r="MSR10" s="397"/>
      <c r="MSS10" s="397"/>
      <c r="MST10" s="397"/>
      <c r="MSU10" s="397"/>
      <c r="MSV10" s="397"/>
      <c r="MSW10" s="397"/>
      <c r="MSX10" s="397"/>
      <c r="MSY10" s="397"/>
      <c r="MSZ10" s="397"/>
      <c r="MTA10" s="397"/>
      <c r="MTB10" s="397"/>
      <c r="MTC10" s="397"/>
      <c r="MTD10" s="397"/>
      <c r="MTE10" s="397"/>
      <c r="MTF10" s="397"/>
      <c r="MTG10" s="397"/>
      <c r="MTH10" s="397"/>
      <c r="MTI10" s="397"/>
      <c r="MTJ10" s="397"/>
      <c r="MTK10" s="397"/>
      <c r="MTL10" s="397"/>
      <c r="MTM10" s="397"/>
      <c r="MTN10" s="397"/>
      <c r="MTO10" s="397"/>
      <c r="MTP10" s="397"/>
      <c r="MTQ10" s="397"/>
      <c r="MTR10" s="397"/>
      <c r="MTS10" s="397"/>
      <c r="MTT10" s="397"/>
      <c r="MTU10" s="397"/>
      <c r="MTV10" s="397"/>
      <c r="MTW10" s="397"/>
      <c r="MTX10" s="397"/>
      <c r="MTY10" s="397"/>
      <c r="MTZ10" s="397"/>
      <c r="MUA10" s="397"/>
      <c r="MUB10" s="397"/>
      <c r="MUC10" s="397"/>
      <c r="MUD10" s="397"/>
      <c r="MUE10" s="397"/>
      <c r="MUF10" s="397"/>
      <c r="MUG10" s="397"/>
      <c r="MUH10" s="397"/>
      <c r="MUI10" s="397"/>
      <c r="MUJ10" s="397"/>
      <c r="MUK10" s="397"/>
      <c r="MUL10" s="397"/>
      <c r="MUM10" s="397"/>
      <c r="MUN10" s="397"/>
      <c r="MUO10" s="397"/>
      <c r="MUP10" s="397"/>
      <c r="MUQ10" s="397"/>
      <c r="MUR10" s="397"/>
      <c r="MUS10" s="397"/>
      <c r="MUT10" s="397"/>
      <c r="MUU10" s="397"/>
      <c r="MUV10" s="397"/>
      <c r="MUW10" s="397"/>
      <c r="MUX10" s="397"/>
      <c r="MUY10" s="397"/>
      <c r="MUZ10" s="397"/>
      <c r="MVA10" s="397"/>
      <c r="MVB10" s="397"/>
      <c r="MVC10" s="397"/>
      <c r="MVD10" s="397"/>
      <c r="MVE10" s="397"/>
      <c r="MVF10" s="397"/>
      <c r="MVG10" s="397"/>
      <c r="MVH10" s="397"/>
      <c r="MVI10" s="397"/>
      <c r="MVJ10" s="397"/>
      <c r="MVK10" s="397"/>
      <c r="MVL10" s="397"/>
      <c r="MVM10" s="397"/>
      <c r="MVN10" s="397"/>
      <c r="MVO10" s="397"/>
      <c r="MVP10" s="397"/>
      <c r="MVQ10" s="397"/>
      <c r="MVR10" s="397"/>
      <c r="MVS10" s="397"/>
      <c r="MVT10" s="397"/>
      <c r="MVU10" s="397"/>
      <c r="MVV10" s="397"/>
      <c r="MVW10" s="397"/>
      <c r="MVX10" s="397"/>
      <c r="MVY10" s="397"/>
      <c r="MVZ10" s="397"/>
      <c r="MWA10" s="397"/>
      <c r="MWB10" s="397"/>
      <c r="MWC10" s="397"/>
      <c r="MWD10" s="397"/>
      <c r="MWE10" s="397"/>
      <c r="MWF10" s="397"/>
      <c r="MWG10" s="397"/>
      <c r="MWH10" s="397"/>
      <c r="MWI10" s="397"/>
      <c r="MWJ10" s="397"/>
      <c r="MWK10" s="397"/>
      <c r="MWL10" s="397"/>
      <c r="MWM10" s="397"/>
      <c r="MWN10" s="397"/>
      <c r="MWO10" s="397"/>
      <c r="MWP10" s="397"/>
      <c r="MWQ10" s="397"/>
      <c r="MWR10" s="397"/>
      <c r="MWS10" s="397"/>
      <c r="MWT10" s="397"/>
      <c r="MWU10" s="397"/>
      <c r="MWV10" s="397"/>
      <c r="MWW10" s="397"/>
      <c r="MWX10" s="397"/>
      <c r="MWY10" s="397"/>
      <c r="MWZ10" s="397"/>
      <c r="MXA10" s="397"/>
      <c r="MXB10" s="397"/>
      <c r="MXC10" s="397"/>
      <c r="MXD10" s="397"/>
      <c r="MXE10" s="397"/>
      <c r="MXF10" s="397"/>
      <c r="MXG10" s="397"/>
      <c r="MXH10" s="397"/>
      <c r="MXI10" s="397"/>
      <c r="MXJ10" s="397"/>
      <c r="MXK10" s="397"/>
      <c r="MXL10" s="397"/>
      <c r="MXM10" s="397"/>
      <c r="MXN10" s="397"/>
      <c r="MXO10" s="397"/>
      <c r="MXP10" s="397"/>
      <c r="MXQ10" s="397"/>
      <c r="MXR10" s="397"/>
      <c r="MXS10" s="397"/>
      <c r="MXT10" s="397"/>
      <c r="MXU10" s="397"/>
      <c r="MXV10" s="397"/>
      <c r="MXW10" s="397"/>
      <c r="MXX10" s="397"/>
      <c r="MXY10" s="397"/>
      <c r="MXZ10" s="397"/>
      <c r="MYA10" s="397"/>
      <c r="MYB10" s="397"/>
      <c r="MYC10" s="397"/>
      <c r="MYD10" s="397"/>
      <c r="MYE10" s="397"/>
      <c r="MYF10" s="397"/>
      <c r="MYG10" s="397"/>
      <c r="MYH10" s="397"/>
      <c r="MYI10" s="397"/>
      <c r="MYJ10" s="397"/>
      <c r="MYK10" s="397"/>
      <c r="MYL10" s="397"/>
      <c r="MYM10" s="397"/>
      <c r="MYN10" s="397"/>
      <c r="MYO10" s="397"/>
      <c r="MYP10" s="397"/>
      <c r="MYQ10" s="397"/>
      <c r="MYR10" s="397"/>
      <c r="MYS10" s="397"/>
      <c r="MYT10" s="397"/>
      <c r="MYU10" s="397"/>
      <c r="MYV10" s="397"/>
      <c r="MYW10" s="397"/>
      <c r="MYX10" s="397"/>
      <c r="MYY10" s="397"/>
      <c r="MYZ10" s="397"/>
      <c r="MZA10" s="397"/>
      <c r="MZB10" s="397"/>
      <c r="MZC10" s="397"/>
      <c r="MZD10" s="397"/>
      <c r="MZE10" s="397"/>
      <c r="MZF10" s="397"/>
      <c r="MZG10" s="397"/>
      <c r="MZH10" s="397"/>
      <c r="MZI10" s="397"/>
      <c r="MZJ10" s="397"/>
      <c r="MZK10" s="397"/>
      <c r="MZL10" s="397"/>
      <c r="MZM10" s="397"/>
      <c r="MZN10" s="397"/>
      <c r="MZO10" s="397"/>
      <c r="MZP10" s="397"/>
      <c r="MZQ10" s="397"/>
      <c r="MZR10" s="397"/>
      <c r="MZS10" s="397"/>
      <c r="MZT10" s="397"/>
      <c r="MZU10" s="397"/>
      <c r="MZV10" s="397"/>
      <c r="MZW10" s="397"/>
      <c r="MZX10" s="397"/>
      <c r="MZY10" s="397"/>
      <c r="MZZ10" s="397"/>
      <c r="NAA10" s="397"/>
      <c r="NAB10" s="397"/>
      <c r="NAC10" s="397"/>
      <c r="NAD10" s="397"/>
      <c r="NAE10" s="397"/>
      <c r="NAF10" s="397"/>
      <c r="NAG10" s="397"/>
      <c r="NAH10" s="397"/>
      <c r="NAI10" s="397"/>
      <c r="NAJ10" s="397"/>
      <c r="NAK10" s="397"/>
      <c r="NAL10" s="397"/>
      <c r="NAM10" s="397"/>
      <c r="NAN10" s="397"/>
      <c r="NAO10" s="397"/>
      <c r="NAP10" s="397"/>
      <c r="NAQ10" s="397"/>
      <c r="NAR10" s="397"/>
      <c r="NAS10" s="397"/>
      <c r="NAT10" s="397"/>
      <c r="NAU10" s="397"/>
      <c r="NAV10" s="397"/>
      <c r="NAW10" s="397"/>
      <c r="NAX10" s="397"/>
      <c r="NAY10" s="397"/>
      <c r="NAZ10" s="397"/>
      <c r="NBA10" s="397"/>
      <c r="NBB10" s="397"/>
      <c r="NBC10" s="397"/>
      <c r="NBD10" s="397"/>
      <c r="NBE10" s="397"/>
      <c r="NBF10" s="397"/>
      <c r="NBG10" s="397"/>
      <c r="NBH10" s="397"/>
      <c r="NBI10" s="397"/>
      <c r="NBJ10" s="397"/>
      <c r="NBK10" s="397"/>
      <c r="NBL10" s="397"/>
      <c r="NBM10" s="397"/>
      <c r="NBN10" s="397"/>
      <c r="NBO10" s="397"/>
      <c r="NBP10" s="397"/>
      <c r="NBQ10" s="397"/>
      <c r="NBR10" s="397"/>
      <c r="NBS10" s="397"/>
      <c r="NBT10" s="397"/>
      <c r="NBU10" s="397"/>
      <c r="NBV10" s="397"/>
      <c r="NBW10" s="397"/>
      <c r="NBX10" s="397"/>
      <c r="NBY10" s="397"/>
      <c r="NBZ10" s="397"/>
      <c r="NCA10" s="397"/>
      <c r="NCB10" s="397"/>
      <c r="NCC10" s="397"/>
      <c r="NCD10" s="397"/>
      <c r="NCE10" s="397"/>
      <c r="NCF10" s="397"/>
      <c r="NCG10" s="397"/>
      <c r="NCH10" s="397"/>
      <c r="NCI10" s="397"/>
      <c r="NCJ10" s="397"/>
      <c r="NCK10" s="397"/>
      <c r="NCL10" s="397"/>
      <c r="NCM10" s="397"/>
      <c r="NCN10" s="397"/>
      <c r="NCO10" s="397"/>
      <c r="NCP10" s="397"/>
      <c r="NCQ10" s="397"/>
      <c r="NCR10" s="397"/>
      <c r="NCS10" s="397"/>
      <c r="NCT10" s="397"/>
      <c r="NCU10" s="397"/>
      <c r="NCV10" s="397"/>
      <c r="NCW10" s="397"/>
      <c r="NCX10" s="397"/>
      <c r="NCY10" s="397"/>
      <c r="NCZ10" s="397"/>
      <c r="NDA10" s="397"/>
      <c r="NDB10" s="397"/>
      <c r="NDC10" s="397"/>
      <c r="NDD10" s="397"/>
      <c r="NDE10" s="397"/>
      <c r="NDF10" s="397"/>
      <c r="NDG10" s="397"/>
      <c r="NDH10" s="397"/>
      <c r="NDI10" s="397"/>
      <c r="NDJ10" s="397"/>
      <c r="NDK10" s="397"/>
      <c r="NDL10" s="397"/>
      <c r="NDM10" s="397"/>
      <c r="NDN10" s="397"/>
      <c r="NDO10" s="397"/>
      <c r="NDP10" s="397"/>
      <c r="NDQ10" s="397"/>
      <c r="NDR10" s="397"/>
      <c r="NDS10" s="397"/>
      <c r="NDT10" s="397"/>
      <c r="NDU10" s="397"/>
      <c r="NDV10" s="397"/>
      <c r="NDW10" s="397"/>
      <c r="NDX10" s="397"/>
      <c r="NDY10" s="397"/>
      <c r="NDZ10" s="397"/>
      <c r="NEA10" s="397"/>
      <c r="NEB10" s="397"/>
      <c r="NEC10" s="397"/>
      <c r="NED10" s="397"/>
      <c r="NEE10" s="397"/>
      <c r="NEF10" s="397"/>
      <c r="NEG10" s="397"/>
      <c r="NEH10" s="397"/>
      <c r="NEI10" s="397"/>
      <c r="NEJ10" s="397"/>
      <c r="NEK10" s="397"/>
      <c r="NEL10" s="397"/>
      <c r="NEM10" s="397"/>
      <c r="NEN10" s="397"/>
      <c r="NEO10" s="397"/>
      <c r="NEP10" s="397"/>
      <c r="NEQ10" s="397"/>
      <c r="NER10" s="397"/>
      <c r="NES10" s="397"/>
      <c r="NET10" s="397"/>
      <c r="NEU10" s="397"/>
      <c r="NEV10" s="397"/>
      <c r="NEW10" s="397"/>
      <c r="NEX10" s="397"/>
      <c r="NEY10" s="397"/>
      <c r="NEZ10" s="397"/>
      <c r="NFA10" s="397"/>
      <c r="NFB10" s="397"/>
      <c r="NFC10" s="397"/>
      <c r="NFD10" s="397"/>
      <c r="NFE10" s="397"/>
      <c r="NFF10" s="397"/>
      <c r="NFG10" s="397"/>
      <c r="NFH10" s="397"/>
      <c r="NFI10" s="397"/>
      <c r="NFJ10" s="397"/>
      <c r="NFK10" s="397"/>
      <c r="NFL10" s="397"/>
      <c r="NFM10" s="397"/>
      <c r="NFN10" s="397"/>
      <c r="NFO10" s="397"/>
      <c r="NFP10" s="397"/>
      <c r="NFQ10" s="397"/>
      <c r="NFR10" s="397"/>
      <c r="NFS10" s="397"/>
      <c r="NFT10" s="397"/>
      <c r="NFU10" s="397"/>
      <c r="NFV10" s="397"/>
      <c r="NFW10" s="397"/>
      <c r="NFX10" s="397"/>
      <c r="NFY10" s="397"/>
      <c r="NFZ10" s="397"/>
      <c r="NGA10" s="397"/>
      <c r="NGB10" s="397"/>
      <c r="NGC10" s="397"/>
      <c r="NGD10" s="397"/>
      <c r="NGE10" s="397"/>
      <c r="NGF10" s="397"/>
      <c r="NGG10" s="397"/>
      <c r="NGH10" s="397"/>
      <c r="NGI10" s="397"/>
      <c r="NGJ10" s="397"/>
      <c r="NGK10" s="397"/>
      <c r="NGL10" s="397"/>
      <c r="NGM10" s="397"/>
      <c r="NGN10" s="397"/>
      <c r="NGO10" s="397"/>
      <c r="NGP10" s="397"/>
      <c r="NGQ10" s="397"/>
      <c r="NGR10" s="397"/>
      <c r="NGS10" s="397"/>
      <c r="NGT10" s="397"/>
      <c r="NGU10" s="397"/>
      <c r="NGV10" s="397"/>
      <c r="NGW10" s="397"/>
      <c r="NGX10" s="397"/>
      <c r="NGY10" s="397"/>
      <c r="NGZ10" s="397"/>
      <c r="NHA10" s="397"/>
      <c r="NHB10" s="397"/>
      <c r="NHC10" s="397"/>
      <c r="NHD10" s="397"/>
      <c r="NHE10" s="397"/>
      <c r="NHF10" s="397"/>
      <c r="NHG10" s="397"/>
      <c r="NHH10" s="397"/>
      <c r="NHI10" s="397"/>
      <c r="NHJ10" s="397"/>
      <c r="NHK10" s="397"/>
      <c r="NHL10" s="397"/>
      <c r="NHM10" s="397"/>
      <c r="NHN10" s="397"/>
      <c r="NHO10" s="397"/>
      <c r="NHP10" s="397"/>
      <c r="NHQ10" s="397"/>
      <c r="NHR10" s="397"/>
      <c r="NHS10" s="397"/>
      <c r="NHT10" s="397"/>
      <c r="NHU10" s="397"/>
      <c r="NHV10" s="397"/>
      <c r="NHW10" s="397"/>
      <c r="NHX10" s="397"/>
      <c r="NHY10" s="397"/>
      <c r="NHZ10" s="397"/>
      <c r="NIA10" s="397"/>
      <c r="NIB10" s="397"/>
      <c r="NIC10" s="397"/>
      <c r="NID10" s="397"/>
      <c r="NIE10" s="397"/>
      <c r="NIF10" s="397"/>
      <c r="NIG10" s="397"/>
      <c r="NIH10" s="397"/>
      <c r="NII10" s="397"/>
      <c r="NIJ10" s="397"/>
      <c r="NIK10" s="397"/>
      <c r="NIL10" s="397"/>
      <c r="NIM10" s="397"/>
      <c r="NIN10" s="397"/>
      <c r="NIO10" s="397"/>
      <c r="NIP10" s="397"/>
      <c r="NIQ10" s="397"/>
      <c r="NIR10" s="397"/>
      <c r="NIS10" s="397"/>
      <c r="NIT10" s="397"/>
      <c r="NIU10" s="397"/>
      <c r="NIV10" s="397"/>
      <c r="NIW10" s="397"/>
      <c r="NIX10" s="397"/>
      <c r="NIY10" s="397"/>
      <c r="NIZ10" s="397"/>
      <c r="NJA10" s="397"/>
      <c r="NJB10" s="397"/>
      <c r="NJC10" s="397"/>
      <c r="NJD10" s="397"/>
      <c r="NJE10" s="397"/>
      <c r="NJF10" s="397"/>
      <c r="NJG10" s="397"/>
      <c r="NJH10" s="397"/>
      <c r="NJI10" s="397"/>
      <c r="NJJ10" s="397"/>
      <c r="NJK10" s="397"/>
      <c r="NJL10" s="397"/>
      <c r="NJM10" s="397"/>
      <c r="NJN10" s="397"/>
      <c r="NJO10" s="397"/>
      <c r="NJP10" s="397"/>
      <c r="NJQ10" s="397"/>
      <c r="NJR10" s="397"/>
      <c r="NJS10" s="397"/>
      <c r="NJT10" s="397"/>
      <c r="NJU10" s="397"/>
      <c r="NJV10" s="397"/>
      <c r="NJW10" s="397"/>
      <c r="NJX10" s="397"/>
      <c r="NJY10" s="397"/>
      <c r="NJZ10" s="397"/>
      <c r="NKA10" s="397"/>
      <c r="NKB10" s="397"/>
      <c r="NKC10" s="397"/>
      <c r="NKD10" s="397"/>
      <c r="NKE10" s="397"/>
      <c r="NKF10" s="397"/>
      <c r="NKG10" s="397"/>
      <c r="NKH10" s="397"/>
      <c r="NKI10" s="397"/>
      <c r="NKJ10" s="397"/>
      <c r="NKK10" s="397"/>
      <c r="NKL10" s="397"/>
      <c r="NKM10" s="397"/>
      <c r="NKN10" s="397"/>
      <c r="NKO10" s="397"/>
      <c r="NKP10" s="397"/>
      <c r="NKQ10" s="397"/>
      <c r="NKR10" s="397"/>
      <c r="NKS10" s="397"/>
      <c r="NKT10" s="397"/>
      <c r="NKU10" s="397"/>
      <c r="NKV10" s="397"/>
      <c r="NKW10" s="397"/>
      <c r="NKX10" s="397"/>
      <c r="NKY10" s="397"/>
      <c r="NKZ10" s="397"/>
      <c r="NLA10" s="397"/>
      <c r="NLB10" s="397"/>
      <c r="NLC10" s="397"/>
      <c r="NLD10" s="397"/>
      <c r="NLE10" s="397"/>
      <c r="NLF10" s="397"/>
      <c r="NLG10" s="397"/>
      <c r="NLH10" s="397"/>
      <c r="NLI10" s="397"/>
      <c r="NLJ10" s="397"/>
      <c r="NLK10" s="397"/>
      <c r="NLL10" s="397"/>
      <c r="NLM10" s="397"/>
      <c r="NLN10" s="397"/>
      <c r="NLO10" s="397"/>
      <c r="NLP10" s="397"/>
      <c r="NLQ10" s="397"/>
      <c r="NLR10" s="397"/>
      <c r="NLS10" s="397"/>
      <c r="NLT10" s="397"/>
      <c r="NLU10" s="397"/>
      <c r="NLV10" s="397"/>
      <c r="NLW10" s="397"/>
      <c r="NLX10" s="397"/>
      <c r="NLY10" s="397"/>
      <c r="NLZ10" s="397"/>
      <c r="NMA10" s="397"/>
      <c r="NMB10" s="397"/>
      <c r="NMC10" s="397"/>
      <c r="NMD10" s="397"/>
      <c r="NME10" s="397"/>
      <c r="NMF10" s="397"/>
      <c r="NMG10" s="397"/>
      <c r="NMH10" s="397"/>
      <c r="NMI10" s="397"/>
      <c r="NMJ10" s="397"/>
      <c r="NMK10" s="397"/>
      <c r="NML10" s="397"/>
      <c r="NMM10" s="397"/>
      <c r="NMN10" s="397"/>
      <c r="NMO10" s="397"/>
      <c r="NMP10" s="397"/>
      <c r="NMQ10" s="397"/>
      <c r="NMR10" s="397"/>
      <c r="NMS10" s="397"/>
      <c r="NMT10" s="397"/>
      <c r="NMU10" s="397"/>
      <c r="NMV10" s="397"/>
      <c r="NMW10" s="397"/>
      <c r="NMX10" s="397"/>
      <c r="NMY10" s="397"/>
      <c r="NMZ10" s="397"/>
      <c r="NNA10" s="397"/>
      <c r="NNB10" s="397"/>
      <c r="NNC10" s="397"/>
      <c r="NND10" s="397"/>
      <c r="NNE10" s="397"/>
      <c r="NNF10" s="397"/>
      <c r="NNG10" s="397"/>
      <c r="NNH10" s="397"/>
      <c r="NNI10" s="397"/>
      <c r="NNJ10" s="397"/>
      <c r="NNK10" s="397"/>
      <c r="NNL10" s="397"/>
      <c r="NNM10" s="397"/>
      <c r="NNN10" s="397"/>
      <c r="NNO10" s="397"/>
      <c r="NNP10" s="397"/>
      <c r="NNQ10" s="397"/>
      <c r="NNR10" s="397"/>
      <c r="NNS10" s="397"/>
      <c r="NNT10" s="397"/>
      <c r="NNU10" s="397"/>
      <c r="NNV10" s="397"/>
      <c r="NNW10" s="397"/>
      <c r="NNX10" s="397"/>
      <c r="NNY10" s="397"/>
      <c r="NNZ10" s="397"/>
      <c r="NOA10" s="397"/>
      <c r="NOB10" s="397"/>
      <c r="NOC10" s="397"/>
      <c r="NOD10" s="397"/>
      <c r="NOE10" s="397"/>
      <c r="NOF10" s="397"/>
      <c r="NOG10" s="397"/>
      <c r="NOH10" s="397"/>
      <c r="NOI10" s="397"/>
      <c r="NOJ10" s="397"/>
      <c r="NOK10" s="397"/>
      <c r="NOL10" s="397"/>
      <c r="NOM10" s="397"/>
      <c r="NON10" s="397"/>
      <c r="NOO10" s="397"/>
      <c r="NOP10" s="397"/>
      <c r="NOQ10" s="397"/>
      <c r="NOR10" s="397"/>
      <c r="NOS10" s="397"/>
      <c r="NOT10" s="397"/>
      <c r="NOU10" s="397"/>
      <c r="NOV10" s="397"/>
      <c r="NOW10" s="397"/>
      <c r="NOX10" s="397"/>
      <c r="NOY10" s="397"/>
      <c r="NOZ10" s="397"/>
      <c r="NPA10" s="397"/>
      <c r="NPB10" s="397"/>
      <c r="NPC10" s="397"/>
      <c r="NPD10" s="397"/>
      <c r="NPE10" s="397"/>
      <c r="NPF10" s="397"/>
      <c r="NPG10" s="397"/>
      <c r="NPH10" s="397"/>
      <c r="NPI10" s="397"/>
      <c r="NPJ10" s="397"/>
      <c r="NPK10" s="397"/>
      <c r="NPL10" s="397"/>
      <c r="NPM10" s="397"/>
      <c r="NPN10" s="397"/>
      <c r="NPO10" s="397"/>
      <c r="NPP10" s="397"/>
      <c r="NPQ10" s="397"/>
      <c r="NPR10" s="397"/>
      <c r="NPS10" s="397"/>
      <c r="NPT10" s="397"/>
      <c r="NPU10" s="397"/>
      <c r="NPV10" s="397"/>
      <c r="NPW10" s="397"/>
      <c r="NPX10" s="397"/>
      <c r="NPY10" s="397"/>
      <c r="NPZ10" s="397"/>
      <c r="NQA10" s="397"/>
      <c r="NQB10" s="397"/>
      <c r="NQC10" s="397"/>
      <c r="NQD10" s="397"/>
      <c r="NQE10" s="397"/>
      <c r="NQF10" s="397"/>
      <c r="NQG10" s="397"/>
      <c r="NQH10" s="397"/>
      <c r="NQI10" s="397"/>
      <c r="NQJ10" s="397"/>
      <c r="NQK10" s="397"/>
      <c r="NQL10" s="397"/>
      <c r="NQM10" s="397"/>
      <c r="NQN10" s="397"/>
      <c r="NQO10" s="397"/>
      <c r="NQP10" s="397"/>
      <c r="NQQ10" s="397"/>
      <c r="NQR10" s="397"/>
      <c r="NQS10" s="397"/>
      <c r="NQT10" s="397"/>
      <c r="NQU10" s="397"/>
      <c r="NQV10" s="397"/>
      <c r="NQW10" s="397"/>
      <c r="NQX10" s="397"/>
      <c r="NQY10" s="397"/>
      <c r="NQZ10" s="397"/>
      <c r="NRA10" s="397"/>
      <c r="NRB10" s="397"/>
      <c r="NRC10" s="397"/>
      <c r="NRD10" s="397"/>
      <c r="NRE10" s="397"/>
      <c r="NRF10" s="397"/>
      <c r="NRG10" s="397"/>
      <c r="NRH10" s="397"/>
      <c r="NRI10" s="397"/>
      <c r="NRJ10" s="397"/>
      <c r="NRK10" s="397"/>
      <c r="NRL10" s="397"/>
      <c r="NRM10" s="397"/>
      <c r="NRN10" s="397"/>
      <c r="NRO10" s="397"/>
      <c r="NRP10" s="397"/>
      <c r="NRQ10" s="397"/>
      <c r="NRR10" s="397"/>
      <c r="NRS10" s="397"/>
      <c r="NRT10" s="397"/>
      <c r="NRU10" s="397"/>
      <c r="NRV10" s="397"/>
      <c r="NRW10" s="397"/>
      <c r="NRX10" s="397"/>
      <c r="NRY10" s="397"/>
      <c r="NRZ10" s="397"/>
      <c r="NSA10" s="397"/>
      <c r="NSB10" s="397"/>
      <c r="NSC10" s="397"/>
      <c r="NSD10" s="397"/>
      <c r="NSE10" s="397"/>
      <c r="NSF10" s="397"/>
      <c r="NSG10" s="397"/>
      <c r="NSH10" s="397"/>
      <c r="NSI10" s="397"/>
      <c r="NSJ10" s="397"/>
      <c r="NSK10" s="397"/>
      <c r="NSL10" s="397"/>
      <c r="NSM10" s="397"/>
      <c r="NSN10" s="397"/>
      <c r="NSO10" s="397"/>
      <c r="NSP10" s="397"/>
      <c r="NSQ10" s="397"/>
      <c r="NSR10" s="397"/>
      <c r="NSS10" s="397"/>
      <c r="NST10" s="397"/>
      <c r="NSU10" s="397"/>
      <c r="NSV10" s="397"/>
      <c r="NSW10" s="397"/>
      <c r="NSX10" s="397"/>
      <c r="NSY10" s="397"/>
      <c r="NSZ10" s="397"/>
      <c r="NTA10" s="397"/>
      <c r="NTB10" s="397"/>
      <c r="NTC10" s="397"/>
      <c r="NTD10" s="397"/>
      <c r="NTE10" s="397"/>
      <c r="NTF10" s="397"/>
      <c r="NTG10" s="397"/>
      <c r="NTH10" s="397"/>
      <c r="NTI10" s="397"/>
      <c r="NTJ10" s="397"/>
      <c r="NTK10" s="397"/>
      <c r="NTL10" s="397"/>
      <c r="NTM10" s="397"/>
      <c r="NTN10" s="397"/>
      <c r="NTO10" s="397"/>
      <c r="NTP10" s="397"/>
      <c r="NTQ10" s="397"/>
      <c r="NTR10" s="397"/>
      <c r="NTS10" s="397"/>
      <c r="NTT10" s="397"/>
      <c r="NTU10" s="397"/>
      <c r="NTV10" s="397"/>
      <c r="NTW10" s="397"/>
      <c r="NTX10" s="397"/>
      <c r="NTY10" s="397"/>
      <c r="NTZ10" s="397"/>
      <c r="NUA10" s="397"/>
      <c r="NUB10" s="397"/>
      <c r="NUC10" s="397"/>
      <c r="NUD10" s="397"/>
      <c r="NUE10" s="397"/>
      <c r="NUF10" s="397"/>
      <c r="NUG10" s="397"/>
      <c r="NUH10" s="397"/>
      <c r="NUI10" s="397"/>
      <c r="NUJ10" s="397"/>
      <c r="NUK10" s="397"/>
      <c r="NUL10" s="397"/>
      <c r="NUM10" s="397"/>
      <c r="NUN10" s="397"/>
      <c r="NUO10" s="397"/>
      <c r="NUP10" s="397"/>
      <c r="NUQ10" s="397"/>
      <c r="NUR10" s="397"/>
      <c r="NUS10" s="397"/>
      <c r="NUT10" s="397"/>
      <c r="NUU10" s="397"/>
      <c r="NUV10" s="397"/>
      <c r="NUW10" s="397"/>
      <c r="NUX10" s="397"/>
      <c r="NUY10" s="397"/>
      <c r="NUZ10" s="397"/>
      <c r="NVA10" s="397"/>
      <c r="NVB10" s="397"/>
      <c r="NVC10" s="397"/>
      <c r="NVD10" s="397"/>
      <c r="NVE10" s="397"/>
      <c r="NVF10" s="397"/>
      <c r="NVG10" s="397"/>
      <c r="NVH10" s="397"/>
      <c r="NVI10" s="397"/>
      <c r="NVJ10" s="397"/>
      <c r="NVK10" s="397"/>
      <c r="NVL10" s="397"/>
      <c r="NVM10" s="397"/>
      <c r="NVN10" s="397"/>
      <c r="NVO10" s="397"/>
      <c r="NVP10" s="397"/>
      <c r="NVQ10" s="397"/>
      <c r="NVR10" s="397"/>
      <c r="NVS10" s="397"/>
      <c r="NVT10" s="397"/>
      <c r="NVU10" s="397"/>
      <c r="NVV10" s="397"/>
      <c r="NVW10" s="397"/>
      <c r="NVX10" s="397"/>
      <c r="NVY10" s="397"/>
      <c r="NVZ10" s="397"/>
      <c r="NWA10" s="397"/>
      <c r="NWB10" s="397"/>
      <c r="NWC10" s="397"/>
      <c r="NWD10" s="397"/>
      <c r="NWE10" s="397"/>
      <c r="NWF10" s="397"/>
      <c r="NWG10" s="397"/>
      <c r="NWH10" s="397"/>
      <c r="NWI10" s="397"/>
      <c r="NWJ10" s="397"/>
      <c r="NWK10" s="397"/>
      <c r="NWL10" s="397"/>
      <c r="NWM10" s="397"/>
      <c r="NWN10" s="397"/>
      <c r="NWO10" s="397"/>
      <c r="NWP10" s="397"/>
      <c r="NWQ10" s="397"/>
      <c r="NWR10" s="397"/>
      <c r="NWS10" s="397"/>
      <c r="NWT10" s="397"/>
      <c r="NWU10" s="397"/>
      <c r="NWV10" s="397"/>
      <c r="NWW10" s="397"/>
      <c r="NWX10" s="397"/>
      <c r="NWY10" s="397"/>
      <c r="NWZ10" s="397"/>
      <c r="NXA10" s="397"/>
      <c r="NXB10" s="397"/>
      <c r="NXC10" s="397"/>
      <c r="NXD10" s="397"/>
      <c r="NXE10" s="397"/>
      <c r="NXF10" s="397"/>
      <c r="NXG10" s="397"/>
      <c r="NXH10" s="397"/>
      <c r="NXI10" s="397"/>
      <c r="NXJ10" s="397"/>
      <c r="NXK10" s="397"/>
      <c r="NXL10" s="397"/>
      <c r="NXM10" s="397"/>
      <c r="NXN10" s="397"/>
      <c r="NXO10" s="397"/>
      <c r="NXP10" s="397"/>
      <c r="NXQ10" s="397"/>
      <c r="NXR10" s="397"/>
      <c r="NXS10" s="397"/>
      <c r="NXT10" s="397"/>
      <c r="NXU10" s="397"/>
      <c r="NXV10" s="397"/>
      <c r="NXW10" s="397"/>
      <c r="NXX10" s="397"/>
      <c r="NXY10" s="397"/>
      <c r="NXZ10" s="397"/>
      <c r="NYA10" s="397"/>
      <c r="NYB10" s="397"/>
      <c r="NYC10" s="397"/>
      <c r="NYD10" s="397"/>
      <c r="NYE10" s="397"/>
      <c r="NYF10" s="397"/>
      <c r="NYG10" s="397"/>
      <c r="NYH10" s="397"/>
      <c r="NYI10" s="397"/>
      <c r="NYJ10" s="397"/>
      <c r="NYK10" s="397"/>
      <c r="NYL10" s="397"/>
      <c r="NYM10" s="397"/>
      <c r="NYN10" s="397"/>
      <c r="NYO10" s="397"/>
      <c r="NYP10" s="397"/>
      <c r="NYQ10" s="397"/>
      <c r="NYR10" s="397"/>
      <c r="NYS10" s="397"/>
      <c r="NYT10" s="397"/>
      <c r="NYU10" s="397"/>
      <c r="NYV10" s="397"/>
      <c r="NYW10" s="397"/>
      <c r="NYX10" s="397"/>
      <c r="NYY10" s="397"/>
      <c r="NYZ10" s="397"/>
      <c r="NZA10" s="397"/>
      <c r="NZB10" s="397"/>
      <c r="NZC10" s="397"/>
      <c r="NZD10" s="397"/>
      <c r="NZE10" s="397"/>
      <c r="NZF10" s="397"/>
      <c r="NZG10" s="397"/>
      <c r="NZH10" s="397"/>
      <c r="NZI10" s="397"/>
      <c r="NZJ10" s="397"/>
      <c r="NZK10" s="397"/>
      <c r="NZL10" s="397"/>
      <c r="NZM10" s="397"/>
      <c r="NZN10" s="397"/>
      <c r="NZO10" s="397"/>
      <c r="NZP10" s="397"/>
      <c r="NZQ10" s="397"/>
      <c r="NZR10" s="397"/>
      <c r="NZS10" s="397"/>
      <c r="NZT10" s="397"/>
      <c r="NZU10" s="397"/>
      <c r="NZV10" s="397"/>
      <c r="NZW10" s="397"/>
      <c r="NZX10" s="397"/>
      <c r="NZY10" s="397"/>
      <c r="NZZ10" s="397"/>
      <c r="OAA10" s="397"/>
      <c r="OAB10" s="397"/>
      <c r="OAC10" s="397"/>
      <c r="OAD10" s="397"/>
      <c r="OAE10" s="397"/>
      <c r="OAF10" s="397"/>
      <c r="OAG10" s="397"/>
      <c r="OAH10" s="397"/>
      <c r="OAI10" s="397"/>
      <c r="OAJ10" s="397"/>
      <c r="OAK10" s="397"/>
      <c r="OAL10" s="397"/>
      <c r="OAM10" s="397"/>
      <c r="OAN10" s="397"/>
      <c r="OAO10" s="397"/>
      <c r="OAP10" s="397"/>
      <c r="OAQ10" s="397"/>
      <c r="OAR10" s="397"/>
      <c r="OAS10" s="397"/>
      <c r="OAT10" s="397"/>
      <c r="OAU10" s="397"/>
      <c r="OAV10" s="397"/>
      <c r="OAW10" s="397"/>
      <c r="OAX10" s="397"/>
      <c r="OAY10" s="397"/>
      <c r="OAZ10" s="397"/>
      <c r="OBA10" s="397"/>
      <c r="OBB10" s="397"/>
      <c r="OBC10" s="397"/>
      <c r="OBD10" s="397"/>
      <c r="OBE10" s="397"/>
      <c r="OBF10" s="397"/>
      <c r="OBG10" s="397"/>
      <c r="OBH10" s="397"/>
      <c r="OBI10" s="397"/>
      <c r="OBJ10" s="397"/>
      <c r="OBK10" s="397"/>
      <c r="OBL10" s="397"/>
      <c r="OBM10" s="397"/>
      <c r="OBN10" s="397"/>
      <c r="OBO10" s="397"/>
      <c r="OBP10" s="397"/>
      <c r="OBQ10" s="397"/>
      <c r="OBR10" s="397"/>
      <c r="OBS10" s="397"/>
      <c r="OBT10" s="397"/>
      <c r="OBU10" s="397"/>
      <c r="OBV10" s="397"/>
      <c r="OBW10" s="397"/>
      <c r="OBX10" s="397"/>
      <c r="OBY10" s="397"/>
      <c r="OBZ10" s="397"/>
      <c r="OCA10" s="397"/>
      <c r="OCB10" s="397"/>
      <c r="OCC10" s="397"/>
      <c r="OCD10" s="397"/>
      <c r="OCE10" s="397"/>
      <c r="OCF10" s="397"/>
      <c r="OCG10" s="397"/>
      <c r="OCH10" s="397"/>
      <c r="OCI10" s="397"/>
      <c r="OCJ10" s="397"/>
      <c r="OCK10" s="397"/>
      <c r="OCL10" s="397"/>
      <c r="OCM10" s="397"/>
      <c r="OCN10" s="397"/>
      <c r="OCO10" s="397"/>
      <c r="OCP10" s="397"/>
      <c r="OCQ10" s="397"/>
      <c r="OCR10" s="397"/>
      <c r="OCS10" s="397"/>
      <c r="OCT10" s="397"/>
      <c r="OCU10" s="397"/>
      <c r="OCV10" s="397"/>
      <c r="OCW10" s="397"/>
      <c r="OCX10" s="397"/>
      <c r="OCY10" s="397"/>
      <c r="OCZ10" s="397"/>
      <c r="ODA10" s="397"/>
      <c r="ODB10" s="397"/>
      <c r="ODC10" s="397"/>
      <c r="ODD10" s="397"/>
      <c r="ODE10" s="397"/>
      <c r="ODF10" s="397"/>
      <c r="ODG10" s="397"/>
      <c r="ODH10" s="397"/>
      <c r="ODI10" s="397"/>
      <c r="ODJ10" s="397"/>
      <c r="ODK10" s="397"/>
      <c r="ODL10" s="397"/>
      <c r="ODM10" s="397"/>
      <c r="ODN10" s="397"/>
      <c r="ODO10" s="397"/>
      <c r="ODP10" s="397"/>
      <c r="ODQ10" s="397"/>
      <c r="ODR10" s="397"/>
      <c r="ODS10" s="397"/>
      <c r="ODT10" s="397"/>
      <c r="ODU10" s="397"/>
      <c r="ODV10" s="397"/>
      <c r="ODW10" s="397"/>
      <c r="ODX10" s="397"/>
      <c r="ODY10" s="397"/>
      <c r="ODZ10" s="397"/>
      <c r="OEA10" s="397"/>
      <c r="OEB10" s="397"/>
      <c r="OEC10" s="397"/>
      <c r="OED10" s="397"/>
      <c r="OEE10" s="397"/>
      <c r="OEF10" s="397"/>
      <c r="OEG10" s="397"/>
      <c r="OEH10" s="397"/>
      <c r="OEI10" s="397"/>
      <c r="OEJ10" s="397"/>
      <c r="OEK10" s="397"/>
      <c r="OEL10" s="397"/>
      <c r="OEM10" s="397"/>
      <c r="OEN10" s="397"/>
      <c r="OEO10" s="397"/>
      <c r="OEP10" s="397"/>
      <c r="OEQ10" s="397"/>
      <c r="OER10" s="397"/>
      <c r="OES10" s="397"/>
      <c r="OET10" s="397"/>
      <c r="OEU10" s="397"/>
      <c r="OEV10" s="397"/>
      <c r="OEW10" s="397"/>
      <c r="OEX10" s="397"/>
      <c r="OEY10" s="397"/>
      <c r="OEZ10" s="397"/>
      <c r="OFA10" s="397"/>
      <c r="OFB10" s="397"/>
      <c r="OFC10" s="397"/>
      <c r="OFD10" s="397"/>
      <c r="OFE10" s="397"/>
      <c r="OFF10" s="397"/>
      <c r="OFG10" s="397"/>
      <c r="OFH10" s="397"/>
      <c r="OFI10" s="397"/>
      <c r="OFJ10" s="397"/>
      <c r="OFK10" s="397"/>
      <c r="OFL10" s="397"/>
      <c r="OFM10" s="397"/>
      <c r="OFN10" s="397"/>
      <c r="OFO10" s="397"/>
      <c r="OFP10" s="397"/>
      <c r="OFQ10" s="397"/>
      <c r="OFR10" s="397"/>
      <c r="OFS10" s="397"/>
      <c r="OFT10" s="397"/>
      <c r="OFU10" s="397"/>
      <c r="OFV10" s="397"/>
      <c r="OFW10" s="397"/>
      <c r="OFX10" s="397"/>
      <c r="OFY10" s="397"/>
      <c r="OFZ10" s="397"/>
      <c r="OGA10" s="397"/>
      <c r="OGB10" s="397"/>
      <c r="OGC10" s="397"/>
      <c r="OGD10" s="397"/>
      <c r="OGE10" s="397"/>
      <c r="OGF10" s="397"/>
      <c r="OGG10" s="397"/>
      <c r="OGH10" s="397"/>
      <c r="OGI10" s="397"/>
      <c r="OGJ10" s="397"/>
      <c r="OGK10" s="397"/>
      <c r="OGL10" s="397"/>
      <c r="OGM10" s="397"/>
      <c r="OGN10" s="397"/>
      <c r="OGO10" s="397"/>
      <c r="OGP10" s="397"/>
      <c r="OGQ10" s="397"/>
      <c r="OGR10" s="397"/>
      <c r="OGS10" s="397"/>
      <c r="OGT10" s="397"/>
      <c r="OGU10" s="397"/>
      <c r="OGV10" s="397"/>
      <c r="OGW10" s="397"/>
      <c r="OGX10" s="397"/>
      <c r="OGY10" s="397"/>
      <c r="OGZ10" s="397"/>
      <c r="OHA10" s="397"/>
      <c r="OHB10" s="397"/>
      <c r="OHC10" s="397"/>
      <c r="OHD10" s="397"/>
      <c r="OHE10" s="397"/>
      <c r="OHF10" s="397"/>
      <c r="OHG10" s="397"/>
      <c r="OHH10" s="397"/>
      <c r="OHI10" s="397"/>
      <c r="OHJ10" s="397"/>
      <c r="OHK10" s="397"/>
      <c r="OHL10" s="397"/>
      <c r="OHM10" s="397"/>
      <c r="OHN10" s="397"/>
      <c r="OHO10" s="397"/>
      <c r="OHP10" s="397"/>
      <c r="OHQ10" s="397"/>
      <c r="OHR10" s="397"/>
      <c r="OHS10" s="397"/>
      <c r="OHT10" s="397"/>
      <c r="OHU10" s="397"/>
      <c r="OHV10" s="397"/>
      <c r="OHW10" s="397"/>
      <c r="OHX10" s="397"/>
      <c r="OHY10" s="397"/>
      <c r="OHZ10" s="397"/>
      <c r="OIA10" s="397"/>
      <c r="OIB10" s="397"/>
      <c r="OIC10" s="397"/>
      <c r="OID10" s="397"/>
      <c r="OIE10" s="397"/>
      <c r="OIF10" s="397"/>
      <c r="OIG10" s="397"/>
      <c r="OIH10" s="397"/>
      <c r="OII10" s="397"/>
      <c r="OIJ10" s="397"/>
      <c r="OIK10" s="397"/>
      <c r="OIL10" s="397"/>
      <c r="OIM10" s="397"/>
      <c r="OIN10" s="397"/>
      <c r="OIO10" s="397"/>
      <c r="OIP10" s="397"/>
      <c r="OIQ10" s="397"/>
      <c r="OIR10" s="397"/>
      <c r="OIS10" s="397"/>
      <c r="OIT10" s="397"/>
      <c r="OIU10" s="397"/>
      <c r="OIV10" s="397"/>
      <c r="OIW10" s="397"/>
      <c r="OIX10" s="397"/>
      <c r="OIY10" s="397"/>
      <c r="OIZ10" s="397"/>
      <c r="OJA10" s="397"/>
      <c r="OJB10" s="397"/>
      <c r="OJC10" s="397"/>
      <c r="OJD10" s="397"/>
      <c r="OJE10" s="397"/>
      <c r="OJF10" s="397"/>
      <c r="OJG10" s="397"/>
      <c r="OJH10" s="397"/>
      <c r="OJI10" s="397"/>
      <c r="OJJ10" s="397"/>
      <c r="OJK10" s="397"/>
      <c r="OJL10" s="397"/>
      <c r="OJM10" s="397"/>
      <c r="OJN10" s="397"/>
      <c r="OJO10" s="397"/>
      <c r="OJP10" s="397"/>
      <c r="OJQ10" s="397"/>
      <c r="OJR10" s="397"/>
      <c r="OJS10" s="397"/>
      <c r="OJT10" s="397"/>
      <c r="OJU10" s="397"/>
      <c r="OJV10" s="397"/>
      <c r="OJW10" s="397"/>
      <c r="OJX10" s="397"/>
      <c r="OJY10" s="397"/>
      <c r="OJZ10" s="397"/>
      <c r="OKA10" s="397"/>
      <c r="OKB10" s="397"/>
      <c r="OKC10" s="397"/>
      <c r="OKD10" s="397"/>
      <c r="OKE10" s="397"/>
      <c r="OKF10" s="397"/>
      <c r="OKG10" s="397"/>
      <c r="OKH10" s="397"/>
      <c r="OKI10" s="397"/>
      <c r="OKJ10" s="397"/>
      <c r="OKK10" s="397"/>
      <c r="OKL10" s="397"/>
      <c r="OKM10" s="397"/>
      <c r="OKN10" s="397"/>
      <c r="OKO10" s="397"/>
      <c r="OKP10" s="397"/>
      <c r="OKQ10" s="397"/>
      <c r="OKR10" s="397"/>
      <c r="OKS10" s="397"/>
      <c r="OKT10" s="397"/>
      <c r="OKU10" s="397"/>
      <c r="OKV10" s="397"/>
      <c r="OKW10" s="397"/>
      <c r="OKX10" s="397"/>
      <c r="OKY10" s="397"/>
      <c r="OKZ10" s="397"/>
      <c r="OLA10" s="397"/>
      <c r="OLB10" s="397"/>
      <c r="OLC10" s="397"/>
      <c r="OLD10" s="397"/>
      <c r="OLE10" s="397"/>
      <c r="OLF10" s="397"/>
      <c r="OLG10" s="397"/>
      <c r="OLH10" s="397"/>
      <c r="OLI10" s="397"/>
      <c r="OLJ10" s="397"/>
      <c r="OLK10" s="397"/>
      <c r="OLL10" s="397"/>
      <c r="OLM10" s="397"/>
      <c r="OLN10" s="397"/>
      <c r="OLO10" s="397"/>
      <c r="OLP10" s="397"/>
      <c r="OLQ10" s="397"/>
      <c r="OLR10" s="397"/>
      <c r="OLS10" s="397"/>
      <c r="OLT10" s="397"/>
      <c r="OLU10" s="397"/>
      <c r="OLV10" s="397"/>
      <c r="OLW10" s="397"/>
      <c r="OLX10" s="397"/>
      <c r="OLY10" s="397"/>
      <c r="OLZ10" s="397"/>
      <c r="OMA10" s="397"/>
      <c r="OMB10" s="397"/>
      <c r="OMC10" s="397"/>
      <c r="OMD10" s="397"/>
      <c r="OME10" s="397"/>
      <c r="OMF10" s="397"/>
      <c r="OMG10" s="397"/>
      <c r="OMH10" s="397"/>
      <c r="OMI10" s="397"/>
      <c r="OMJ10" s="397"/>
      <c r="OMK10" s="397"/>
      <c r="OML10" s="397"/>
      <c r="OMM10" s="397"/>
      <c r="OMN10" s="397"/>
      <c r="OMO10" s="397"/>
      <c r="OMP10" s="397"/>
      <c r="OMQ10" s="397"/>
      <c r="OMR10" s="397"/>
      <c r="OMS10" s="397"/>
      <c r="OMT10" s="397"/>
      <c r="OMU10" s="397"/>
      <c r="OMV10" s="397"/>
      <c r="OMW10" s="397"/>
      <c r="OMX10" s="397"/>
      <c r="OMY10" s="397"/>
      <c r="OMZ10" s="397"/>
      <c r="ONA10" s="397"/>
      <c r="ONB10" s="397"/>
      <c r="ONC10" s="397"/>
      <c r="OND10" s="397"/>
      <c r="ONE10" s="397"/>
      <c r="ONF10" s="397"/>
      <c r="ONG10" s="397"/>
      <c r="ONH10" s="397"/>
      <c r="ONI10" s="397"/>
      <c r="ONJ10" s="397"/>
      <c r="ONK10" s="397"/>
      <c r="ONL10" s="397"/>
      <c r="ONM10" s="397"/>
      <c r="ONN10" s="397"/>
      <c r="ONO10" s="397"/>
      <c r="ONP10" s="397"/>
      <c r="ONQ10" s="397"/>
      <c r="ONR10" s="397"/>
      <c r="ONS10" s="397"/>
      <c r="ONT10" s="397"/>
      <c r="ONU10" s="397"/>
      <c r="ONV10" s="397"/>
      <c r="ONW10" s="397"/>
      <c r="ONX10" s="397"/>
      <c r="ONY10" s="397"/>
      <c r="ONZ10" s="397"/>
      <c r="OOA10" s="397"/>
      <c r="OOB10" s="397"/>
      <c r="OOC10" s="397"/>
      <c r="OOD10" s="397"/>
      <c r="OOE10" s="397"/>
      <c r="OOF10" s="397"/>
      <c r="OOG10" s="397"/>
      <c r="OOH10" s="397"/>
      <c r="OOI10" s="397"/>
      <c r="OOJ10" s="397"/>
      <c r="OOK10" s="397"/>
      <c r="OOL10" s="397"/>
      <c r="OOM10" s="397"/>
      <c r="OON10" s="397"/>
      <c r="OOO10" s="397"/>
      <c r="OOP10" s="397"/>
      <c r="OOQ10" s="397"/>
      <c r="OOR10" s="397"/>
      <c r="OOS10" s="397"/>
      <c r="OOT10" s="397"/>
      <c r="OOU10" s="397"/>
      <c r="OOV10" s="397"/>
      <c r="OOW10" s="397"/>
      <c r="OOX10" s="397"/>
      <c r="OOY10" s="397"/>
      <c r="OOZ10" s="397"/>
      <c r="OPA10" s="397"/>
      <c r="OPB10" s="397"/>
      <c r="OPC10" s="397"/>
      <c r="OPD10" s="397"/>
      <c r="OPE10" s="397"/>
      <c r="OPF10" s="397"/>
      <c r="OPG10" s="397"/>
      <c r="OPH10" s="397"/>
      <c r="OPI10" s="397"/>
      <c r="OPJ10" s="397"/>
      <c r="OPK10" s="397"/>
      <c r="OPL10" s="397"/>
      <c r="OPM10" s="397"/>
      <c r="OPN10" s="397"/>
      <c r="OPO10" s="397"/>
      <c r="OPP10" s="397"/>
      <c r="OPQ10" s="397"/>
      <c r="OPR10" s="397"/>
      <c r="OPS10" s="397"/>
      <c r="OPT10" s="397"/>
      <c r="OPU10" s="397"/>
      <c r="OPV10" s="397"/>
      <c r="OPW10" s="397"/>
      <c r="OPX10" s="397"/>
      <c r="OPY10" s="397"/>
      <c r="OPZ10" s="397"/>
      <c r="OQA10" s="397"/>
      <c r="OQB10" s="397"/>
      <c r="OQC10" s="397"/>
      <c r="OQD10" s="397"/>
      <c r="OQE10" s="397"/>
      <c r="OQF10" s="397"/>
      <c r="OQG10" s="397"/>
      <c r="OQH10" s="397"/>
      <c r="OQI10" s="397"/>
      <c r="OQJ10" s="397"/>
      <c r="OQK10" s="397"/>
      <c r="OQL10" s="397"/>
      <c r="OQM10" s="397"/>
      <c r="OQN10" s="397"/>
      <c r="OQO10" s="397"/>
      <c r="OQP10" s="397"/>
      <c r="OQQ10" s="397"/>
      <c r="OQR10" s="397"/>
      <c r="OQS10" s="397"/>
      <c r="OQT10" s="397"/>
      <c r="OQU10" s="397"/>
      <c r="OQV10" s="397"/>
      <c r="OQW10" s="397"/>
      <c r="OQX10" s="397"/>
      <c r="OQY10" s="397"/>
      <c r="OQZ10" s="397"/>
      <c r="ORA10" s="397"/>
      <c r="ORB10" s="397"/>
      <c r="ORC10" s="397"/>
      <c r="ORD10" s="397"/>
      <c r="ORE10" s="397"/>
      <c r="ORF10" s="397"/>
      <c r="ORG10" s="397"/>
      <c r="ORH10" s="397"/>
      <c r="ORI10" s="397"/>
      <c r="ORJ10" s="397"/>
      <c r="ORK10" s="397"/>
      <c r="ORL10" s="397"/>
      <c r="ORM10" s="397"/>
      <c r="ORN10" s="397"/>
      <c r="ORO10" s="397"/>
      <c r="ORP10" s="397"/>
      <c r="ORQ10" s="397"/>
      <c r="ORR10" s="397"/>
      <c r="ORS10" s="397"/>
      <c r="ORT10" s="397"/>
      <c r="ORU10" s="397"/>
      <c r="ORV10" s="397"/>
      <c r="ORW10" s="397"/>
      <c r="ORX10" s="397"/>
      <c r="ORY10" s="397"/>
      <c r="ORZ10" s="397"/>
      <c r="OSA10" s="397"/>
      <c r="OSB10" s="397"/>
      <c r="OSC10" s="397"/>
      <c r="OSD10" s="397"/>
      <c r="OSE10" s="397"/>
      <c r="OSF10" s="397"/>
      <c r="OSG10" s="397"/>
      <c r="OSH10" s="397"/>
      <c r="OSI10" s="397"/>
      <c r="OSJ10" s="397"/>
      <c r="OSK10" s="397"/>
      <c r="OSL10" s="397"/>
      <c r="OSM10" s="397"/>
      <c r="OSN10" s="397"/>
      <c r="OSO10" s="397"/>
      <c r="OSP10" s="397"/>
      <c r="OSQ10" s="397"/>
      <c r="OSR10" s="397"/>
      <c r="OSS10" s="397"/>
      <c r="OST10" s="397"/>
      <c r="OSU10" s="397"/>
      <c r="OSV10" s="397"/>
      <c r="OSW10" s="397"/>
      <c r="OSX10" s="397"/>
      <c r="OSY10" s="397"/>
      <c r="OSZ10" s="397"/>
      <c r="OTA10" s="397"/>
      <c r="OTB10" s="397"/>
      <c r="OTC10" s="397"/>
      <c r="OTD10" s="397"/>
      <c r="OTE10" s="397"/>
      <c r="OTF10" s="397"/>
      <c r="OTG10" s="397"/>
      <c r="OTH10" s="397"/>
      <c r="OTI10" s="397"/>
      <c r="OTJ10" s="397"/>
      <c r="OTK10" s="397"/>
      <c r="OTL10" s="397"/>
      <c r="OTM10" s="397"/>
      <c r="OTN10" s="397"/>
      <c r="OTO10" s="397"/>
      <c r="OTP10" s="397"/>
      <c r="OTQ10" s="397"/>
      <c r="OTR10" s="397"/>
      <c r="OTS10" s="397"/>
      <c r="OTT10" s="397"/>
      <c r="OTU10" s="397"/>
      <c r="OTV10" s="397"/>
      <c r="OTW10" s="397"/>
      <c r="OTX10" s="397"/>
      <c r="OTY10" s="397"/>
      <c r="OTZ10" s="397"/>
      <c r="OUA10" s="397"/>
      <c r="OUB10" s="397"/>
      <c r="OUC10" s="397"/>
      <c r="OUD10" s="397"/>
      <c r="OUE10" s="397"/>
      <c r="OUF10" s="397"/>
      <c r="OUG10" s="397"/>
      <c r="OUH10" s="397"/>
      <c r="OUI10" s="397"/>
      <c r="OUJ10" s="397"/>
      <c r="OUK10" s="397"/>
      <c r="OUL10" s="397"/>
      <c r="OUM10" s="397"/>
      <c r="OUN10" s="397"/>
      <c r="OUO10" s="397"/>
      <c r="OUP10" s="397"/>
      <c r="OUQ10" s="397"/>
      <c r="OUR10" s="397"/>
      <c r="OUS10" s="397"/>
      <c r="OUT10" s="397"/>
      <c r="OUU10" s="397"/>
      <c r="OUV10" s="397"/>
      <c r="OUW10" s="397"/>
      <c r="OUX10" s="397"/>
      <c r="OUY10" s="397"/>
      <c r="OUZ10" s="397"/>
      <c r="OVA10" s="397"/>
      <c r="OVB10" s="397"/>
      <c r="OVC10" s="397"/>
      <c r="OVD10" s="397"/>
      <c r="OVE10" s="397"/>
      <c r="OVF10" s="397"/>
      <c r="OVG10" s="397"/>
      <c r="OVH10" s="397"/>
      <c r="OVI10" s="397"/>
      <c r="OVJ10" s="397"/>
      <c r="OVK10" s="397"/>
      <c r="OVL10" s="397"/>
      <c r="OVM10" s="397"/>
      <c r="OVN10" s="397"/>
      <c r="OVO10" s="397"/>
      <c r="OVP10" s="397"/>
      <c r="OVQ10" s="397"/>
      <c r="OVR10" s="397"/>
      <c r="OVS10" s="397"/>
      <c r="OVT10" s="397"/>
      <c r="OVU10" s="397"/>
      <c r="OVV10" s="397"/>
      <c r="OVW10" s="397"/>
      <c r="OVX10" s="397"/>
      <c r="OVY10" s="397"/>
      <c r="OVZ10" s="397"/>
      <c r="OWA10" s="397"/>
      <c r="OWB10" s="397"/>
      <c r="OWC10" s="397"/>
      <c r="OWD10" s="397"/>
      <c r="OWE10" s="397"/>
      <c r="OWF10" s="397"/>
      <c r="OWG10" s="397"/>
      <c r="OWH10" s="397"/>
      <c r="OWI10" s="397"/>
      <c r="OWJ10" s="397"/>
      <c r="OWK10" s="397"/>
      <c r="OWL10" s="397"/>
      <c r="OWM10" s="397"/>
      <c r="OWN10" s="397"/>
      <c r="OWO10" s="397"/>
      <c r="OWP10" s="397"/>
      <c r="OWQ10" s="397"/>
      <c r="OWR10" s="397"/>
      <c r="OWS10" s="397"/>
      <c r="OWT10" s="397"/>
      <c r="OWU10" s="397"/>
      <c r="OWV10" s="397"/>
      <c r="OWW10" s="397"/>
      <c r="OWX10" s="397"/>
      <c r="OWY10" s="397"/>
      <c r="OWZ10" s="397"/>
      <c r="OXA10" s="397"/>
      <c r="OXB10" s="397"/>
      <c r="OXC10" s="397"/>
      <c r="OXD10" s="397"/>
      <c r="OXE10" s="397"/>
      <c r="OXF10" s="397"/>
      <c r="OXG10" s="397"/>
      <c r="OXH10" s="397"/>
      <c r="OXI10" s="397"/>
      <c r="OXJ10" s="397"/>
      <c r="OXK10" s="397"/>
      <c r="OXL10" s="397"/>
      <c r="OXM10" s="397"/>
      <c r="OXN10" s="397"/>
      <c r="OXO10" s="397"/>
      <c r="OXP10" s="397"/>
      <c r="OXQ10" s="397"/>
      <c r="OXR10" s="397"/>
      <c r="OXS10" s="397"/>
      <c r="OXT10" s="397"/>
      <c r="OXU10" s="397"/>
      <c r="OXV10" s="397"/>
      <c r="OXW10" s="397"/>
      <c r="OXX10" s="397"/>
      <c r="OXY10" s="397"/>
      <c r="OXZ10" s="397"/>
      <c r="OYA10" s="397"/>
      <c r="OYB10" s="397"/>
      <c r="OYC10" s="397"/>
      <c r="OYD10" s="397"/>
      <c r="OYE10" s="397"/>
      <c r="OYF10" s="397"/>
      <c r="OYG10" s="397"/>
      <c r="OYH10" s="397"/>
      <c r="OYI10" s="397"/>
      <c r="OYJ10" s="397"/>
      <c r="OYK10" s="397"/>
      <c r="OYL10" s="397"/>
      <c r="OYM10" s="397"/>
      <c r="OYN10" s="397"/>
      <c r="OYO10" s="397"/>
      <c r="OYP10" s="397"/>
      <c r="OYQ10" s="397"/>
      <c r="OYR10" s="397"/>
      <c r="OYS10" s="397"/>
      <c r="OYT10" s="397"/>
      <c r="OYU10" s="397"/>
      <c r="OYV10" s="397"/>
      <c r="OYW10" s="397"/>
      <c r="OYX10" s="397"/>
      <c r="OYY10" s="397"/>
      <c r="OYZ10" s="397"/>
      <c r="OZA10" s="397"/>
      <c r="OZB10" s="397"/>
      <c r="OZC10" s="397"/>
      <c r="OZD10" s="397"/>
      <c r="OZE10" s="397"/>
      <c r="OZF10" s="397"/>
      <c r="OZG10" s="397"/>
      <c r="OZH10" s="397"/>
      <c r="OZI10" s="397"/>
      <c r="OZJ10" s="397"/>
      <c r="OZK10" s="397"/>
      <c r="OZL10" s="397"/>
      <c r="OZM10" s="397"/>
      <c r="OZN10" s="397"/>
      <c r="OZO10" s="397"/>
      <c r="OZP10" s="397"/>
      <c r="OZQ10" s="397"/>
      <c r="OZR10" s="397"/>
      <c r="OZS10" s="397"/>
      <c r="OZT10" s="397"/>
      <c r="OZU10" s="397"/>
      <c r="OZV10" s="397"/>
      <c r="OZW10" s="397"/>
      <c r="OZX10" s="397"/>
      <c r="OZY10" s="397"/>
      <c r="OZZ10" s="397"/>
      <c r="PAA10" s="397"/>
      <c r="PAB10" s="397"/>
      <c r="PAC10" s="397"/>
      <c r="PAD10" s="397"/>
      <c r="PAE10" s="397"/>
      <c r="PAF10" s="397"/>
      <c r="PAG10" s="397"/>
      <c r="PAH10" s="397"/>
      <c r="PAI10" s="397"/>
      <c r="PAJ10" s="397"/>
      <c r="PAK10" s="397"/>
      <c r="PAL10" s="397"/>
      <c r="PAM10" s="397"/>
      <c r="PAN10" s="397"/>
      <c r="PAO10" s="397"/>
      <c r="PAP10" s="397"/>
      <c r="PAQ10" s="397"/>
      <c r="PAR10" s="397"/>
      <c r="PAS10" s="397"/>
      <c r="PAT10" s="397"/>
      <c r="PAU10" s="397"/>
      <c r="PAV10" s="397"/>
      <c r="PAW10" s="397"/>
      <c r="PAX10" s="397"/>
      <c r="PAY10" s="397"/>
      <c r="PAZ10" s="397"/>
      <c r="PBA10" s="397"/>
      <c r="PBB10" s="397"/>
      <c r="PBC10" s="397"/>
      <c r="PBD10" s="397"/>
      <c r="PBE10" s="397"/>
      <c r="PBF10" s="397"/>
      <c r="PBG10" s="397"/>
      <c r="PBH10" s="397"/>
      <c r="PBI10" s="397"/>
      <c r="PBJ10" s="397"/>
      <c r="PBK10" s="397"/>
      <c r="PBL10" s="397"/>
      <c r="PBM10" s="397"/>
      <c r="PBN10" s="397"/>
      <c r="PBO10" s="397"/>
      <c r="PBP10" s="397"/>
      <c r="PBQ10" s="397"/>
      <c r="PBR10" s="397"/>
      <c r="PBS10" s="397"/>
      <c r="PBT10" s="397"/>
      <c r="PBU10" s="397"/>
      <c r="PBV10" s="397"/>
      <c r="PBW10" s="397"/>
      <c r="PBX10" s="397"/>
      <c r="PBY10" s="397"/>
      <c r="PBZ10" s="397"/>
      <c r="PCA10" s="397"/>
      <c r="PCB10" s="397"/>
      <c r="PCC10" s="397"/>
      <c r="PCD10" s="397"/>
      <c r="PCE10" s="397"/>
      <c r="PCF10" s="397"/>
      <c r="PCG10" s="397"/>
      <c r="PCH10" s="397"/>
      <c r="PCI10" s="397"/>
      <c r="PCJ10" s="397"/>
      <c r="PCK10" s="397"/>
      <c r="PCL10" s="397"/>
      <c r="PCM10" s="397"/>
      <c r="PCN10" s="397"/>
      <c r="PCO10" s="397"/>
      <c r="PCP10" s="397"/>
      <c r="PCQ10" s="397"/>
      <c r="PCR10" s="397"/>
      <c r="PCS10" s="397"/>
      <c r="PCT10" s="397"/>
      <c r="PCU10" s="397"/>
      <c r="PCV10" s="397"/>
      <c r="PCW10" s="397"/>
      <c r="PCX10" s="397"/>
      <c r="PCY10" s="397"/>
      <c r="PCZ10" s="397"/>
      <c r="PDA10" s="397"/>
      <c r="PDB10" s="397"/>
      <c r="PDC10" s="397"/>
      <c r="PDD10" s="397"/>
      <c r="PDE10" s="397"/>
      <c r="PDF10" s="397"/>
      <c r="PDG10" s="397"/>
      <c r="PDH10" s="397"/>
      <c r="PDI10" s="397"/>
      <c r="PDJ10" s="397"/>
      <c r="PDK10" s="397"/>
      <c r="PDL10" s="397"/>
      <c r="PDM10" s="397"/>
      <c r="PDN10" s="397"/>
      <c r="PDO10" s="397"/>
      <c r="PDP10" s="397"/>
      <c r="PDQ10" s="397"/>
      <c r="PDR10" s="397"/>
      <c r="PDS10" s="397"/>
      <c r="PDT10" s="397"/>
      <c r="PDU10" s="397"/>
      <c r="PDV10" s="397"/>
      <c r="PDW10" s="397"/>
      <c r="PDX10" s="397"/>
      <c r="PDY10" s="397"/>
      <c r="PDZ10" s="397"/>
      <c r="PEA10" s="397"/>
      <c r="PEB10" s="397"/>
      <c r="PEC10" s="397"/>
      <c r="PED10" s="397"/>
      <c r="PEE10" s="397"/>
      <c r="PEF10" s="397"/>
      <c r="PEG10" s="397"/>
      <c r="PEH10" s="397"/>
      <c r="PEI10" s="397"/>
      <c r="PEJ10" s="397"/>
      <c r="PEK10" s="397"/>
      <c r="PEL10" s="397"/>
      <c r="PEM10" s="397"/>
      <c r="PEN10" s="397"/>
      <c r="PEO10" s="397"/>
      <c r="PEP10" s="397"/>
      <c r="PEQ10" s="397"/>
      <c r="PER10" s="397"/>
      <c r="PES10" s="397"/>
      <c r="PET10" s="397"/>
      <c r="PEU10" s="397"/>
      <c r="PEV10" s="397"/>
      <c r="PEW10" s="397"/>
      <c r="PEX10" s="397"/>
      <c r="PEY10" s="397"/>
      <c r="PEZ10" s="397"/>
      <c r="PFA10" s="397"/>
      <c r="PFB10" s="397"/>
      <c r="PFC10" s="397"/>
      <c r="PFD10" s="397"/>
      <c r="PFE10" s="397"/>
      <c r="PFF10" s="397"/>
      <c r="PFG10" s="397"/>
      <c r="PFH10" s="397"/>
      <c r="PFI10" s="397"/>
      <c r="PFJ10" s="397"/>
      <c r="PFK10" s="397"/>
      <c r="PFL10" s="397"/>
      <c r="PFM10" s="397"/>
      <c r="PFN10" s="397"/>
      <c r="PFO10" s="397"/>
      <c r="PFP10" s="397"/>
      <c r="PFQ10" s="397"/>
      <c r="PFR10" s="397"/>
      <c r="PFS10" s="397"/>
      <c r="PFT10" s="397"/>
      <c r="PFU10" s="397"/>
      <c r="PFV10" s="397"/>
      <c r="PFW10" s="397"/>
      <c r="PFX10" s="397"/>
      <c r="PFY10" s="397"/>
      <c r="PFZ10" s="397"/>
      <c r="PGA10" s="397"/>
      <c r="PGB10" s="397"/>
      <c r="PGC10" s="397"/>
      <c r="PGD10" s="397"/>
      <c r="PGE10" s="397"/>
      <c r="PGF10" s="397"/>
      <c r="PGG10" s="397"/>
      <c r="PGH10" s="397"/>
      <c r="PGI10" s="397"/>
      <c r="PGJ10" s="397"/>
      <c r="PGK10" s="397"/>
      <c r="PGL10" s="397"/>
      <c r="PGM10" s="397"/>
      <c r="PGN10" s="397"/>
      <c r="PGO10" s="397"/>
      <c r="PGP10" s="397"/>
      <c r="PGQ10" s="397"/>
      <c r="PGR10" s="397"/>
      <c r="PGS10" s="397"/>
      <c r="PGT10" s="397"/>
      <c r="PGU10" s="397"/>
      <c r="PGV10" s="397"/>
      <c r="PGW10" s="397"/>
      <c r="PGX10" s="397"/>
      <c r="PGY10" s="397"/>
      <c r="PGZ10" s="397"/>
      <c r="PHA10" s="397"/>
      <c r="PHB10" s="397"/>
      <c r="PHC10" s="397"/>
      <c r="PHD10" s="397"/>
      <c r="PHE10" s="397"/>
      <c r="PHF10" s="397"/>
      <c r="PHG10" s="397"/>
      <c r="PHH10" s="397"/>
      <c r="PHI10" s="397"/>
      <c r="PHJ10" s="397"/>
      <c r="PHK10" s="397"/>
      <c r="PHL10" s="397"/>
      <c r="PHM10" s="397"/>
      <c r="PHN10" s="397"/>
      <c r="PHO10" s="397"/>
      <c r="PHP10" s="397"/>
      <c r="PHQ10" s="397"/>
      <c r="PHR10" s="397"/>
      <c r="PHS10" s="397"/>
      <c r="PHT10" s="397"/>
      <c r="PHU10" s="397"/>
      <c r="PHV10" s="397"/>
      <c r="PHW10" s="397"/>
      <c r="PHX10" s="397"/>
      <c r="PHY10" s="397"/>
      <c r="PHZ10" s="397"/>
      <c r="PIA10" s="397"/>
      <c r="PIB10" s="397"/>
      <c r="PIC10" s="397"/>
      <c r="PID10" s="397"/>
      <c r="PIE10" s="397"/>
      <c r="PIF10" s="397"/>
      <c r="PIG10" s="397"/>
      <c r="PIH10" s="397"/>
      <c r="PII10" s="397"/>
      <c r="PIJ10" s="397"/>
      <c r="PIK10" s="397"/>
      <c r="PIL10" s="397"/>
      <c r="PIM10" s="397"/>
      <c r="PIN10" s="397"/>
      <c r="PIO10" s="397"/>
      <c r="PIP10" s="397"/>
      <c r="PIQ10" s="397"/>
      <c r="PIR10" s="397"/>
      <c r="PIS10" s="397"/>
      <c r="PIT10" s="397"/>
      <c r="PIU10" s="397"/>
      <c r="PIV10" s="397"/>
      <c r="PIW10" s="397"/>
      <c r="PIX10" s="397"/>
      <c r="PIY10" s="397"/>
      <c r="PIZ10" s="397"/>
      <c r="PJA10" s="397"/>
      <c r="PJB10" s="397"/>
      <c r="PJC10" s="397"/>
      <c r="PJD10" s="397"/>
      <c r="PJE10" s="397"/>
      <c r="PJF10" s="397"/>
      <c r="PJG10" s="397"/>
      <c r="PJH10" s="397"/>
      <c r="PJI10" s="397"/>
      <c r="PJJ10" s="397"/>
      <c r="PJK10" s="397"/>
      <c r="PJL10" s="397"/>
      <c r="PJM10" s="397"/>
      <c r="PJN10" s="397"/>
      <c r="PJO10" s="397"/>
      <c r="PJP10" s="397"/>
      <c r="PJQ10" s="397"/>
      <c r="PJR10" s="397"/>
      <c r="PJS10" s="397"/>
      <c r="PJT10" s="397"/>
      <c r="PJU10" s="397"/>
      <c r="PJV10" s="397"/>
      <c r="PJW10" s="397"/>
      <c r="PJX10" s="397"/>
      <c r="PJY10" s="397"/>
      <c r="PJZ10" s="397"/>
      <c r="PKA10" s="397"/>
      <c r="PKB10" s="397"/>
      <c r="PKC10" s="397"/>
      <c r="PKD10" s="397"/>
      <c r="PKE10" s="397"/>
      <c r="PKF10" s="397"/>
      <c r="PKG10" s="397"/>
      <c r="PKH10" s="397"/>
      <c r="PKI10" s="397"/>
      <c r="PKJ10" s="397"/>
      <c r="PKK10" s="397"/>
      <c r="PKL10" s="397"/>
      <c r="PKM10" s="397"/>
      <c r="PKN10" s="397"/>
      <c r="PKO10" s="397"/>
      <c r="PKP10" s="397"/>
      <c r="PKQ10" s="397"/>
      <c r="PKR10" s="397"/>
      <c r="PKS10" s="397"/>
      <c r="PKT10" s="397"/>
      <c r="PKU10" s="397"/>
      <c r="PKV10" s="397"/>
      <c r="PKW10" s="397"/>
      <c r="PKX10" s="397"/>
      <c r="PKY10" s="397"/>
      <c r="PKZ10" s="397"/>
      <c r="PLA10" s="397"/>
      <c r="PLB10" s="397"/>
      <c r="PLC10" s="397"/>
      <c r="PLD10" s="397"/>
      <c r="PLE10" s="397"/>
      <c r="PLF10" s="397"/>
      <c r="PLG10" s="397"/>
      <c r="PLH10" s="397"/>
      <c r="PLI10" s="397"/>
      <c r="PLJ10" s="397"/>
      <c r="PLK10" s="397"/>
      <c r="PLL10" s="397"/>
      <c r="PLM10" s="397"/>
      <c r="PLN10" s="397"/>
      <c r="PLO10" s="397"/>
      <c r="PLP10" s="397"/>
      <c r="PLQ10" s="397"/>
      <c r="PLR10" s="397"/>
      <c r="PLS10" s="397"/>
      <c r="PLT10" s="397"/>
      <c r="PLU10" s="397"/>
      <c r="PLV10" s="397"/>
      <c r="PLW10" s="397"/>
      <c r="PLX10" s="397"/>
      <c r="PLY10" s="397"/>
      <c r="PLZ10" s="397"/>
      <c r="PMA10" s="397"/>
      <c r="PMB10" s="397"/>
      <c r="PMC10" s="397"/>
      <c r="PMD10" s="397"/>
      <c r="PME10" s="397"/>
      <c r="PMF10" s="397"/>
      <c r="PMG10" s="397"/>
      <c r="PMH10" s="397"/>
      <c r="PMI10" s="397"/>
      <c r="PMJ10" s="397"/>
      <c r="PMK10" s="397"/>
      <c r="PML10" s="397"/>
      <c r="PMM10" s="397"/>
      <c r="PMN10" s="397"/>
      <c r="PMO10" s="397"/>
      <c r="PMP10" s="397"/>
      <c r="PMQ10" s="397"/>
      <c r="PMR10" s="397"/>
      <c r="PMS10" s="397"/>
      <c r="PMT10" s="397"/>
      <c r="PMU10" s="397"/>
      <c r="PMV10" s="397"/>
      <c r="PMW10" s="397"/>
      <c r="PMX10" s="397"/>
      <c r="PMY10" s="397"/>
      <c r="PMZ10" s="397"/>
      <c r="PNA10" s="397"/>
      <c r="PNB10" s="397"/>
      <c r="PNC10" s="397"/>
      <c r="PND10" s="397"/>
      <c r="PNE10" s="397"/>
      <c r="PNF10" s="397"/>
      <c r="PNG10" s="397"/>
      <c r="PNH10" s="397"/>
      <c r="PNI10" s="397"/>
      <c r="PNJ10" s="397"/>
      <c r="PNK10" s="397"/>
      <c r="PNL10" s="397"/>
      <c r="PNM10" s="397"/>
      <c r="PNN10" s="397"/>
      <c r="PNO10" s="397"/>
      <c r="PNP10" s="397"/>
      <c r="PNQ10" s="397"/>
      <c r="PNR10" s="397"/>
      <c r="PNS10" s="397"/>
      <c r="PNT10" s="397"/>
      <c r="PNU10" s="397"/>
      <c r="PNV10" s="397"/>
      <c r="PNW10" s="397"/>
      <c r="PNX10" s="397"/>
      <c r="PNY10" s="397"/>
      <c r="PNZ10" s="397"/>
      <c r="POA10" s="397"/>
      <c r="POB10" s="397"/>
      <c r="POC10" s="397"/>
      <c r="POD10" s="397"/>
      <c r="POE10" s="397"/>
      <c r="POF10" s="397"/>
      <c r="POG10" s="397"/>
      <c r="POH10" s="397"/>
      <c r="POI10" s="397"/>
      <c r="POJ10" s="397"/>
      <c r="POK10" s="397"/>
      <c r="POL10" s="397"/>
      <c r="POM10" s="397"/>
      <c r="PON10" s="397"/>
      <c r="POO10" s="397"/>
      <c r="POP10" s="397"/>
      <c r="POQ10" s="397"/>
      <c r="POR10" s="397"/>
      <c r="POS10" s="397"/>
      <c r="POT10" s="397"/>
      <c r="POU10" s="397"/>
      <c r="POV10" s="397"/>
      <c r="POW10" s="397"/>
      <c r="POX10" s="397"/>
      <c r="POY10" s="397"/>
      <c r="POZ10" s="397"/>
      <c r="PPA10" s="397"/>
      <c r="PPB10" s="397"/>
      <c r="PPC10" s="397"/>
      <c r="PPD10" s="397"/>
      <c r="PPE10" s="397"/>
      <c r="PPF10" s="397"/>
      <c r="PPG10" s="397"/>
      <c r="PPH10" s="397"/>
      <c r="PPI10" s="397"/>
      <c r="PPJ10" s="397"/>
      <c r="PPK10" s="397"/>
      <c r="PPL10" s="397"/>
      <c r="PPM10" s="397"/>
      <c r="PPN10" s="397"/>
      <c r="PPO10" s="397"/>
      <c r="PPP10" s="397"/>
      <c r="PPQ10" s="397"/>
      <c r="PPR10" s="397"/>
      <c r="PPS10" s="397"/>
      <c r="PPT10" s="397"/>
      <c r="PPU10" s="397"/>
      <c r="PPV10" s="397"/>
      <c r="PPW10" s="397"/>
      <c r="PPX10" s="397"/>
      <c r="PPY10" s="397"/>
      <c r="PPZ10" s="397"/>
      <c r="PQA10" s="397"/>
      <c r="PQB10" s="397"/>
      <c r="PQC10" s="397"/>
      <c r="PQD10" s="397"/>
      <c r="PQE10" s="397"/>
      <c r="PQF10" s="397"/>
      <c r="PQG10" s="397"/>
      <c r="PQH10" s="397"/>
      <c r="PQI10" s="397"/>
      <c r="PQJ10" s="397"/>
      <c r="PQK10" s="397"/>
      <c r="PQL10" s="397"/>
      <c r="PQM10" s="397"/>
      <c r="PQN10" s="397"/>
      <c r="PQO10" s="397"/>
      <c r="PQP10" s="397"/>
      <c r="PQQ10" s="397"/>
      <c r="PQR10" s="397"/>
      <c r="PQS10" s="397"/>
      <c r="PQT10" s="397"/>
      <c r="PQU10" s="397"/>
      <c r="PQV10" s="397"/>
      <c r="PQW10" s="397"/>
      <c r="PQX10" s="397"/>
      <c r="PQY10" s="397"/>
      <c r="PQZ10" s="397"/>
      <c r="PRA10" s="397"/>
      <c r="PRB10" s="397"/>
      <c r="PRC10" s="397"/>
      <c r="PRD10" s="397"/>
      <c r="PRE10" s="397"/>
      <c r="PRF10" s="397"/>
      <c r="PRG10" s="397"/>
      <c r="PRH10" s="397"/>
      <c r="PRI10" s="397"/>
      <c r="PRJ10" s="397"/>
      <c r="PRK10" s="397"/>
      <c r="PRL10" s="397"/>
      <c r="PRM10" s="397"/>
      <c r="PRN10" s="397"/>
      <c r="PRO10" s="397"/>
      <c r="PRP10" s="397"/>
      <c r="PRQ10" s="397"/>
      <c r="PRR10" s="397"/>
      <c r="PRS10" s="397"/>
      <c r="PRT10" s="397"/>
      <c r="PRU10" s="397"/>
      <c r="PRV10" s="397"/>
      <c r="PRW10" s="397"/>
      <c r="PRX10" s="397"/>
      <c r="PRY10" s="397"/>
      <c r="PRZ10" s="397"/>
      <c r="PSA10" s="397"/>
      <c r="PSB10" s="397"/>
      <c r="PSC10" s="397"/>
      <c r="PSD10" s="397"/>
      <c r="PSE10" s="397"/>
      <c r="PSF10" s="397"/>
      <c r="PSG10" s="397"/>
      <c r="PSH10" s="397"/>
      <c r="PSI10" s="397"/>
      <c r="PSJ10" s="397"/>
      <c r="PSK10" s="397"/>
      <c r="PSL10" s="397"/>
      <c r="PSM10" s="397"/>
      <c r="PSN10" s="397"/>
      <c r="PSO10" s="397"/>
      <c r="PSP10" s="397"/>
      <c r="PSQ10" s="397"/>
      <c r="PSR10" s="397"/>
      <c r="PSS10" s="397"/>
      <c r="PST10" s="397"/>
      <c r="PSU10" s="397"/>
      <c r="PSV10" s="397"/>
      <c r="PSW10" s="397"/>
      <c r="PSX10" s="397"/>
      <c r="PSY10" s="397"/>
      <c r="PSZ10" s="397"/>
      <c r="PTA10" s="397"/>
      <c r="PTB10" s="397"/>
      <c r="PTC10" s="397"/>
      <c r="PTD10" s="397"/>
      <c r="PTE10" s="397"/>
      <c r="PTF10" s="397"/>
      <c r="PTG10" s="397"/>
      <c r="PTH10" s="397"/>
      <c r="PTI10" s="397"/>
      <c r="PTJ10" s="397"/>
      <c r="PTK10" s="397"/>
      <c r="PTL10" s="397"/>
      <c r="PTM10" s="397"/>
      <c r="PTN10" s="397"/>
      <c r="PTO10" s="397"/>
      <c r="PTP10" s="397"/>
      <c r="PTQ10" s="397"/>
      <c r="PTR10" s="397"/>
      <c r="PTS10" s="397"/>
      <c r="PTT10" s="397"/>
      <c r="PTU10" s="397"/>
      <c r="PTV10" s="397"/>
      <c r="PTW10" s="397"/>
      <c r="PTX10" s="397"/>
      <c r="PTY10" s="397"/>
      <c r="PTZ10" s="397"/>
      <c r="PUA10" s="397"/>
      <c r="PUB10" s="397"/>
      <c r="PUC10" s="397"/>
      <c r="PUD10" s="397"/>
      <c r="PUE10" s="397"/>
      <c r="PUF10" s="397"/>
      <c r="PUG10" s="397"/>
      <c r="PUH10" s="397"/>
      <c r="PUI10" s="397"/>
      <c r="PUJ10" s="397"/>
      <c r="PUK10" s="397"/>
      <c r="PUL10" s="397"/>
      <c r="PUM10" s="397"/>
      <c r="PUN10" s="397"/>
      <c r="PUO10" s="397"/>
      <c r="PUP10" s="397"/>
      <c r="PUQ10" s="397"/>
      <c r="PUR10" s="397"/>
      <c r="PUS10" s="397"/>
      <c r="PUT10" s="397"/>
      <c r="PUU10" s="397"/>
      <c r="PUV10" s="397"/>
      <c r="PUW10" s="397"/>
      <c r="PUX10" s="397"/>
      <c r="PUY10" s="397"/>
      <c r="PUZ10" s="397"/>
      <c r="PVA10" s="397"/>
      <c r="PVB10" s="397"/>
      <c r="PVC10" s="397"/>
      <c r="PVD10" s="397"/>
      <c r="PVE10" s="397"/>
      <c r="PVF10" s="397"/>
      <c r="PVG10" s="397"/>
      <c r="PVH10" s="397"/>
      <c r="PVI10" s="397"/>
      <c r="PVJ10" s="397"/>
      <c r="PVK10" s="397"/>
      <c r="PVL10" s="397"/>
      <c r="PVM10" s="397"/>
      <c r="PVN10" s="397"/>
      <c r="PVO10" s="397"/>
      <c r="PVP10" s="397"/>
      <c r="PVQ10" s="397"/>
      <c r="PVR10" s="397"/>
      <c r="PVS10" s="397"/>
      <c r="PVT10" s="397"/>
      <c r="PVU10" s="397"/>
      <c r="PVV10" s="397"/>
      <c r="PVW10" s="397"/>
      <c r="PVX10" s="397"/>
      <c r="PVY10" s="397"/>
      <c r="PVZ10" s="397"/>
      <c r="PWA10" s="397"/>
      <c r="PWB10" s="397"/>
      <c r="PWC10" s="397"/>
      <c r="PWD10" s="397"/>
      <c r="PWE10" s="397"/>
      <c r="PWF10" s="397"/>
      <c r="PWG10" s="397"/>
      <c r="PWH10" s="397"/>
      <c r="PWI10" s="397"/>
      <c r="PWJ10" s="397"/>
      <c r="PWK10" s="397"/>
      <c r="PWL10" s="397"/>
      <c r="PWM10" s="397"/>
      <c r="PWN10" s="397"/>
      <c r="PWO10" s="397"/>
      <c r="PWP10" s="397"/>
      <c r="PWQ10" s="397"/>
      <c r="PWR10" s="397"/>
      <c r="PWS10" s="397"/>
      <c r="PWT10" s="397"/>
      <c r="PWU10" s="397"/>
      <c r="PWV10" s="397"/>
      <c r="PWW10" s="397"/>
      <c r="PWX10" s="397"/>
      <c r="PWY10" s="397"/>
      <c r="PWZ10" s="397"/>
      <c r="PXA10" s="397"/>
      <c r="PXB10" s="397"/>
      <c r="PXC10" s="397"/>
      <c r="PXD10" s="397"/>
      <c r="PXE10" s="397"/>
      <c r="PXF10" s="397"/>
      <c r="PXG10" s="397"/>
      <c r="PXH10" s="397"/>
      <c r="PXI10" s="397"/>
      <c r="PXJ10" s="397"/>
      <c r="PXK10" s="397"/>
      <c r="PXL10" s="397"/>
      <c r="PXM10" s="397"/>
      <c r="PXN10" s="397"/>
      <c r="PXO10" s="397"/>
      <c r="PXP10" s="397"/>
      <c r="PXQ10" s="397"/>
      <c r="PXR10" s="397"/>
      <c r="PXS10" s="397"/>
      <c r="PXT10" s="397"/>
      <c r="PXU10" s="397"/>
      <c r="PXV10" s="397"/>
      <c r="PXW10" s="397"/>
      <c r="PXX10" s="397"/>
      <c r="PXY10" s="397"/>
      <c r="PXZ10" s="397"/>
      <c r="PYA10" s="397"/>
      <c r="PYB10" s="397"/>
      <c r="PYC10" s="397"/>
      <c r="PYD10" s="397"/>
      <c r="PYE10" s="397"/>
      <c r="PYF10" s="397"/>
      <c r="PYG10" s="397"/>
      <c r="PYH10" s="397"/>
      <c r="PYI10" s="397"/>
      <c r="PYJ10" s="397"/>
      <c r="PYK10" s="397"/>
      <c r="PYL10" s="397"/>
      <c r="PYM10" s="397"/>
      <c r="PYN10" s="397"/>
      <c r="PYO10" s="397"/>
      <c r="PYP10" s="397"/>
      <c r="PYQ10" s="397"/>
      <c r="PYR10" s="397"/>
      <c r="PYS10" s="397"/>
      <c r="PYT10" s="397"/>
      <c r="PYU10" s="397"/>
      <c r="PYV10" s="397"/>
      <c r="PYW10" s="397"/>
      <c r="PYX10" s="397"/>
      <c r="PYY10" s="397"/>
      <c r="PYZ10" s="397"/>
      <c r="PZA10" s="397"/>
      <c r="PZB10" s="397"/>
      <c r="PZC10" s="397"/>
      <c r="PZD10" s="397"/>
      <c r="PZE10" s="397"/>
      <c r="PZF10" s="397"/>
      <c r="PZG10" s="397"/>
      <c r="PZH10" s="397"/>
      <c r="PZI10" s="397"/>
      <c r="PZJ10" s="397"/>
      <c r="PZK10" s="397"/>
      <c r="PZL10" s="397"/>
      <c r="PZM10" s="397"/>
      <c r="PZN10" s="397"/>
      <c r="PZO10" s="397"/>
      <c r="PZP10" s="397"/>
      <c r="PZQ10" s="397"/>
      <c r="PZR10" s="397"/>
      <c r="PZS10" s="397"/>
      <c r="PZT10" s="397"/>
      <c r="PZU10" s="397"/>
      <c r="PZV10" s="397"/>
      <c r="PZW10" s="397"/>
      <c r="PZX10" s="397"/>
      <c r="PZY10" s="397"/>
      <c r="PZZ10" s="397"/>
      <c r="QAA10" s="397"/>
      <c r="QAB10" s="397"/>
      <c r="QAC10" s="397"/>
      <c r="QAD10" s="397"/>
      <c r="QAE10" s="397"/>
      <c r="QAF10" s="397"/>
      <c r="QAG10" s="397"/>
      <c r="QAH10" s="397"/>
      <c r="QAI10" s="397"/>
      <c r="QAJ10" s="397"/>
      <c r="QAK10" s="397"/>
      <c r="QAL10" s="397"/>
      <c r="QAM10" s="397"/>
      <c r="QAN10" s="397"/>
      <c r="QAO10" s="397"/>
      <c r="QAP10" s="397"/>
      <c r="QAQ10" s="397"/>
      <c r="QAR10" s="397"/>
      <c r="QAS10" s="397"/>
      <c r="QAT10" s="397"/>
      <c r="QAU10" s="397"/>
      <c r="QAV10" s="397"/>
      <c r="QAW10" s="397"/>
      <c r="QAX10" s="397"/>
      <c r="QAY10" s="397"/>
      <c r="QAZ10" s="397"/>
      <c r="QBA10" s="397"/>
      <c r="QBB10" s="397"/>
      <c r="QBC10" s="397"/>
      <c r="QBD10" s="397"/>
      <c r="QBE10" s="397"/>
      <c r="QBF10" s="397"/>
      <c r="QBG10" s="397"/>
      <c r="QBH10" s="397"/>
      <c r="QBI10" s="397"/>
      <c r="QBJ10" s="397"/>
      <c r="QBK10" s="397"/>
      <c r="QBL10" s="397"/>
      <c r="QBM10" s="397"/>
      <c r="QBN10" s="397"/>
      <c r="QBO10" s="397"/>
      <c r="QBP10" s="397"/>
      <c r="QBQ10" s="397"/>
      <c r="QBR10" s="397"/>
      <c r="QBS10" s="397"/>
      <c r="QBT10" s="397"/>
      <c r="QBU10" s="397"/>
      <c r="QBV10" s="397"/>
      <c r="QBW10" s="397"/>
      <c r="QBX10" s="397"/>
      <c r="QBY10" s="397"/>
      <c r="QBZ10" s="397"/>
      <c r="QCA10" s="397"/>
      <c r="QCB10" s="397"/>
      <c r="QCC10" s="397"/>
      <c r="QCD10" s="397"/>
      <c r="QCE10" s="397"/>
      <c r="QCF10" s="397"/>
      <c r="QCG10" s="397"/>
      <c r="QCH10" s="397"/>
      <c r="QCI10" s="397"/>
      <c r="QCJ10" s="397"/>
      <c r="QCK10" s="397"/>
      <c r="QCL10" s="397"/>
      <c r="QCM10" s="397"/>
      <c r="QCN10" s="397"/>
      <c r="QCO10" s="397"/>
      <c r="QCP10" s="397"/>
      <c r="QCQ10" s="397"/>
      <c r="QCR10" s="397"/>
      <c r="QCS10" s="397"/>
      <c r="QCT10" s="397"/>
      <c r="QCU10" s="397"/>
      <c r="QCV10" s="397"/>
      <c r="QCW10" s="397"/>
      <c r="QCX10" s="397"/>
      <c r="QCY10" s="397"/>
      <c r="QCZ10" s="397"/>
      <c r="QDA10" s="397"/>
      <c r="QDB10" s="397"/>
      <c r="QDC10" s="397"/>
      <c r="QDD10" s="397"/>
      <c r="QDE10" s="397"/>
      <c r="QDF10" s="397"/>
      <c r="QDG10" s="397"/>
      <c r="QDH10" s="397"/>
      <c r="QDI10" s="397"/>
      <c r="QDJ10" s="397"/>
      <c r="QDK10" s="397"/>
      <c r="QDL10" s="397"/>
      <c r="QDM10" s="397"/>
      <c r="QDN10" s="397"/>
      <c r="QDO10" s="397"/>
      <c r="QDP10" s="397"/>
      <c r="QDQ10" s="397"/>
      <c r="QDR10" s="397"/>
      <c r="QDS10" s="397"/>
      <c r="QDT10" s="397"/>
      <c r="QDU10" s="397"/>
      <c r="QDV10" s="397"/>
      <c r="QDW10" s="397"/>
      <c r="QDX10" s="397"/>
      <c r="QDY10" s="397"/>
      <c r="QDZ10" s="397"/>
      <c r="QEA10" s="397"/>
      <c r="QEB10" s="397"/>
      <c r="QEC10" s="397"/>
      <c r="QED10" s="397"/>
      <c r="QEE10" s="397"/>
      <c r="QEF10" s="397"/>
      <c r="QEG10" s="397"/>
      <c r="QEH10" s="397"/>
      <c r="QEI10" s="397"/>
      <c r="QEJ10" s="397"/>
      <c r="QEK10" s="397"/>
      <c r="QEL10" s="397"/>
      <c r="QEM10" s="397"/>
      <c r="QEN10" s="397"/>
      <c r="QEO10" s="397"/>
      <c r="QEP10" s="397"/>
      <c r="QEQ10" s="397"/>
      <c r="QER10" s="397"/>
      <c r="QES10" s="397"/>
      <c r="QET10" s="397"/>
      <c r="QEU10" s="397"/>
      <c r="QEV10" s="397"/>
      <c r="QEW10" s="397"/>
      <c r="QEX10" s="397"/>
      <c r="QEY10" s="397"/>
      <c r="QEZ10" s="397"/>
      <c r="QFA10" s="397"/>
      <c r="QFB10" s="397"/>
      <c r="QFC10" s="397"/>
      <c r="QFD10" s="397"/>
      <c r="QFE10" s="397"/>
      <c r="QFF10" s="397"/>
      <c r="QFG10" s="397"/>
      <c r="QFH10" s="397"/>
      <c r="QFI10" s="397"/>
      <c r="QFJ10" s="397"/>
      <c r="QFK10" s="397"/>
      <c r="QFL10" s="397"/>
      <c r="QFM10" s="397"/>
      <c r="QFN10" s="397"/>
      <c r="QFO10" s="397"/>
      <c r="QFP10" s="397"/>
      <c r="QFQ10" s="397"/>
      <c r="QFR10" s="397"/>
      <c r="QFS10" s="397"/>
      <c r="QFT10" s="397"/>
      <c r="QFU10" s="397"/>
      <c r="QFV10" s="397"/>
      <c r="QFW10" s="397"/>
      <c r="QFX10" s="397"/>
      <c r="QFY10" s="397"/>
      <c r="QFZ10" s="397"/>
      <c r="QGA10" s="397"/>
      <c r="QGB10" s="397"/>
      <c r="QGC10" s="397"/>
      <c r="QGD10" s="397"/>
      <c r="QGE10" s="397"/>
      <c r="QGF10" s="397"/>
      <c r="QGG10" s="397"/>
      <c r="QGH10" s="397"/>
      <c r="QGI10" s="397"/>
      <c r="QGJ10" s="397"/>
      <c r="QGK10" s="397"/>
      <c r="QGL10" s="397"/>
      <c r="QGM10" s="397"/>
      <c r="QGN10" s="397"/>
      <c r="QGO10" s="397"/>
      <c r="QGP10" s="397"/>
      <c r="QGQ10" s="397"/>
      <c r="QGR10" s="397"/>
      <c r="QGS10" s="397"/>
      <c r="QGT10" s="397"/>
      <c r="QGU10" s="397"/>
      <c r="QGV10" s="397"/>
      <c r="QGW10" s="397"/>
      <c r="QGX10" s="397"/>
      <c r="QGY10" s="397"/>
      <c r="QGZ10" s="397"/>
      <c r="QHA10" s="397"/>
      <c r="QHB10" s="397"/>
      <c r="QHC10" s="397"/>
      <c r="QHD10" s="397"/>
      <c r="QHE10" s="397"/>
      <c r="QHF10" s="397"/>
      <c r="QHG10" s="397"/>
      <c r="QHH10" s="397"/>
      <c r="QHI10" s="397"/>
      <c r="QHJ10" s="397"/>
      <c r="QHK10" s="397"/>
      <c r="QHL10" s="397"/>
      <c r="QHM10" s="397"/>
      <c r="QHN10" s="397"/>
      <c r="QHO10" s="397"/>
      <c r="QHP10" s="397"/>
      <c r="QHQ10" s="397"/>
      <c r="QHR10" s="397"/>
      <c r="QHS10" s="397"/>
      <c r="QHT10" s="397"/>
      <c r="QHU10" s="397"/>
      <c r="QHV10" s="397"/>
      <c r="QHW10" s="397"/>
      <c r="QHX10" s="397"/>
      <c r="QHY10" s="397"/>
      <c r="QHZ10" s="397"/>
      <c r="QIA10" s="397"/>
      <c r="QIB10" s="397"/>
      <c r="QIC10" s="397"/>
      <c r="QID10" s="397"/>
      <c r="QIE10" s="397"/>
      <c r="QIF10" s="397"/>
      <c r="QIG10" s="397"/>
      <c r="QIH10" s="397"/>
      <c r="QII10" s="397"/>
      <c r="QIJ10" s="397"/>
      <c r="QIK10" s="397"/>
      <c r="QIL10" s="397"/>
      <c r="QIM10" s="397"/>
      <c r="QIN10" s="397"/>
      <c r="QIO10" s="397"/>
      <c r="QIP10" s="397"/>
      <c r="QIQ10" s="397"/>
      <c r="QIR10" s="397"/>
      <c r="QIS10" s="397"/>
      <c r="QIT10" s="397"/>
      <c r="QIU10" s="397"/>
      <c r="QIV10" s="397"/>
      <c r="QIW10" s="397"/>
      <c r="QIX10" s="397"/>
      <c r="QIY10" s="397"/>
      <c r="QIZ10" s="397"/>
      <c r="QJA10" s="397"/>
      <c r="QJB10" s="397"/>
      <c r="QJC10" s="397"/>
      <c r="QJD10" s="397"/>
      <c r="QJE10" s="397"/>
      <c r="QJF10" s="397"/>
      <c r="QJG10" s="397"/>
      <c r="QJH10" s="397"/>
      <c r="QJI10" s="397"/>
      <c r="QJJ10" s="397"/>
      <c r="QJK10" s="397"/>
      <c r="QJL10" s="397"/>
      <c r="QJM10" s="397"/>
      <c r="QJN10" s="397"/>
      <c r="QJO10" s="397"/>
      <c r="QJP10" s="397"/>
      <c r="QJQ10" s="397"/>
      <c r="QJR10" s="397"/>
      <c r="QJS10" s="397"/>
      <c r="QJT10" s="397"/>
      <c r="QJU10" s="397"/>
      <c r="QJV10" s="397"/>
      <c r="QJW10" s="397"/>
      <c r="QJX10" s="397"/>
      <c r="QJY10" s="397"/>
      <c r="QJZ10" s="397"/>
      <c r="QKA10" s="397"/>
      <c r="QKB10" s="397"/>
      <c r="QKC10" s="397"/>
      <c r="QKD10" s="397"/>
      <c r="QKE10" s="397"/>
      <c r="QKF10" s="397"/>
      <c r="QKG10" s="397"/>
      <c r="QKH10" s="397"/>
      <c r="QKI10" s="397"/>
      <c r="QKJ10" s="397"/>
      <c r="QKK10" s="397"/>
      <c r="QKL10" s="397"/>
      <c r="QKM10" s="397"/>
      <c r="QKN10" s="397"/>
      <c r="QKO10" s="397"/>
      <c r="QKP10" s="397"/>
      <c r="QKQ10" s="397"/>
      <c r="QKR10" s="397"/>
      <c r="QKS10" s="397"/>
      <c r="QKT10" s="397"/>
      <c r="QKU10" s="397"/>
      <c r="QKV10" s="397"/>
      <c r="QKW10" s="397"/>
      <c r="QKX10" s="397"/>
      <c r="QKY10" s="397"/>
      <c r="QKZ10" s="397"/>
      <c r="QLA10" s="397"/>
      <c r="QLB10" s="397"/>
      <c r="QLC10" s="397"/>
      <c r="QLD10" s="397"/>
      <c r="QLE10" s="397"/>
      <c r="QLF10" s="397"/>
      <c r="QLG10" s="397"/>
      <c r="QLH10" s="397"/>
      <c r="QLI10" s="397"/>
      <c r="QLJ10" s="397"/>
      <c r="QLK10" s="397"/>
      <c r="QLL10" s="397"/>
      <c r="QLM10" s="397"/>
      <c r="QLN10" s="397"/>
      <c r="QLO10" s="397"/>
      <c r="QLP10" s="397"/>
      <c r="QLQ10" s="397"/>
      <c r="QLR10" s="397"/>
      <c r="QLS10" s="397"/>
      <c r="QLT10" s="397"/>
      <c r="QLU10" s="397"/>
      <c r="QLV10" s="397"/>
      <c r="QLW10" s="397"/>
      <c r="QLX10" s="397"/>
      <c r="QLY10" s="397"/>
      <c r="QLZ10" s="397"/>
      <c r="QMA10" s="397"/>
      <c r="QMB10" s="397"/>
      <c r="QMC10" s="397"/>
      <c r="QMD10" s="397"/>
      <c r="QME10" s="397"/>
      <c r="QMF10" s="397"/>
      <c r="QMG10" s="397"/>
      <c r="QMH10" s="397"/>
      <c r="QMI10" s="397"/>
      <c r="QMJ10" s="397"/>
      <c r="QMK10" s="397"/>
      <c r="QML10" s="397"/>
      <c r="QMM10" s="397"/>
      <c r="QMN10" s="397"/>
      <c r="QMO10" s="397"/>
      <c r="QMP10" s="397"/>
      <c r="QMQ10" s="397"/>
      <c r="QMR10" s="397"/>
      <c r="QMS10" s="397"/>
      <c r="QMT10" s="397"/>
      <c r="QMU10" s="397"/>
      <c r="QMV10" s="397"/>
      <c r="QMW10" s="397"/>
      <c r="QMX10" s="397"/>
      <c r="QMY10" s="397"/>
      <c r="QMZ10" s="397"/>
      <c r="QNA10" s="397"/>
      <c r="QNB10" s="397"/>
      <c r="QNC10" s="397"/>
      <c r="QND10" s="397"/>
      <c r="QNE10" s="397"/>
      <c r="QNF10" s="397"/>
      <c r="QNG10" s="397"/>
      <c r="QNH10" s="397"/>
      <c r="QNI10" s="397"/>
      <c r="QNJ10" s="397"/>
      <c r="QNK10" s="397"/>
      <c r="QNL10" s="397"/>
      <c r="QNM10" s="397"/>
      <c r="QNN10" s="397"/>
      <c r="QNO10" s="397"/>
      <c r="QNP10" s="397"/>
      <c r="QNQ10" s="397"/>
      <c r="QNR10" s="397"/>
      <c r="QNS10" s="397"/>
      <c r="QNT10" s="397"/>
      <c r="QNU10" s="397"/>
      <c r="QNV10" s="397"/>
      <c r="QNW10" s="397"/>
      <c r="QNX10" s="397"/>
      <c r="QNY10" s="397"/>
      <c r="QNZ10" s="397"/>
      <c r="QOA10" s="397"/>
      <c r="QOB10" s="397"/>
      <c r="QOC10" s="397"/>
      <c r="QOD10" s="397"/>
      <c r="QOE10" s="397"/>
      <c r="QOF10" s="397"/>
      <c r="QOG10" s="397"/>
      <c r="QOH10" s="397"/>
      <c r="QOI10" s="397"/>
      <c r="QOJ10" s="397"/>
      <c r="QOK10" s="397"/>
      <c r="QOL10" s="397"/>
      <c r="QOM10" s="397"/>
      <c r="QON10" s="397"/>
      <c r="QOO10" s="397"/>
      <c r="QOP10" s="397"/>
      <c r="QOQ10" s="397"/>
      <c r="QOR10" s="397"/>
      <c r="QOS10" s="397"/>
      <c r="QOT10" s="397"/>
      <c r="QOU10" s="397"/>
      <c r="QOV10" s="397"/>
      <c r="QOW10" s="397"/>
      <c r="QOX10" s="397"/>
      <c r="QOY10" s="397"/>
      <c r="QOZ10" s="397"/>
      <c r="QPA10" s="397"/>
      <c r="QPB10" s="397"/>
      <c r="QPC10" s="397"/>
      <c r="QPD10" s="397"/>
      <c r="QPE10" s="397"/>
      <c r="QPF10" s="397"/>
      <c r="QPG10" s="397"/>
      <c r="QPH10" s="397"/>
      <c r="QPI10" s="397"/>
      <c r="QPJ10" s="397"/>
      <c r="QPK10" s="397"/>
      <c r="QPL10" s="397"/>
      <c r="QPM10" s="397"/>
      <c r="QPN10" s="397"/>
      <c r="QPO10" s="397"/>
      <c r="QPP10" s="397"/>
      <c r="QPQ10" s="397"/>
      <c r="QPR10" s="397"/>
      <c r="QPS10" s="397"/>
      <c r="QPT10" s="397"/>
      <c r="QPU10" s="397"/>
      <c r="QPV10" s="397"/>
      <c r="QPW10" s="397"/>
      <c r="QPX10" s="397"/>
      <c r="QPY10" s="397"/>
      <c r="QPZ10" s="397"/>
      <c r="QQA10" s="397"/>
      <c r="QQB10" s="397"/>
      <c r="QQC10" s="397"/>
      <c r="QQD10" s="397"/>
      <c r="QQE10" s="397"/>
      <c r="QQF10" s="397"/>
      <c r="QQG10" s="397"/>
      <c r="QQH10" s="397"/>
      <c r="QQI10" s="397"/>
      <c r="QQJ10" s="397"/>
      <c r="QQK10" s="397"/>
      <c r="QQL10" s="397"/>
      <c r="QQM10" s="397"/>
      <c r="QQN10" s="397"/>
      <c r="QQO10" s="397"/>
      <c r="QQP10" s="397"/>
      <c r="QQQ10" s="397"/>
      <c r="QQR10" s="397"/>
      <c r="QQS10" s="397"/>
      <c r="QQT10" s="397"/>
      <c r="QQU10" s="397"/>
      <c r="QQV10" s="397"/>
      <c r="QQW10" s="397"/>
      <c r="QQX10" s="397"/>
      <c r="QQY10" s="397"/>
      <c r="QQZ10" s="397"/>
      <c r="QRA10" s="397"/>
      <c r="QRB10" s="397"/>
      <c r="QRC10" s="397"/>
      <c r="QRD10" s="397"/>
      <c r="QRE10" s="397"/>
      <c r="QRF10" s="397"/>
      <c r="QRG10" s="397"/>
      <c r="QRH10" s="397"/>
      <c r="QRI10" s="397"/>
      <c r="QRJ10" s="397"/>
      <c r="QRK10" s="397"/>
      <c r="QRL10" s="397"/>
      <c r="QRM10" s="397"/>
      <c r="QRN10" s="397"/>
      <c r="QRO10" s="397"/>
      <c r="QRP10" s="397"/>
      <c r="QRQ10" s="397"/>
      <c r="QRR10" s="397"/>
      <c r="QRS10" s="397"/>
      <c r="QRT10" s="397"/>
      <c r="QRU10" s="397"/>
      <c r="QRV10" s="397"/>
      <c r="QRW10" s="397"/>
      <c r="QRX10" s="397"/>
      <c r="QRY10" s="397"/>
      <c r="QRZ10" s="397"/>
      <c r="QSA10" s="397"/>
      <c r="QSB10" s="397"/>
      <c r="QSC10" s="397"/>
      <c r="QSD10" s="397"/>
      <c r="QSE10" s="397"/>
      <c r="QSF10" s="397"/>
      <c r="QSG10" s="397"/>
      <c r="QSH10" s="397"/>
      <c r="QSI10" s="397"/>
      <c r="QSJ10" s="397"/>
      <c r="QSK10" s="397"/>
      <c r="QSL10" s="397"/>
      <c r="QSM10" s="397"/>
      <c r="QSN10" s="397"/>
      <c r="QSO10" s="397"/>
      <c r="QSP10" s="397"/>
      <c r="QSQ10" s="397"/>
      <c r="QSR10" s="397"/>
      <c r="QSS10" s="397"/>
      <c r="QST10" s="397"/>
      <c r="QSU10" s="397"/>
      <c r="QSV10" s="397"/>
      <c r="QSW10" s="397"/>
      <c r="QSX10" s="397"/>
      <c r="QSY10" s="397"/>
      <c r="QSZ10" s="397"/>
      <c r="QTA10" s="397"/>
      <c r="QTB10" s="397"/>
      <c r="QTC10" s="397"/>
      <c r="QTD10" s="397"/>
      <c r="QTE10" s="397"/>
      <c r="QTF10" s="397"/>
      <c r="QTG10" s="397"/>
      <c r="QTH10" s="397"/>
      <c r="QTI10" s="397"/>
      <c r="QTJ10" s="397"/>
      <c r="QTK10" s="397"/>
      <c r="QTL10" s="397"/>
      <c r="QTM10" s="397"/>
      <c r="QTN10" s="397"/>
      <c r="QTO10" s="397"/>
      <c r="QTP10" s="397"/>
      <c r="QTQ10" s="397"/>
      <c r="QTR10" s="397"/>
      <c r="QTS10" s="397"/>
      <c r="QTT10" s="397"/>
      <c r="QTU10" s="397"/>
      <c r="QTV10" s="397"/>
      <c r="QTW10" s="397"/>
      <c r="QTX10" s="397"/>
      <c r="QTY10" s="397"/>
      <c r="QTZ10" s="397"/>
      <c r="QUA10" s="397"/>
      <c r="QUB10" s="397"/>
      <c r="QUC10" s="397"/>
      <c r="QUD10" s="397"/>
      <c r="QUE10" s="397"/>
      <c r="QUF10" s="397"/>
      <c r="QUG10" s="397"/>
      <c r="QUH10" s="397"/>
      <c r="QUI10" s="397"/>
      <c r="QUJ10" s="397"/>
      <c r="QUK10" s="397"/>
      <c r="QUL10" s="397"/>
      <c r="QUM10" s="397"/>
      <c r="QUN10" s="397"/>
      <c r="QUO10" s="397"/>
      <c r="QUP10" s="397"/>
      <c r="QUQ10" s="397"/>
      <c r="QUR10" s="397"/>
      <c r="QUS10" s="397"/>
      <c r="QUT10" s="397"/>
      <c r="QUU10" s="397"/>
      <c r="QUV10" s="397"/>
      <c r="QUW10" s="397"/>
      <c r="QUX10" s="397"/>
      <c r="QUY10" s="397"/>
      <c r="QUZ10" s="397"/>
      <c r="QVA10" s="397"/>
      <c r="QVB10" s="397"/>
      <c r="QVC10" s="397"/>
      <c r="QVD10" s="397"/>
      <c r="QVE10" s="397"/>
      <c r="QVF10" s="397"/>
      <c r="QVG10" s="397"/>
      <c r="QVH10" s="397"/>
      <c r="QVI10" s="397"/>
      <c r="QVJ10" s="397"/>
      <c r="QVK10" s="397"/>
      <c r="QVL10" s="397"/>
      <c r="QVM10" s="397"/>
      <c r="QVN10" s="397"/>
      <c r="QVO10" s="397"/>
      <c r="QVP10" s="397"/>
      <c r="QVQ10" s="397"/>
      <c r="QVR10" s="397"/>
      <c r="QVS10" s="397"/>
      <c r="QVT10" s="397"/>
      <c r="QVU10" s="397"/>
      <c r="QVV10" s="397"/>
      <c r="QVW10" s="397"/>
      <c r="QVX10" s="397"/>
      <c r="QVY10" s="397"/>
      <c r="QVZ10" s="397"/>
      <c r="QWA10" s="397"/>
      <c r="QWB10" s="397"/>
      <c r="QWC10" s="397"/>
      <c r="QWD10" s="397"/>
      <c r="QWE10" s="397"/>
      <c r="QWF10" s="397"/>
      <c r="QWG10" s="397"/>
      <c r="QWH10" s="397"/>
      <c r="QWI10" s="397"/>
      <c r="QWJ10" s="397"/>
      <c r="QWK10" s="397"/>
      <c r="QWL10" s="397"/>
      <c r="QWM10" s="397"/>
      <c r="QWN10" s="397"/>
      <c r="QWO10" s="397"/>
      <c r="QWP10" s="397"/>
      <c r="QWQ10" s="397"/>
      <c r="QWR10" s="397"/>
      <c r="QWS10" s="397"/>
      <c r="QWT10" s="397"/>
      <c r="QWU10" s="397"/>
      <c r="QWV10" s="397"/>
      <c r="QWW10" s="397"/>
      <c r="QWX10" s="397"/>
      <c r="QWY10" s="397"/>
      <c r="QWZ10" s="397"/>
      <c r="QXA10" s="397"/>
      <c r="QXB10" s="397"/>
      <c r="QXC10" s="397"/>
      <c r="QXD10" s="397"/>
      <c r="QXE10" s="397"/>
      <c r="QXF10" s="397"/>
      <c r="QXG10" s="397"/>
      <c r="QXH10" s="397"/>
      <c r="QXI10" s="397"/>
      <c r="QXJ10" s="397"/>
      <c r="QXK10" s="397"/>
      <c r="QXL10" s="397"/>
      <c r="QXM10" s="397"/>
      <c r="QXN10" s="397"/>
      <c r="QXO10" s="397"/>
      <c r="QXP10" s="397"/>
      <c r="QXQ10" s="397"/>
      <c r="QXR10" s="397"/>
      <c r="QXS10" s="397"/>
      <c r="QXT10" s="397"/>
      <c r="QXU10" s="397"/>
      <c r="QXV10" s="397"/>
      <c r="QXW10" s="397"/>
      <c r="QXX10" s="397"/>
      <c r="QXY10" s="397"/>
      <c r="QXZ10" s="397"/>
      <c r="QYA10" s="397"/>
      <c r="QYB10" s="397"/>
      <c r="QYC10" s="397"/>
      <c r="QYD10" s="397"/>
      <c r="QYE10" s="397"/>
      <c r="QYF10" s="397"/>
      <c r="QYG10" s="397"/>
      <c r="QYH10" s="397"/>
      <c r="QYI10" s="397"/>
      <c r="QYJ10" s="397"/>
      <c r="QYK10" s="397"/>
      <c r="QYL10" s="397"/>
      <c r="QYM10" s="397"/>
      <c r="QYN10" s="397"/>
      <c r="QYO10" s="397"/>
      <c r="QYP10" s="397"/>
      <c r="QYQ10" s="397"/>
      <c r="QYR10" s="397"/>
      <c r="QYS10" s="397"/>
      <c r="QYT10" s="397"/>
      <c r="QYU10" s="397"/>
      <c r="QYV10" s="397"/>
      <c r="QYW10" s="397"/>
      <c r="QYX10" s="397"/>
      <c r="QYY10" s="397"/>
      <c r="QYZ10" s="397"/>
      <c r="QZA10" s="397"/>
      <c r="QZB10" s="397"/>
      <c r="QZC10" s="397"/>
      <c r="QZD10" s="397"/>
      <c r="QZE10" s="397"/>
      <c r="QZF10" s="397"/>
      <c r="QZG10" s="397"/>
      <c r="QZH10" s="397"/>
      <c r="QZI10" s="397"/>
      <c r="QZJ10" s="397"/>
      <c r="QZK10" s="397"/>
      <c r="QZL10" s="397"/>
      <c r="QZM10" s="397"/>
      <c r="QZN10" s="397"/>
      <c r="QZO10" s="397"/>
      <c r="QZP10" s="397"/>
      <c r="QZQ10" s="397"/>
      <c r="QZR10" s="397"/>
      <c r="QZS10" s="397"/>
      <c r="QZT10" s="397"/>
      <c r="QZU10" s="397"/>
      <c r="QZV10" s="397"/>
      <c r="QZW10" s="397"/>
      <c r="QZX10" s="397"/>
      <c r="QZY10" s="397"/>
      <c r="QZZ10" s="397"/>
      <c r="RAA10" s="397"/>
      <c r="RAB10" s="397"/>
      <c r="RAC10" s="397"/>
      <c r="RAD10" s="397"/>
      <c r="RAE10" s="397"/>
      <c r="RAF10" s="397"/>
      <c r="RAG10" s="397"/>
      <c r="RAH10" s="397"/>
      <c r="RAI10" s="397"/>
      <c r="RAJ10" s="397"/>
      <c r="RAK10" s="397"/>
      <c r="RAL10" s="397"/>
      <c r="RAM10" s="397"/>
      <c r="RAN10" s="397"/>
      <c r="RAO10" s="397"/>
      <c r="RAP10" s="397"/>
      <c r="RAQ10" s="397"/>
      <c r="RAR10" s="397"/>
      <c r="RAS10" s="397"/>
      <c r="RAT10" s="397"/>
      <c r="RAU10" s="397"/>
      <c r="RAV10" s="397"/>
      <c r="RAW10" s="397"/>
      <c r="RAX10" s="397"/>
      <c r="RAY10" s="397"/>
      <c r="RAZ10" s="397"/>
      <c r="RBA10" s="397"/>
      <c r="RBB10" s="397"/>
      <c r="RBC10" s="397"/>
      <c r="RBD10" s="397"/>
      <c r="RBE10" s="397"/>
      <c r="RBF10" s="397"/>
      <c r="RBG10" s="397"/>
      <c r="RBH10" s="397"/>
      <c r="RBI10" s="397"/>
      <c r="RBJ10" s="397"/>
      <c r="RBK10" s="397"/>
      <c r="RBL10" s="397"/>
      <c r="RBM10" s="397"/>
      <c r="RBN10" s="397"/>
      <c r="RBO10" s="397"/>
      <c r="RBP10" s="397"/>
      <c r="RBQ10" s="397"/>
      <c r="RBR10" s="397"/>
      <c r="RBS10" s="397"/>
      <c r="RBT10" s="397"/>
      <c r="RBU10" s="397"/>
      <c r="RBV10" s="397"/>
      <c r="RBW10" s="397"/>
      <c r="RBX10" s="397"/>
      <c r="RBY10" s="397"/>
      <c r="RBZ10" s="397"/>
      <c r="RCA10" s="397"/>
      <c r="RCB10" s="397"/>
      <c r="RCC10" s="397"/>
      <c r="RCD10" s="397"/>
      <c r="RCE10" s="397"/>
      <c r="RCF10" s="397"/>
      <c r="RCG10" s="397"/>
      <c r="RCH10" s="397"/>
      <c r="RCI10" s="397"/>
      <c r="RCJ10" s="397"/>
      <c r="RCK10" s="397"/>
      <c r="RCL10" s="397"/>
      <c r="RCM10" s="397"/>
      <c r="RCN10" s="397"/>
      <c r="RCO10" s="397"/>
      <c r="RCP10" s="397"/>
      <c r="RCQ10" s="397"/>
      <c r="RCR10" s="397"/>
      <c r="RCS10" s="397"/>
      <c r="RCT10" s="397"/>
      <c r="RCU10" s="397"/>
      <c r="RCV10" s="397"/>
      <c r="RCW10" s="397"/>
      <c r="RCX10" s="397"/>
      <c r="RCY10" s="397"/>
      <c r="RCZ10" s="397"/>
      <c r="RDA10" s="397"/>
      <c r="RDB10" s="397"/>
      <c r="RDC10" s="397"/>
      <c r="RDD10" s="397"/>
      <c r="RDE10" s="397"/>
      <c r="RDF10" s="397"/>
      <c r="RDG10" s="397"/>
      <c r="RDH10" s="397"/>
      <c r="RDI10" s="397"/>
      <c r="RDJ10" s="397"/>
      <c r="RDK10" s="397"/>
      <c r="RDL10" s="397"/>
      <c r="RDM10" s="397"/>
      <c r="RDN10" s="397"/>
      <c r="RDO10" s="397"/>
      <c r="RDP10" s="397"/>
      <c r="RDQ10" s="397"/>
      <c r="RDR10" s="397"/>
      <c r="RDS10" s="397"/>
      <c r="RDT10" s="397"/>
      <c r="RDU10" s="397"/>
      <c r="RDV10" s="397"/>
      <c r="RDW10" s="397"/>
      <c r="RDX10" s="397"/>
      <c r="RDY10" s="397"/>
      <c r="RDZ10" s="397"/>
      <c r="REA10" s="397"/>
      <c r="REB10" s="397"/>
      <c r="REC10" s="397"/>
      <c r="RED10" s="397"/>
      <c r="REE10" s="397"/>
      <c r="REF10" s="397"/>
      <c r="REG10" s="397"/>
      <c r="REH10" s="397"/>
      <c r="REI10" s="397"/>
      <c r="REJ10" s="397"/>
      <c r="REK10" s="397"/>
      <c r="REL10" s="397"/>
      <c r="REM10" s="397"/>
      <c r="REN10" s="397"/>
      <c r="REO10" s="397"/>
      <c r="REP10" s="397"/>
      <c r="REQ10" s="397"/>
      <c r="RER10" s="397"/>
      <c r="RES10" s="397"/>
      <c r="RET10" s="397"/>
      <c r="REU10" s="397"/>
      <c r="REV10" s="397"/>
      <c r="REW10" s="397"/>
      <c r="REX10" s="397"/>
      <c r="REY10" s="397"/>
      <c r="REZ10" s="397"/>
      <c r="RFA10" s="397"/>
      <c r="RFB10" s="397"/>
      <c r="RFC10" s="397"/>
      <c r="RFD10" s="397"/>
      <c r="RFE10" s="397"/>
      <c r="RFF10" s="397"/>
      <c r="RFG10" s="397"/>
      <c r="RFH10" s="397"/>
      <c r="RFI10" s="397"/>
      <c r="RFJ10" s="397"/>
      <c r="RFK10" s="397"/>
      <c r="RFL10" s="397"/>
      <c r="RFM10" s="397"/>
      <c r="RFN10" s="397"/>
      <c r="RFO10" s="397"/>
      <c r="RFP10" s="397"/>
      <c r="RFQ10" s="397"/>
      <c r="RFR10" s="397"/>
      <c r="RFS10" s="397"/>
      <c r="RFT10" s="397"/>
      <c r="RFU10" s="397"/>
      <c r="RFV10" s="397"/>
      <c r="RFW10" s="397"/>
      <c r="RFX10" s="397"/>
      <c r="RFY10" s="397"/>
      <c r="RFZ10" s="397"/>
      <c r="RGA10" s="397"/>
      <c r="RGB10" s="397"/>
      <c r="RGC10" s="397"/>
      <c r="RGD10" s="397"/>
      <c r="RGE10" s="397"/>
      <c r="RGF10" s="397"/>
      <c r="RGG10" s="397"/>
      <c r="RGH10" s="397"/>
      <c r="RGI10" s="397"/>
      <c r="RGJ10" s="397"/>
      <c r="RGK10" s="397"/>
      <c r="RGL10" s="397"/>
      <c r="RGM10" s="397"/>
      <c r="RGN10" s="397"/>
      <c r="RGO10" s="397"/>
      <c r="RGP10" s="397"/>
      <c r="RGQ10" s="397"/>
      <c r="RGR10" s="397"/>
      <c r="RGS10" s="397"/>
      <c r="RGT10" s="397"/>
      <c r="RGU10" s="397"/>
      <c r="RGV10" s="397"/>
      <c r="RGW10" s="397"/>
      <c r="RGX10" s="397"/>
      <c r="RGY10" s="397"/>
      <c r="RGZ10" s="397"/>
      <c r="RHA10" s="397"/>
      <c r="RHB10" s="397"/>
      <c r="RHC10" s="397"/>
      <c r="RHD10" s="397"/>
      <c r="RHE10" s="397"/>
      <c r="RHF10" s="397"/>
      <c r="RHG10" s="397"/>
      <c r="RHH10" s="397"/>
      <c r="RHI10" s="397"/>
      <c r="RHJ10" s="397"/>
      <c r="RHK10" s="397"/>
      <c r="RHL10" s="397"/>
      <c r="RHM10" s="397"/>
      <c r="RHN10" s="397"/>
      <c r="RHO10" s="397"/>
      <c r="RHP10" s="397"/>
      <c r="RHQ10" s="397"/>
      <c r="RHR10" s="397"/>
      <c r="RHS10" s="397"/>
      <c r="RHT10" s="397"/>
      <c r="RHU10" s="397"/>
      <c r="RHV10" s="397"/>
      <c r="RHW10" s="397"/>
      <c r="RHX10" s="397"/>
      <c r="RHY10" s="397"/>
      <c r="RHZ10" s="397"/>
      <c r="RIA10" s="397"/>
      <c r="RIB10" s="397"/>
      <c r="RIC10" s="397"/>
      <c r="RID10" s="397"/>
      <c r="RIE10" s="397"/>
      <c r="RIF10" s="397"/>
      <c r="RIG10" s="397"/>
      <c r="RIH10" s="397"/>
      <c r="RII10" s="397"/>
      <c r="RIJ10" s="397"/>
      <c r="RIK10" s="397"/>
      <c r="RIL10" s="397"/>
      <c r="RIM10" s="397"/>
      <c r="RIN10" s="397"/>
      <c r="RIO10" s="397"/>
      <c r="RIP10" s="397"/>
      <c r="RIQ10" s="397"/>
      <c r="RIR10" s="397"/>
      <c r="RIS10" s="397"/>
      <c r="RIT10" s="397"/>
      <c r="RIU10" s="397"/>
      <c r="RIV10" s="397"/>
      <c r="RIW10" s="397"/>
      <c r="RIX10" s="397"/>
      <c r="RIY10" s="397"/>
      <c r="RIZ10" s="397"/>
      <c r="RJA10" s="397"/>
      <c r="RJB10" s="397"/>
      <c r="RJC10" s="397"/>
      <c r="RJD10" s="397"/>
      <c r="RJE10" s="397"/>
      <c r="RJF10" s="397"/>
      <c r="RJG10" s="397"/>
      <c r="RJH10" s="397"/>
      <c r="RJI10" s="397"/>
      <c r="RJJ10" s="397"/>
      <c r="RJK10" s="397"/>
      <c r="RJL10" s="397"/>
      <c r="RJM10" s="397"/>
      <c r="RJN10" s="397"/>
      <c r="RJO10" s="397"/>
      <c r="RJP10" s="397"/>
      <c r="RJQ10" s="397"/>
      <c r="RJR10" s="397"/>
      <c r="RJS10" s="397"/>
      <c r="RJT10" s="397"/>
      <c r="RJU10" s="397"/>
      <c r="RJV10" s="397"/>
      <c r="RJW10" s="397"/>
      <c r="RJX10" s="397"/>
      <c r="RJY10" s="397"/>
      <c r="RJZ10" s="397"/>
      <c r="RKA10" s="397"/>
      <c r="RKB10" s="397"/>
      <c r="RKC10" s="397"/>
      <c r="RKD10" s="397"/>
      <c r="RKE10" s="397"/>
      <c r="RKF10" s="397"/>
      <c r="RKG10" s="397"/>
      <c r="RKH10" s="397"/>
      <c r="RKI10" s="397"/>
      <c r="RKJ10" s="397"/>
      <c r="RKK10" s="397"/>
      <c r="RKL10" s="397"/>
      <c r="RKM10" s="397"/>
      <c r="RKN10" s="397"/>
      <c r="RKO10" s="397"/>
      <c r="RKP10" s="397"/>
      <c r="RKQ10" s="397"/>
      <c r="RKR10" s="397"/>
      <c r="RKS10" s="397"/>
      <c r="RKT10" s="397"/>
      <c r="RKU10" s="397"/>
      <c r="RKV10" s="397"/>
      <c r="RKW10" s="397"/>
      <c r="RKX10" s="397"/>
      <c r="RKY10" s="397"/>
      <c r="RKZ10" s="397"/>
      <c r="RLA10" s="397"/>
      <c r="RLB10" s="397"/>
      <c r="RLC10" s="397"/>
      <c r="RLD10" s="397"/>
      <c r="RLE10" s="397"/>
      <c r="RLF10" s="397"/>
      <c r="RLG10" s="397"/>
      <c r="RLH10" s="397"/>
      <c r="RLI10" s="397"/>
      <c r="RLJ10" s="397"/>
      <c r="RLK10" s="397"/>
      <c r="RLL10" s="397"/>
      <c r="RLM10" s="397"/>
      <c r="RLN10" s="397"/>
      <c r="RLO10" s="397"/>
      <c r="RLP10" s="397"/>
      <c r="RLQ10" s="397"/>
      <c r="RLR10" s="397"/>
      <c r="RLS10" s="397"/>
      <c r="RLT10" s="397"/>
      <c r="RLU10" s="397"/>
      <c r="RLV10" s="397"/>
      <c r="RLW10" s="397"/>
      <c r="RLX10" s="397"/>
      <c r="RLY10" s="397"/>
      <c r="RLZ10" s="397"/>
      <c r="RMA10" s="397"/>
      <c r="RMB10" s="397"/>
      <c r="RMC10" s="397"/>
      <c r="RMD10" s="397"/>
      <c r="RME10" s="397"/>
      <c r="RMF10" s="397"/>
      <c r="RMG10" s="397"/>
      <c r="RMH10" s="397"/>
      <c r="RMI10" s="397"/>
      <c r="RMJ10" s="397"/>
      <c r="RMK10" s="397"/>
      <c r="RML10" s="397"/>
      <c r="RMM10" s="397"/>
      <c r="RMN10" s="397"/>
      <c r="RMO10" s="397"/>
      <c r="RMP10" s="397"/>
      <c r="RMQ10" s="397"/>
      <c r="RMR10" s="397"/>
      <c r="RMS10" s="397"/>
      <c r="RMT10" s="397"/>
      <c r="RMU10" s="397"/>
      <c r="RMV10" s="397"/>
      <c r="RMW10" s="397"/>
      <c r="RMX10" s="397"/>
      <c r="RMY10" s="397"/>
      <c r="RMZ10" s="397"/>
      <c r="RNA10" s="397"/>
      <c r="RNB10" s="397"/>
      <c r="RNC10" s="397"/>
      <c r="RND10" s="397"/>
      <c r="RNE10" s="397"/>
      <c r="RNF10" s="397"/>
      <c r="RNG10" s="397"/>
      <c r="RNH10" s="397"/>
      <c r="RNI10" s="397"/>
      <c r="RNJ10" s="397"/>
      <c r="RNK10" s="397"/>
      <c r="RNL10" s="397"/>
      <c r="RNM10" s="397"/>
      <c r="RNN10" s="397"/>
      <c r="RNO10" s="397"/>
      <c r="RNP10" s="397"/>
      <c r="RNQ10" s="397"/>
      <c r="RNR10" s="397"/>
      <c r="RNS10" s="397"/>
      <c r="RNT10" s="397"/>
      <c r="RNU10" s="397"/>
      <c r="RNV10" s="397"/>
      <c r="RNW10" s="397"/>
      <c r="RNX10" s="397"/>
      <c r="RNY10" s="397"/>
      <c r="RNZ10" s="397"/>
      <c r="ROA10" s="397"/>
      <c r="ROB10" s="397"/>
      <c r="ROC10" s="397"/>
      <c r="ROD10" s="397"/>
      <c r="ROE10" s="397"/>
      <c r="ROF10" s="397"/>
      <c r="ROG10" s="397"/>
      <c r="ROH10" s="397"/>
      <c r="ROI10" s="397"/>
      <c r="ROJ10" s="397"/>
      <c r="ROK10" s="397"/>
      <c r="ROL10" s="397"/>
      <c r="ROM10" s="397"/>
      <c r="RON10" s="397"/>
      <c r="ROO10" s="397"/>
      <c r="ROP10" s="397"/>
      <c r="ROQ10" s="397"/>
      <c r="ROR10" s="397"/>
      <c r="ROS10" s="397"/>
      <c r="ROT10" s="397"/>
      <c r="ROU10" s="397"/>
      <c r="ROV10" s="397"/>
      <c r="ROW10" s="397"/>
      <c r="ROX10" s="397"/>
      <c r="ROY10" s="397"/>
      <c r="ROZ10" s="397"/>
      <c r="RPA10" s="397"/>
      <c r="RPB10" s="397"/>
      <c r="RPC10" s="397"/>
      <c r="RPD10" s="397"/>
      <c r="RPE10" s="397"/>
      <c r="RPF10" s="397"/>
      <c r="RPG10" s="397"/>
      <c r="RPH10" s="397"/>
      <c r="RPI10" s="397"/>
      <c r="RPJ10" s="397"/>
      <c r="RPK10" s="397"/>
      <c r="RPL10" s="397"/>
      <c r="RPM10" s="397"/>
      <c r="RPN10" s="397"/>
      <c r="RPO10" s="397"/>
      <c r="RPP10" s="397"/>
      <c r="RPQ10" s="397"/>
      <c r="RPR10" s="397"/>
      <c r="RPS10" s="397"/>
      <c r="RPT10" s="397"/>
      <c r="RPU10" s="397"/>
      <c r="RPV10" s="397"/>
      <c r="RPW10" s="397"/>
      <c r="RPX10" s="397"/>
      <c r="RPY10" s="397"/>
      <c r="RPZ10" s="397"/>
      <c r="RQA10" s="397"/>
      <c r="RQB10" s="397"/>
      <c r="RQC10" s="397"/>
      <c r="RQD10" s="397"/>
      <c r="RQE10" s="397"/>
      <c r="RQF10" s="397"/>
      <c r="RQG10" s="397"/>
      <c r="RQH10" s="397"/>
      <c r="RQI10" s="397"/>
      <c r="RQJ10" s="397"/>
      <c r="RQK10" s="397"/>
      <c r="RQL10" s="397"/>
      <c r="RQM10" s="397"/>
      <c r="RQN10" s="397"/>
      <c r="RQO10" s="397"/>
      <c r="RQP10" s="397"/>
      <c r="RQQ10" s="397"/>
      <c r="RQR10" s="397"/>
      <c r="RQS10" s="397"/>
      <c r="RQT10" s="397"/>
      <c r="RQU10" s="397"/>
      <c r="RQV10" s="397"/>
      <c r="RQW10" s="397"/>
      <c r="RQX10" s="397"/>
      <c r="RQY10" s="397"/>
      <c r="RQZ10" s="397"/>
      <c r="RRA10" s="397"/>
      <c r="RRB10" s="397"/>
      <c r="RRC10" s="397"/>
      <c r="RRD10" s="397"/>
      <c r="RRE10" s="397"/>
      <c r="RRF10" s="397"/>
      <c r="RRG10" s="397"/>
      <c r="RRH10" s="397"/>
      <c r="RRI10" s="397"/>
      <c r="RRJ10" s="397"/>
      <c r="RRK10" s="397"/>
      <c r="RRL10" s="397"/>
      <c r="RRM10" s="397"/>
      <c r="RRN10" s="397"/>
      <c r="RRO10" s="397"/>
      <c r="RRP10" s="397"/>
      <c r="RRQ10" s="397"/>
      <c r="RRR10" s="397"/>
      <c r="RRS10" s="397"/>
      <c r="RRT10" s="397"/>
      <c r="RRU10" s="397"/>
      <c r="RRV10" s="397"/>
      <c r="RRW10" s="397"/>
      <c r="RRX10" s="397"/>
      <c r="RRY10" s="397"/>
      <c r="RRZ10" s="397"/>
      <c r="RSA10" s="397"/>
      <c r="RSB10" s="397"/>
      <c r="RSC10" s="397"/>
      <c r="RSD10" s="397"/>
      <c r="RSE10" s="397"/>
      <c r="RSF10" s="397"/>
      <c r="RSG10" s="397"/>
      <c r="RSH10" s="397"/>
      <c r="RSI10" s="397"/>
      <c r="RSJ10" s="397"/>
      <c r="RSK10" s="397"/>
      <c r="RSL10" s="397"/>
      <c r="RSM10" s="397"/>
      <c r="RSN10" s="397"/>
      <c r="RSO10" s="397"/>
      <c r="RSP10" s="397"/>
      <c r="RSQ10" s="397"/>
      <c r="RSR10" s="397"/>
      <c r="RSS10" s="397"/>
      <c r="RST10" s="397"/>
      <c r="RSU10" s="397"/>
      <c r="RSV10" s="397"/>
      <c r="RSW10" s="397"/>
      <c r="RSX10" s="397"/>
      <c r="RSY10" s="397"/>
      <c r="RSZ10" s="397"/>
      <c r="RTA10" s="397"/>
      <c r="RTB10" s="397"/>
      <c r="RTC10" s="397"/>
      <c r="RTD10" s="397"/>
      <c r="RTE10" s="397"/>
      <c r="RTF10" s="397"/>
      <c r="RTG10" s="397"/>
      <c r="RTH10" s="397"/>
      <c r="RTI10" s="397"/>
      <c r="RTJ10" s="397"/>
      <c r="RTK10" s="397"/>
      <c r="RTL10" s="397"/>
      <c r="RTM10" s="397"/>
      <c r="RTN10" s="397"/>
      <c r="RTO10" s="397"/>
      <c r="RTP10" s="397"/>
      <c r="RTQ10" s="397"/>
      <c r="RTR10" s="397"/>
      <c r="RTS10" s="397"/>
      <c r="RTT10" s="397"/>
      <c r="RTU10" s="397"/>
      <c r="RTV10" s="397"/>
      <c r="RTW10" s="397"/>
      <c r="RTX10" s="397"/>
      <c r="RTY10" s="397"/>
      <c r="RTZ10" s="397"/>
      <c r="RUA10" s="397"/>
      <c r="RUB10" s="397"/>
      <c r="RUC10" s="397"/>
      <c r="RUD10" s="397"/>
      <c r="RUE10" s="397"/>
      <c r="RUF10" s="397"/>
      <c r="RUG10" s="397"/>
      <c r="RUH10" s="397"/>
      <c r="RUI10" s="397"/>
      <c r="RUJ10" s="397"/>
      <c r="RUK10" s="397"/>
      <c r="RUL10" s="397"/>
      <c r="RUM10" s="397"/>
      <c r="RUN10" s="397"/>
      <c r="RUO10" s="397"/>
      <c r="RUP10" s="397"/>
      <c r="RUQ10" s="397"/>
      <c r="RUR10" s="397"/>
      <c r="RUS10" s="397"/>
      <c r="RUT10" s="397"/>
      <c r="RUU10" s="397"/>
      <c r="RUV10" s="397"/>
      <c r="RUW10" s="397"/>
      <c r="RUX10" s="397"/>
      <c r="RUY10" s="397"/>
      <c r="RUZ10" s="397"/>
      <c r="RVA10" s="397"/>
      <c r="RVB10" s="397"/>
      <c r="RVC10" s="397"/>
      <c r="RVD10" s="397"/>
      <c r="RVE10" s="397"/>
      <c r="RVF10" s="397"/>
      <c r="RVG10" s="397"/>
      <c r="RVH10" s="397"/>
      <c r="RVI10" s="397"/>
      <c r="RVJ10" s="397"/>
      <c r="RVK10" s="397"/>
      <c r="RVL10" s="397"/>
      <c r="RVM10" s="397"/>
      <c r="RVN10" s="397"/>
      <c r="RVO10" s="397"/>
      <c r="RVP10" s="397"/>
      <c r="RVQ10" s="397"/>
      <c r="RVR10" s="397"/>
      <c r="RVS10" s="397"/>
      <c r="RVT10" s="397"/>
      <c r="RVU10" s="397"/>
      <c r="RVV10" s="397"/>
      <c r="RVW10" s="397"/>
      <c r="RVX10" s="397"/>
      <c r="RVY10" s="397"/>
      <c r="RVZ10" s="397"/>
      <c r="RWA10" s="397"/>
      <c r="RWB10" s="397"/>
      <c r="RWC10" s="397"/>
      <c r="RWD10" s="397"/>
      <c r="RWE10" s="397"/>
      <c r="RWF10" s="397"/>
      <c r="RWG10" s="397"/>
      <c r="RWH10" s="397"/>
      <c r="RWI10" s="397"/>
      <c r="RWJ10" s="397"/>
      <c r="RWK10" s="397"/>
      <c r="RWL10" s="397"/>
      <c r="RWM10" s="397"/>
      <c r="RWN10" s="397"/>
      <c r="RWO10" s="397"/>
      <c r="RWP10" s="397"/>
      <c r="RWQ10" s="397"/>
      <c r="RWR10" s="397"/>
      <c r="RWS10" s="397"/>
      <c r="RWT10" s="397"/>
      <c r="RWU10" s="397"/>
      <c r="RWV10" s="397"/>
      <c r="RWW10" s="397"/>
      <c r="RWX10" s="397"/>
      <c r="RWY10" s="397"/>
      <c r="RWZ10" s="397"/>
      <c r="RXA10" s="397"/>
      <c r="RXB10" s="397"/>
      <c r="RXC10" s="397"/>
      <c r="RXD10" s="397"/>
      <c r="RXE10" s="397"/>
      <c r="RXF10" s="397"/>
      <c r="RXG10" s="397"/>
      <c r="RXH10" s="397"/>
      <c r="RXI10" s="397"/>
      <c r="RXJ10" s="397"/>
      <c r="RXK10" s="397"/>
      <c r="RXL10" s="397"/>
      <c r="RXM10" s="397"/>
      <c r="RXN10" s="397"/>
      <c r="RXO10" s="397"/>
      <c r="RXP10" s="397"/>
      <c r="RXQ10" s="397"/>
      <c r="RXR10" s="397"/>
      <c r="RXS10" s="397"/>
      <c r="RXT10" s="397"/>
      <c r="RXU10" s="397"/>
      <c r="RXV10" s="397"/>
      <c r="RXW10" s="397"/>
      <c r="RXX10" s="397"/>
      <c r="RXY10" s="397"/>
      <c r="RXZ10" s="397"/>
      <c r="RYA10" s="397"/>
      <c r="RYB10" s="397"/>
      <c r="RYC10" s="397"/>
      <c r="RYD10" s="397"/>
      <c r="RYE10" s="397"/>
      <c r="RYF10" s="397"/>
      <c r="RYG10" s="397"/>
      <c r="RYH10" s="397"/>
      <c r="RYI10" s="397"/>
      <c r="RYJ10" s="397"/>
      <c r="RYK10" s="397"/>
      <c r="RYL10" s="397"/>
      <c r="RYM10" s="397"/>
      <c r="RYN10" s="397"/>
      <c r="RYO10" s="397"/>
      <c r="RYP10" s="397"/>
      <c r="RYQ10" s="397"/>
      <c r="RYR10" s="397"/>
      <c r="RYS10" s="397"/>
      <c r="RYT10" s="397"/>
      <c r="RYU10" s="397"/>
      <c r="RYV10" s="397"/>
      <c r="RYW10" s="397"/>
      <c r="RYX10" s="397"/>
      <c r="RYY10" s="397"/>
      <c r="RYZ10" s="397"/>
      <c r="RZA10" s="397"/>
      <c r="RZB10" s="397"/>
      <c r="RZC10" s="397"/>
      <c r="RZD10" s="397"/>
      <c r="RZE10" s="397"/>
      <c r="RZF10" s="397"/>
      <c r="RZG10" s="397"/>
      <c r="RZH10" s="397"/>
      <c r="RZI10" s="397"/>
      <c r="RZJ10" s="397"/>
      <c r="RZK10" s="397"/>
      <c r="RZL10" s="397"/>
      <c r="RZM10" s="397"/>
      <c r="RZN10" s="397"/>
      <c r="RZO10" s="397"/>
      <c r="RZP10" s="397"/>
      <c r="RZQ10" s="397"/>
      <c r="RZR10" s="397"/>
      <c r="RZS10" s="397"/>
      <c r="RZT10" s="397"/>
      <c r="RZU10" s="397"/>
      <c r="RZV10" s="397"/>
      <c r="RZW10" s="397"/>
      <c r="RZX10" s="397"/>
      <c r="RZY10" s="397"/>
      <c r="RZZ10" s="397"/>
      <c r="SAA10" s="397"/>
      <c r="SAB10" s="397"/>
      <c r="SAC10" s="397"/>
      <c r="SAD10" s="397"/>
      <c r="SAE10" s="397"/>
      <c r="SAF10" s="397"/>
      <c r="SAG10" s="397"/>
      <c r="SAH10" s="397"/>
      <c r="SAI10" s="397"/>
      <c r="SAJ10" s="397"/>
      <c r="SAK10" s="397"/>
      <c r="SAL10" s="397"/>
      <c r="SAM10" s="397"/>
      <c r="SAN10" s="397"/>
      <c r="SAO10" s="397"/>
      <c r="SAP10" s="397"/>
      <c r="SAQ10" s="397"/>
      <c r="SAR10" s="397"/>
      <c r="SAS10" s="397"/>
      <c r="SAT10" s="397"/>
      <c r="SAU10" s="397"/>
      <c r="SAV10" s="397"/>
      <c r="SAW10" s="397"/>
      <c r="SAX10" s="397"/>
      <c r="SAY10" s="397"/>
      <c r="SAZ10" s="397"/>
      <c r="SBA10" s="397"/>
      <c r="SBB10" s="397"/>
      <c r="SBC10" s="397"/>
      <c r="SBD10" s="397"/>
      <c r="SBE10" s="397"/>
      <c r="SBF10" s="397"/>
      <c r="SBG10" s="397"/>
      <c r="SBH10" s="397"/>
      <c r="SBI10" s="397"/>
      <c r="SBJ10" s="397"/>
      <c r="SBK10" s="397"/>
      <c r="SBL10" s="397"/>
      <c r="SBM10" s="397"/>
      <c r="SBN10" s="397"/>
      <c r="SBO10" s="397"/>
      <c r="SBP10" s="397"/>
      <c r="SBQ10" s="397"/>
      <c r="SBR10" s="397"/>
      <c r="SBS10" s="397"/>
      <c r="SBT10" s="397"/>
      <c r="SBU10" s="397"/>
      <c r="SBV10" s="397"/>
      <c r="SBW10" s="397"/>
      <c r="SBX10" s="397"/>
      <c r="SBY10" s="397"/>
      <c r="SBZ10" s="397"/>
      <c r="SCA10" s="397"/>
      <c r="SCB10" s="397"/>
      <c r="SCC10" s="397"/>
      <c r="SCD10" s="397"/>
      <c r="SCE10" s="397"/>
      <c r="SCF10" s="397"/>
      <c r="SCG10" s="397"/>
      <c r="SCH10" s="397"/>
      <c r="SCI10" s="397"/>
      <c r="SCJ10" s="397"/>
      <c r="SCK10" s="397"/>
      <c r="SCL10" s="397"/>
      <c r="SCM10" s="397"/>
      <c r="SCN10" s="397"/>
      <c r="SCO10" s="397"/>
      <c r="SCP10" s="397"/>
      <c r="SCQ10" s="397"/>
      <c r="SCR10" s="397"/>
      <c r="SCS10" s="397"/>
      <c r="SCT10" s="397"/>
      <c r="SCU10" s="397"/>
      <c r="SCV10" s="397"/>
      <c r="SCW10" s="397"/>
      <c r="SCX10" s="397"/>
      <c r="SCY10" s="397"/>
      <c r="SCZ10" s="397"/>
      <c r="SDA10" s="397"/>
      <c r="SDB10" s="397"/>
      <c r="SDC10" s="397"/>
      <c r="SDD10" s="397"/>
      <c r="SDE10" s="397"/>
      <c r="SDF10" s="397"/>
      <c r="SDG10" s="397"/>
      <c r="SDH10" s="397"/>
      <c r="SDI10" s="397"/>
      <c r="SDJ10" s="397"/>
      <c r="SDK10" s="397"/>
      <c r="SDL10" s="397"/>
      <c r="SDM10" s="397"/>
      <c r="SDN10" s="397"/>
      <c r="SDO10" s="397"/>
      <c r="SDP10" s="397"/>
      <c r="SDQ10" s="397"/>
      <c r="SDR10" s="397"/>
      <c r="SDS10" s="397"/>
      <c r="SDT10" s="397"/>
      <c r="SDU10" s="397"/>
      <c r="SDV10" s="397"/>
      <c r="SDW10" s="397"/>
      <c r="SDX10" s="397"/>
      <c r="SDY10" s="397"/>
      <c r="SDZ10" s="397"/>
      <c r="SEA10" s="397"/>
      <c r="SEB10" s="397"/>
      <c r="SEC10" s="397"/>
      <c r="SED10" s="397"/>
      <c r="SEE10" s="397"/>
      <c r="SEF10" s="397"/>
      <c r="SEG10" s="397"/>
      <c r="SEH10" s="397"/>
      <c r="SEI10" s="397"/>
      <c r="SEJ10" s="397"/>
      <c r="SEK10" s="397"/>
      <c r="SEL10" s="397"/>
      <c r="SEM10" s="397"/>
      <c r="SEN10" s="397"/>
      <c r="SEO10" s="397"/>
      <c r="SEP10" s="397"/>
      <c r="SEQ10" s="397"/>
      <c r="SER10" s="397"/>
      <c r="SES10" s="397"/>
      <c r="SET10" s="397"/>
      <c r="SEU10" s="397"/>
      <c r="SEV10" s="397"/>
      <c r="SEW10" s="397"/>
      <c r="SEX10" s="397"/>
      <c r="SEY10" s="397"/>
      <c r="SEZ10" s="397"/>
      <c r="SFA10" s="397"/>
      <c r="SFB10" s="397"/>
      <c r="SFC10" s="397"/>
      <c r="SFD10" s="397"/>
      <c r="SFE10" s="397"/>
      <c r="SFF10" s="397"/>
      <c r="SFG10" s="397"/>
      <c r="SFH10" s="397"/>
      <c r="SFI10" s="397"/>
      <c r="SFJ10" s="397"/>
      <c r="SFK10" s="397"/>
      <c r="SFL10" s="397"/>
      <c r="SFM10" s="397"/>
      <c r="SFN10" s="397"/>
      <c r="SFO10" s="397"/>
      <c r="SFP10" s="397"/>
      <c r="SFQ10" s="397"/>
      <c r="SFR10" s="397"/>
      <c r="SFS10" s="397"/>
      <c r="SFT10" s="397"/>
      <c r="SFU10" s="397"/>
      <c r="SFV10" s="397"/>
      <c r="SFW10" s="397"/>
      <c r="SFX10" s="397"/>
      <c r="SFY10" s="397"/>
      <c r="SFZ10" s="397"/>
      <c r="SGA10" s="397"/>
      <c r="SGB10" s="397"/>
      <c r="SGC10" s="397"/>
      <c r="SGD10" s="397"/>
      <c r="SGE10" s="397"/>
      <c r="SGF10" s="397"/>
      <c r="SGG10" s="397"/>
      <c r="SGH10" s="397"/>
      <c r="SGI10" s="397"/>
      <c r="SGJ10" s="397"/>
      <c r="SGK10" s="397"/>
      <c r="SGL10" s="397"/>
      <c r="SGM10" s="397"/>
      <c r="SGN10" s="397"/>
      <c r="SGO10" s="397"/>
      <c r="SGP10" s="397"/>
      <c r="SGQ10" s="397"/>
      <c r="SGR10" s="397"/>
      <c r="SGS10" s="397"/>
      <c r="SGT10" s="397"/>
      <c r="SGU10" s="397"/>
      <c r="SGV10" s="397"/>
      <c r="SGW10" s="397"/>
      <c r="SGX10" s="397"/>
      <c r="SGY10" s="397"/>
      <c r="SGZ10" s="397"/>
      <c r="SHA10" s="397"/>
      <c r="SHB10" s="397"/>
      <c r="SHC10" s="397"/>
      <c r="SHD10" s="397"/>
      <c r="SHE10" s="397"/>
      <c r="SHF10" s="397"/>
      <c r="SHG10" s="397"/>
      <c r="SHH10" s="397"/>
      <c r="SHI10" s="397"/>
      <c r="SHJ10" s="397"/>
      <c r="SHK10" s="397"/>
      <c r="SHL10" s="397"/>
      <c r="SHM10" s="397"/>
      <c r="SHN10" s="397"/>
      <c r="SHO10" s="397"/>
      <c r="SHP10" s="397"/>
      <c r="SHQ10" s="397"/>
      <c r="SHR10" s="397"/>
      <c r="SHS10" s="397"/>
      <c r="SHT10" s="397"/>
      <c r="SHU10" s="397"/>
      <c r="SHV10" s="397"/>
      <c r="SHW10" s="397"/>
      <c r="SHX10" s="397"/>
      <c r="SHY10" s="397"/>
      <c r="SHZ10" s="397"/>
      <c r="SIA10" s="397"/>
      <c r="SIB10" s="397"/>
      <c r="SIC10" s="397"/>
      <c r="SID10" s="397"/>
      <c r="SIE10" s="397"/>
      <c r="SIF10" s="397"/>
      <c r="SIG10" s="397"/>
      <c r="SIH10" s="397"/>
      <c r="SII10" s="397"/>
      <c r="SIJ10" s="397"/>
      <c r="SIK10" s="397"/>
      <c r="SIL10" s="397"/>
      <c r="SIM10" s="397"/>
      <c r="SIN10" s="397"/>
      <c r="SIO10" s="397"/>
      <c r="SIP10" s="397"/>
      <c r="SIQ10" s="397"/>
      <c r="SIR10" s="397"/>
      <c r="SIS10" s="397"/>
      <c r="SIT10" s="397"/>
      <c r="SIU10" s="397"/>
      <c r="SIV10" s="397"/>
      <c r="SIW10" s="397"/>
      <c r="SIX10" s="397"/>
      <c r="SIY10" s="397"/>
      <c r="SIZ10" s="397"/>
      <c r="SJA10" s="397"/>
      <c r="SJB10" s="397"/>
      <c r="SJC10" s="397"/>
      <c r="SJD10" s="397"/>
      <c r="SJE10" s="397"/>
      <c r="SJF10" s="397"/>
      <c r="SJG10" s="397"/>
      <c r="SJH10" s="397"/>
      <c r="SJI10" s="397"/>
      <c r="SJJ10" s="397"/>
      <c r="SJK10" s="397"/>
      <c r="SJL10" s="397"/>
      <c r="SJM10" s="397"/>
      <c r="SJN10" s="397"/>
      <c r="SJO10" s="397"/>
      <c r="SJP10" s="397"/>
      <c r="SJQ10" s="397"/>
      <c r="SJR10" s="397"/>
      <c r="SJS10" s="397"/>
      <c r="SJT10" s="397"/>
      <c r="SJU10" s="397"/>
      <c r="SJV10" s="397"/>
      <c r="SJW10" s="397"/>
      <c r="SJX10" s="397"/>
      <c r="SJY10" s="397"/>
      <c r="SJZ10" s="397"/>
      <c r="SKA10" s="397"/>
      <c r="SKB10" s="397"/>
      <c r="SKC10" s="397"/>
      <c r="SKD10" s="397"/>
      <c r="SKE10" s="397"/>
      <c r="SKF10" s="397"/>
      <c r="SKG10" s="397"/>
      <c r="SKH10" s="397"/>
      <c r="SKI10" s="397"/>
      <c r="SKJ10" s="397"/>
      <c r="SKK10" s="397"/>
      <c r="SKL10" s="397"/>
      <c r="SKM10" s="397"/>
      <c r="SKN10" s="397"/>
      <c r="SKO10" s="397"/>
      <c r="SKP10" s="397"/>
      <c r="SKQ10" s="397"/>
      <c r="SKR10" s="397"/>
      <c r="SKS10" s="397"/>
      <c r="SKT10" s="397"/>
      <c r="SKU10" s="397"/>
      <c r="SKV10" s="397"/>
      <c r="SKW10" s="397"/>
      <c r="SKX10" s="397"/>
      <c r="SKY10" s="397"/>
      <c r="SKZ10" s="397"/>
      <c r="SLA10" s="397"/>
      <c r="SLB10" s="397"/>
      <c r="SLC10" s="397"/>
      <c r="SLD10" s="397"/>
      <c r="SLE10" s="397"/>
      <c r="SLF10" s="397"/>
      <c r="SLG10" s="397"/>
      <c r="SLH10" s="397"/>
      <c r="SLI10" s="397"/>
      <c r="SLJ10" s="397"/>
      <c r="SLK10" s="397"/>
      <c r="SLL10" s="397"/>
      <c r="SLM10" s="397"/>
      <c r="SLN10" s="397"/>
      <c r="SLO10" s="397"/>
      <c r="SLP10" s="397"/>
      <c r="SLQ10" s="397"/>
      <c r="SLR10" s="397"/>
      <c r="SLS10" s="397"/>
      <c r="SLT10" s="397"/>
      <c r="SLU10" s="397"/>
      <c r="SLV10" s="397"/>
      <c r="SLW10" s="397"/>
      <c r="SLX10" s="397"/>
      <c r="SLY10" s="397"/>
      <c r="SLZ10" s="397"/>
      <c r="SMA10" s="397"/>
      <c r="SMB10" s="397"/>
      <c r="SMC10" s="397"/>
      <c r="SMD10" s="397"/>
      <c r="SME10" s="397"/>
      <c r="SMF10" s="397"/>
      <c r="SMG10" s="397"/>
      <c r="SMH10" s="397"/>
      <c r="SMI10" s="397"/>
      <c r="SMJ10" s="397"/>
      <c r="SMK10" s="397"/>
      <c r="SML10" s="397"/>
      <c r="SMM10" s="397"/>
      <c r="SMN10" s="397"/>
      <c r="SMO10" s="397"/>
      <c r="SMP10" s="397"/>
      <c r="SMQ10" s="397"/>
      <c r="SMR10" s="397"/>
      <c r="SMS10" s="397"/>
      <c r="SMT10" s="397"/>
      <c r="SMU10" s="397"/>
      <c r="SMV10" s="397"/>
      <c r="SMW10" s="397"/>
      <c r="SMX10" s="397"/>
      <c r="SMY10" s="397"/>
      <c r="SMZ10" s="397"/>
      <c r="SNA10" s="397"/>
      <c r="SNB10" s="397"/>
      <c r="SNC10" s="397"/>
      <c r="SND10" s="397"/>
      <c r="SNE10" s="397"/>
      <c r="SNF10" s="397"/>
      <c r="SNG10" s="397"/>
      <c r="SNH10" s="397"/>
      <c r="SNI10" s="397"/>
      <c r="SNJ10" s="397"/>
      <c r="SNK10" s="397"/>
      <c r="SNL10" s="397"/>
      <c r="SNM10" s="397"/>
      <c r="SNN10" s="397"/>
      <c r="SNO10" s="397"/>
      <c r="SNP10" s="397"/>
      <c r="SNQ10" s="397"/>
      <c r="SNR10" s="397"/>
      <c r="SNS10" s="397"/>
      <c r="SNT10" s="397"/>
      <c r="SNU10" s="397"/>
      <c r="SNV10" s="397"/>
      <c r="SNW10" s="397"/>
      <c r="SNX10" s="397"/>
      <c r="SNY10" s="397"/>
      <c r="SNZ10" s="397"/>
      <c r="SOA10" s="397"/>
      <c r="SOB10" s="397"/>
      <c r="SOC10" s="397"/>
      <c r="SOD10" s="397"/>
      <c r="SOE10" s="397"/>
      <c r="SOF10" s="397"/>
      <c r="SOG10" s="397"/>
      <c r="SOH10" s="397"/>
      <c r="SOI10" s="397"/>
      <c r="SOJ10" s="397"/>
      <c r="SOK10" s="397"/>
      <c r="SOL10" s="397"/>
      <c r="SOM10" s="397"/>
      <c r="SON10" s="397"/>
      <c r="SOO10" s="397"/>
      <c r="SOP10" s="397"/>
      <c r="SOQ10" s="397"/>
      <c r="SOR10" s="397"/>
      <c r="SOS10" s="397"/>
      <c r="SOT10" s="397"/>
      <c r="SOU10" s="397"/>
      <c r="SOV10" s="397"/>
      <c r="SOW10" s="397"/>
      <c r="SOX10" s="397"/>
      <c r="SOY10" s="397"/>
      <c r="SOZ10" s="397"/>
      <c r="SPA10" s="397"/>
      <c r="SPB10" s="397"/>
      <c r="SPC10" s="397"/>
      <c r="SPD10" s="397"/>
      <c r="SPE10" s="397"/>
      <c r="SPF10" s="397"/>
      <c r="SPG10" s="397"/>
      <c r="SPH10" s="397"/>
      <c r="SPI10" s="397"/>
      <c r="SPJ10" s="397"/>
      <c r="SPK10" s="397"/>
      <c r="SPL10" s="397"/>
      <c r="SPM10" s="397"/>
      <c r="SPN10" s="397"/>
      <c r="SPO10" s="397"/>
      <c r="SPP10" s="397"/>
      <c r="SPQ10" s="397"/>
      <c r="SPR10" s="397"/>
      <c r="SPS10" s="397"/>
      <c r="SPT10" s="397"/>
      <c r="SPU10" s="397"/>
      <c r="SPV10" s="397"/>
      <c r="SPW10" s="397"/>
      <c r="SPX10" s="397"/>
      <c r="SPY10" s="397"/>
      <c r="SPZ10" s="397"/>
      <c r="SQA10" s="397"/>
      <c r="SQB10" s="397"/>
      <c r="SQC10" s="397"/>
      <c r="SQD10" s="397"/>
      <c r="SQE10" s="397"/>
      <c r="SQF10" s="397"/>
      <c r="SQG10" s="397"/>
      <c r="SQH10" s="397"/>
      <c r="SQI10" s="397"/>
      <c r="SQJ10" s="397"/>
      <c r="SQK10" s="397"/>
      <c r="SQL10" s="397"/>
      <c r="SQM10" s="397"/>
      <c r="SQN10" s="397"/>
      <c r="SQO10" s="397"/>
      <c r="SQP10" s="397"/>
      <c r="SQQ10" s="397"/>
      <c r="SQR10" s="397"/>
      <c r="SQS10" s="397"/>
      <c r="SQT10" s="397"/>
      <c r="SQU10" s="397"/>
      <c r="SQV10" s="397"/>
      <c r="SQW10" s="397"/>
      <c r="SQX10" s="397"/>
      <c r="SQY10" s="397"/>
      <c r="SQZ10" s="397"/>
      <c r="SRA10" s="397"/>
      <c r="SRB10" s="397"/>
      <c r="SRC10" s="397"/>
      <c r="SRD10" s="397"/>
      <c r="SRE10" s="397"/>
      <c r="SRF10" s="397"/>
      <c r="SRG10" s="397"/>
      <c r="SRH10" s="397"/>
      <c r="SRI10" s="397"/>
      <c r="SRJ10" s="397"/>
      <c r="SRK10" s="397"/>
      <c r="SRL10" s="397"/>
      <c r="SRM10" s="397"/>
      <c r="SRN10" s="397"/>
      <c r="SRO10" s="397"/>
      <c r="SRP10" s="397"/>
      <c r="SRQ10" s="397"/>
      <c r="SRR10" s="397"/>
      <c r="SRS10" s="397"/>
      <c r="SRT10" s="397"/>
      <c r="SRU10" s="397"/>
      <c r="SRV10" s="397"/>
      <c r="SRW10" s="397"/>
      <c r="SRX10" s="397"/>
      <c r="SRY10" s="397"/>
      <c r="SRZ10" s="397"/>
      <c r="SSA10" s="397"/>
      <c r="SSB10" s="397"/>
      <c r="SSC10" s="397"/>
      <c r="SSD10" s="397"/>
      <c r="SSE10" s="397"/>
      <c r="SSF10" s="397"/>
      <c r="SSG10" s="397"/>
      <c r="SSH10" s="397"/>
      <c r="SSI10" s="397"/>
      <c r="SSJ10" s="397"/>
      <c r="SSK10" s="397"/>
      <c r="SSL10" s="397"/>
      <c r="SSM10" s="397"/>
      <c r="SSN10" s="397"/>
      <c r="SSO10" s="397"/>
      <c r="SSP10" s="397"/>
      <c r="SSQ10" s="397"/>
      <c r="SSR10" s="397"/>
      <c r="SSS10" s="397"/>
      <c r="SST10" s="397"/>
      <c r="SSU10" s="397"/>
      <c r="SSV10" s="397"/>
      <c r="SSW10" s="397"/>
      <c r="SSX10" s="397"/>
      <c r="SSY10" s="397"/>
      <c r="SSZ10" s="397"/>
      <c r="STA10" s="397"/>
      <c r="STB10" s="397"/>
      <c r="STC10" s="397"/>
      <c r="STD10" s="397"/>
      <c r="STE10" s="397"/>
      <c r="STF10" s="397"/>
      <c r="STG10" s="397"/>
      <c r="STH10" s="397"/>
      <c r="STI10" s="397"/>
      <c r="STJ10" s="397"/>
      <c r="STK10" s="397"/>
      <c r="STL10" s="397"/>
      <c r="STM10" s="397"/>
      <c r="STN10" s="397"/>
      <c r="STO10" s="397"/>
      <c r="STP10" s="397"/>
      <c r="STQ10" s="397"/>
      <c r="STR10" s="397"/>
      <c r="STS10" s="397"/>
      <c r="STT10" s="397"/>
      <c r="STU10" s="397"/>
      <c r="STV10" s="397"/>
      <c r="STW10" s="397"/>
      <c r="STX10" s="397"/>
      <c r="STY10" s="397"/>
      <c r="STZ10" s="397"/>
      <c r="SUA10" s="397"/>
      <c r="SUB10" s="397"/>
      <c r="SUC10" s="397"/>
      <c r="SUD10" s="397"/>
      <c r="SUE10" s="397"/>
      <c r="SUF10" s="397"/>
      <c r="SUG10" s="397"/>
      <c r="SUH10" s="397"/>
      <c r="SUI10" s="397"/>
      <c r="SUJ10" s="397"/>
      <c r="SUK10" s="397"/>
      <c r="SUL10" s="397"/>
      <c r="SUM10" s="397"/>
      <c r="SUN10" s="397"/>
      <c r="SUO10" s="397"/>
      <c r="SUP10" s="397"/>
      <c r="SUQ10" s="397"/>
      <c r="SUR10" s="397"/>
      <c r="SUS10" s="397"/>
      <c r="SUT10" s="397"/>
      <c r="SUU10" s="397"/>
      <c r="SUV10" s="397"/>
      <c r="SUW10" s="397"/>
      <c r="SUX10" s="397"/>
      <c r="SUY10" s="397"/>
      <c r="SUZ10" s="397"/>
      <c r="SVA10" s="397"/>
      <c r="SVB10" s="397"/>
      <c r="SVC10" s="397"/>
      <c r="SVD10" s="397"/>
      <c r="SVE10" s="397"/>
      <c r="SVF10" s="397"/>
      <c r="SVG10" s="397"/>
      <c r="SVH10" s="397"/>
      <c r="SVI10" s="397"/>
      <c r="SVJ10" s="397"/>
      <c r="SVK10" s="397"/>
      <c r="SVL10" s="397"/>
      <c r="SVM10" s="397"/>
      <c r="SVN10" s="397"/>
      <c r="SVO10" s="397"/>
      <c r="SVP10" s="397"/>
      <c r="SVQ10" s="397"/>
      <c r="SVR10" s="397"/>
      <c r="SVS10" s="397"/>
      <c r="SVT10" s="397"/>
      <c r="SVU10" s="397"/>
      <c r="SVV10" s="397"/>
      <c r="SVW10" s="397"/>
      <c r="SVX10" s="397"/>
      <c r="SVY10" s="397"/>
      <c r="SVZ10" s="397"/>
      <c r="SWA10" s="397"/>
      <c r="SWB10" s="397"/>
      <c r="SWC10" s="397"/>
      <c r="SWD10" s="397"/>
      <c r="SWE10" s="397"/>
      <c r="SWF10" s="397"/>
      <c r="SWG10" s="397"/>
      <c r="SWH10" s="397"/>
      <c r="SWI10" s="397"/>
      <c r="SWJ10" s="397"/>
      <c r="SWK10" s="397"/>
      <c r="SWL10" s="397"/>
      <c r="SWM10" s="397"/>
      <c r="SWN10" s="397"/>
      <c r="SWO10" s="397"/>
      <c r="SWP10" s="397"/>
      <c r="SWQ10" s="397"/>
      <c r="SWR10" s="397"/>
      <c r="SWS10" s="397"/>
      <c r="SWT10" s="397"/>
      <c r="SWU10" s="397"/>
      <c r="SWV10" s="397"/>
      <c r="SWW10" s="397"/>
      <c r="SWX10" s="397"/>
      <c r="SWY10" s="397"/>
      <c r="SWZ10" s="397"/>
      <c r="SXA10" s="397"/>
      <c r="SXB10" s="397"/>
      <c r="SXC10" s="397"/>
      <c r="SXD10" s="397"/>
      <c r="SXE10" s="397"/>
      <c r="SXF10" s="397"/>
      <c r="SXG10" s="397"/>
      <c r="SXH10" s="397"/>
      <c r="SXI10" s="397"/>
      <c r="SXJ10" s="397"/>
      <c r="SXK10" s="397"/>
      <c r="SXL10" s="397"/>
      <c r="SXM10" s="397"/>
      <c r="SXN10" s="397"/>
      <c r="SXO10" s="397"/>
      <c r="SXP10" s="397"/>
      <c r="SXQ10" s="397"/>
      <c r="SXR10" s="397"/>
      <c r="SXS10" s="397"/>
      <c r="SXT10" s="397"/>
      <c r="SXU10" s="397"/>
      <c r="SXV10" s="397"/>
      <c r="SXW10" s="397"/>
      <c r="SXX10" s="397"/>
      <c r="SXY10" s="397"/>
      <c r="SXZ10" s="397"/>
      <c r="SYA10" s="397"/>
      <c r="SYB10" s="397"/>
      <c r="SYC10" s="397"/>
      <c r="SYD10" s="397"/>
      <c r="SYE10" s="397"/>
      <c r="SYF10" s="397"/>
      <c r="SYG10" s="397"/>
      <c r="SYH10" s="397"/>
      <c r="SYI10" s="397"/>
      <c r="SYJ10" s="397"/>
      <c r="SYK10" s="397"/>
      <c r="SYL10" s="397"/>
      <c r="SYM10" s="397"/>
      <c r="SYN10" s="397"/>
      <c r="SYO10" s="397"/>
      <c r="SYP10" s="397"/>
      <c r="SYQ10" s="397"/>
      <c r="SYR10" s="397"/>
      <c r="SYS10" s="397"/>
      <c r="SYT10" s="397"/>
      <c r="SYU10" s="397"/>
      <c r="SYV10" s="397"/>
      <c r="SYW10" s="397"/>
      <c r="SYX10" s="397"/>
      <c r="SYY10" s="397"/>
      <c r="SYZ10" s="397"/>
      <c r="SZA10" s="397"/>
      <c r="SZB10" s="397"/>
      <c r="SZC10" s="397"/>
      <c r="SZD10" s="397"/>
      <c r="SZE10" s="397"/>
      <c r="SZF10" s="397"/>
      <c r="SZG10" s="397"/>
      <c r="SZH10" s="397"/>
      <c r="SZI10" s="397"/>
      <c r="SZJ10" s="397"/>
      <c r="SZK10" s="397"/>
      <c r="SZL10" s="397"/>
      <c r="SZM10" s="397"/>
      <c r="SZN10" s="397"/>
      <c r="SZO10" s="397"/>
      <c r="SZP10" s="397"/>
      <c r="SZQ10" s="397"/>
      <c r="SZR10" s="397"/>
      <c r="SZS10" s="397"/>
      <c r="SZT10" s="397"/>
      <c r="SZU10" s="397"/>
      <c r="SZV10" s="397"/>
      <c r="SZW10" s="397"/>
      <c r="SZX10" s="397"/>
      <c r="SZY10" s="397"/>
      <c r="SZZ10" s="397"/>
      <c r="TAA10" s="397"/>
      <c r="TAB10" s="397"/>
      <c r="TAC10" s="397"/>
      <c r="TAD10" s="397"/>
      <c r="TAE10" s="397"/>
      <c r="TAF10" s="397"/>
      <c r="TAG10" s="397"/>
      <c r="TAH10" s="397"/>
      <c r="TAI10" s="397"/>
      <c r="TAJ10" s="397"/>
      <c r="TAK10" s="397"/>
      <c r="TAL10" s="397"/>
      <c r="TAM10" s="397"/>
      <c r="TAN10" s="397"/>
      <c r="TAO10" s="397"/>
      <c r="TAP10" s="397"/>
      <c r="TAQ10" s="397"/>
      <c r="TAR10" s="397"/>
      <c r="TAS10" s="397"/>
      <c r="TAT10" s="397"/>
      <c r="TAU10" s="397"/>
      <c r="TAV10" s="397"/>
      <c r="TAW10" s="397"/>
      <c r="TAX10" s="397"/>
      <c r="TAY10" s="397"/>
      <c r="TAZ10" s="397"/>
      <c r="TBA10" s="397"/>
      <c r="TBB10" s="397"/>
      <c r="TBC10" s="397"/>
      <c r="TBD10" s="397"/>
      <c r="TBE10" s="397"/>
      <c r="TBF10" s="397"/>
      <c r="TBG10" s="397"/>
      <c r="TBH10" s="397"/>
      <c r="TBI10" s="397"/>
      <c r="TBJ10" s="397"/>
      <c r="TBK10" s="397"/>
      <c r="TBL10" s="397"/>
      <c r="TBM10" s="397"/>
      <c r="TBN10" s="397"/>
      <c r="TBO10" s="397"/>
      <c r="TBP10" s="397"/>
      <c r="TBQ10" s="397"/>
      <c r="TBR10" s="397"/>
      <c r="TBS10" s="397"/>
      <c r="TBT10" s="397"/>
      <c r="TBU10" s="397"/>
      <c r="TBV10" s="397"/>
      <c r="TBW10" s="397"/>
      <c r="TBX10" s="397"/>
      <c r="TBY10" s="397"/>
      <c r="TBZ10" s="397"/>
      <c r="TCA10" s="397"/>
      <c r="TCB10" s="397"/>
      <c r="TCC10" s="397"/>
      <c r="TCD10" s="397"/>
      <c r="TCE10" s="397"/>
      <c r="TCF10" s="397"/>
      <c r="TCG10" s="397"/>
      <c r="TCH10" s="397"/>
      <c r="TCI10" s="397"/>
      <c r="TCJ10" s="397"/>
      <c r="TCK10" s="397"/>
      <c r="TCL10" s="397"/>
      <c r="TCM10" s="397"/>
      <c r="TCN10" s="397"/>
      <c r="TCO10" s="397"/>
      <c r="TCP10" s="397"/>
      <c r="TCQ10" s="397"/>
      <c r="TCR10" s="397"/>
      <c r="TCS10" s="397"/>
      <c r="TCT10" s="397"/>
      <c r="TCU10" s="397"/>
      <c r="TCV10" s="397"/>
      <c r="TCW10" s="397"/>
      <c r="TCX10" s="397"/>
      <c r="TCY10" s="397"/>
      <c r="TCZ10" s="397"/>
      <c r="TDA10" s="397"/>
      <c r="TDB10" s="397"/>
      <c r="TDC10" s="397"/>
      <c r="TDD10" s="397"/>
      <c r="TDE10" s="397"/>
      <c r="TDF10" s="397"/>
      <c r="TDG10" s="397"/>
      <c r="TDH10" s="397"/>
      <c r="TDI10" s="397"/>
      <c r="TDJ10" s="397"/>
      <c r="TDK10" s="397"/>
      <c r="TDL10" s="397"/>
      <c r="TDM10" s="397"/>
      <c r="TDN10" s="397"/>
      <c r="TDO10" s="397"/>
      <c r="TDP10" s="397"/>
      <c r="TDQ10" s="397"/>
      <c r="TDR10" s="397"/>
      <c r="TDS10" s="397"/>
      <c r="TDT10" s="397"/>
      <c r="TDU10" s="397"/>
      <c r="TDV10" s="397"/>
      <c r="TDW10" s="397"/>
      <c r="TDX10" s="397"/>
      <c r="TDY10" s="397"/>
      <c r="TDZ10" s="397"/>
      <c r="TEA10" s="397"/>
      <c r="TEB10" s="397"/>
      <c r="TEC10" s="397"/>
      <c r="TED10" s="397"/>
      <c r="TEE10" s="397"/>
      <c r="TEF10" s="397"/>
      <c r="TEG10" s="397"/>
      <c r="TEH10" s="397"/>
      <c r="TEI10" s="397"/>
      <c r="TEJ10" s="397"/>
      <c r="TEK10" s="397"/>
      <c r="TEL10" s="397"/>
      <c r="TEM10" s="397"/>
      <c r="TEN10" s="397"/>
      <c r="TEO10" s="397"/>
      <c r="TEP10" s="397"/>
      <c r="TEQ10" s="397"/>
      <c r="TER10" s="397"/>
      <c r="TES10" s="397"/>
      <c r="TET10" s="397"/>
      <c r="TEU10" s="397"/>
      <c r="TEV10" s="397"/>
      <c r="TEW10" s="397"/>
      <c r="TEX10" s="397"/>
      <c r="TEY10" s="397"/>
      <c r="TEZ10" s="397"/>
      <c r="TFA10" s="397"/>
      <c r="TFB10" s="397"/>
      <c r="TFC10" s="397"/>
      <c r="TFD10" s="397"/>
      <c r="TFE10" s="397"/>
      <c r="TFF10" s="397"/>
      <c r="TFG10" s="397"/>
      <c r="TFH10" s="397"/>
      <c r="TFI10" s="397"/>
      <c r="TFJ10" s="397"/>
      <c r="TFK10" s="397"/>
      <c r="TFL10" s="397"/>
      <c r="TFM10" s="397"/>
      <c r="TFN10" s="397"/>
      <c r="TFO10" s="397"/>
      <c r="TFP10" s="397"/>
      <c r="TFQ10" s="397"/>
      <c r="TFR10" s="397"/>
      <c r="TFS10" s="397"/>
      <c r="TFT10" s="397"/>
      <c r="TFU10" s="397"/>
      <c r="TFV10" s="397"/>
      <c r="TFW10" s="397"/>
      <c r="TFX10" s="397"/>
      <c r="TFY10" s="397"/>
      <c r="TFZ10" s="397"/>
      <c r="TGA10" s="397"/>
      <c r="TGB10" s="397"/>
      <c r="TGC10" s="397"/>
      <c r="TGD10" s="397"/>
      <c r="TGE10" s="397"/>
      <c r="TGF10" s="397"/>
      <c r="TGG10" s="397"/>
      <c r="TGH10" s="397"/>
      <c r="TGI10" s="397"/>
      <c r="TGJ10" s="397"/>
      <c r="TGK10" s="397"/>
      <c r="TGL10" s="397"/>
      <c r="TGM10" s="397"/>
      <c r="TGN10" s="397"/>
      <c r="TGO10" s="397"/>
      <c r="TGP10" s="397"/>
      <c r="TGQ10" s="397"/>
      <c r="TGR10" s="397"/>
      <c r="TGS10" s="397"/>
      <c r="TGT10" s="397"/>
      <c r="TGU10" s="397"/>
      <c r="TGV10" s="397"/>
      <c r="TGW10" s="397"/>
      <c r="TGX10" s="397"/>
      <c r="TGY10" s="397"/>
      <c r="TGZ10" s="397"/>
      <c r="THA10" s="397"/>
      <c r="THB10" s="397"/>
      <c r="THC10" s="397"/>
      <c r="THD10" s="397"/>
      <c r="THE10" s="397"/>
      <c r="THF10" s="397"/>
      <c r="THG10" s="397"/>
      <c r="THH10" s="397"/>
      <c r="THI10" s="397"/>
      <c r="THJ10" s="397"/>
      <c r="THK10" s="397"/>
      <c r="THL10" s="397"/>
      <c r="THM10" s="397"/>
      <c r="THN10" s="397"/>
      <c r="THO10" s="397"/>
      <c r="THP10" s="397"/>
      <c r="THQ10" s="397"/>
      <c r="THR10" s="397"/>
      <c r="THS10" s="397"/>
      <c r="THT10" s="397"/>
      <c r="THU10" s="397"/>
      <c r="THV10" s="397"/>
      <c r="THW10" s="397"/>
      <c r="THX10" s="397"/>
      <c r="THY10" s="397"/>
      <c r="THZ10" s="397"/>
      <c r="TIA10" s="397"/>
      <c r="TIB10" s="397"/>
      <c r="TIC10" s="397"/>
      <c r="TID10" s="397"/>
      <c r="TIE10" s="397"/>
      <c r="TIF10" s="397"/>
      <c r="TIG10" s="397"/>
      <c r="TIH10" s="397"/>
      <c r="TII10" s="397"/>
      <c r="TIJ10" s="397"/>
      <c r="TIK10" s="397"/>
      <c r="TIL10" s="397"/>
      <c r="TIM10" s="397"/>
      <c r="TIN10" s="397"/>
      <c r="TIO10" s="397"/>
      <c r="TIP10" s="397"/>
      <c r="TIQ10" s="397"/>
      <c r="TIR10" s="397"/>
      <c r="TIS10" s="397"/>
      <c r="TIT10" s="397"/>
      <c r="TIU10" s="397"/>
      <c r="TIV10" s="397"/>
      <c r="TIW10" s="397"/>
      <c r="TIX10" s="397"/>
      <c r="TIY10" s="397"/>
      <c r="TIZ10" s="397"/>
      <c r="TJA10" s="397"/>
      <c r="TJB10" s="397"/>
      <c r="TJC10" s="397"/>
      <c r="TJD10" s="397"/>
      <c r="TJE10" s="397"/>
      <c r="TJF10" s="397"/>
      <c r="TJG10" s="397"/>
      <c r="TJH10" s="397"/>
      <c r="TJI10" s="397"/>
      <c r="TJJ10" s="397"/>
      <c r="TJK10" s="397"/>
      <c r="TJL10" s="397"/>
      <c r="TJM10" s="397"/>
      <c r="TJN10" s="397"/>
      <c r="TJO10" s="397"/>
      <c r="TJP10" s="397"/>
      <c r="TJQ10" s="397"/>
      <c r="TJR10" s="397"/>
      <c r="TJS10" s="397"/>
      <c r="TJT10" s="397"/>
      <c r="TJU10" s="397"/>
      <c r="TJV10" s="397"/>
      <c r="TJW10" s="397"/>
      <c r="TJX10" s="397"/>
      <c r="TJY10" s="397"/>
      <c r="TJZ10" s="397"/>
      <c r="TKA10" s="397"/>
      <c r="TKB10" s="397"/>
      <c r="TKC10" s="397"/>
      <c r="TKD10" s="397"/>
      <c r="TKE10" s="397"/>
      <c r="TKF10" s="397"/>
      <c r="TKG10" s="397"/>
      <c r="TKH10" s="397"/>
      <c r="TKI10" s="397"/>
      <c r="TKJ10" s="397"/>
      <c r="TKK10" s="397"/>
      <c r="TKL10" s="397"/>
      <c r="TKM10" s="397"/>
      <c r="TKN10" s="397"/>
      <c r="TKO10" s="397"/>
      <c r="TKP10" s="397"/>
      <c r="TKQ10" s="397"/>
      <c r="TKR10" s="397"/>
      <c r="TKS10" s="397"/>
      <c r="TKT10" s="397"/>
      <c r="TKU10" s="397"/>
      <c r="TKV10" s="397"/>
      <c r="TKW10" s="397"/>
      <c r="TKX10" s="397"/>
      <c r="TKY10" s="397"/>
      <c r="TKZ10" s="397"/>
      <c r="TLA10" s="397"/>
      <c r="TLB10" s="397"/>
      <c r="TLC10" s="397"/>
      <c r="TLD10" s="397"/>
      <c r="TLE10" s="397"/>
      <c r="TLF10" s="397"/>
      <c r="TLG10" s="397"/>
      <c r="TLH10" s="397"/>
      <c r="TLI10" s="397"/>
      <c r="TLJ10" s="397"/>
      <c r="TLK10" s="397"/>
      <c r="TLL10" s="397"/>
      <c r="TLM10" s="397"/>
      <c r="TLN10" s="397"/>
      <c r="TLO10" s="397"/>
      <c r="TLP10" s="397"/>
      <c r="TLQ10" s="397"/>
      <c r="TLR10" s="397"/>
      <c r="TLS10" s="397"/>
      <c r="TLT10" s="397"/>
      <c r="TLU10" s="397"/>
      <c r="TLV10" s="397"/>
      <c r="TLW10" s="397"/>
      <c r="TLX10" s="397"/>
      <c r="TLY10" s="397"/>
      <c r="TLZ10" s="397"/>
      <c r="TMA10" s="397"/>
      <c r="TMB10" s="397"/>
      <c r="TMC10" s="397"/>
      <c r="TMD10" s="397"/>
      <c r="TME10" s="397"/>
      <c r="TMF10" s="397"/>
      <c r="TMG10" s="397"/>
      <c r="TMH10" s="397"/>
      <c r="TMI10" s="397"/>
      <c r="TMJ10" s="397"/>
      <c r="TMK10" s="397"/>
      <c r="TML10" s="397"/>
      <c r="TMM10" s="397"/>
      <c r="TMN10" s="397"/>
      <c r="TMO10" s="397"/>
      <c r="TMP10" s="397"/>
      <c r="TMQ10" s="397"/>
      <c r="TMR10" s="397"/>
      <c r="TMS10" s="397"/>
      <c r="TMT10" s="397"/>
      <c r="TMU10" s="397"/>
      <c r="TMV10" s="397"/>
      <c r="TMW10" s="397"/>
      <c r="TMX10" s="397"/>
      <c r="TMY10" s="397"/>
      <c r="TMZ10" s="397"/>
      <c r="TNA10" s="397"/>
      <c r="TNB10" s="397"/>
      <c r="TNC10" s="397"/>
      <c r="TND10" s="397"/>
      <c r="TNE10" s="397"/>
      <c r="TNF10" s="397"/>
      <c r="TNG10" s="397"/>
      <c r="TNH10" s="397"/>
      <c r="TNI10" s="397"/>
      <c r="TNJ10" s="397"/>
      <c r="TNK10" s="397"/>
      <c r="TNL10" s="397"/>
      <c r="TNM10" s="397"/>
      <c r="TNN10" s="397"/>
      <c r="TNO10" s="397"/>
      <c r="TNP10" s="397"/>
      <c r="TNQ10" s="397"/>
      <c r="TNR10" s="397"/>
      <c r="TNS10" s="397"/>
      <c r="TNT10" s="397"/>
      <c r="TNU10" s="397"/>
      <c r="TNV10" s="397"/>
      <c r="TNW10" s="397"/>
      <c r="TNX10" s="397"/>
      <c r="TNY10" s="397"/>
      <c r="TNZ10" s="397"/>
      <c r="TOA10" s="397"/>
      <c r="TOB10" s="397"/>
      <c r="TOC10" s="397"/>
      <c r="TOD10" s="397"/>
      <c r="TOE10" s="397"/>
      <c r="TOF10" s="397"/>
      <c r="TOG10" s="397"/>
      <c r="TOH10" s="397"/>
      <c r="TOI10" s="397"/>
      <c r="TOJ10" s="397"/>
      <c r="TOK10" s="397"/>
      <c r="TOL10" s="397"/>
      <c r="TOM10" s="397"/>
      <c r="TON10" s="397"/>
      <c r="TOO10" s="397"/>
      <c r="TOP10" s="397"/>
      <c r="TOQ10" s="397"/>
      <c r="TOR10" s="397"/>
      <c r="TOS10" s="397"/>
      <c r="TOT10" s="397"/>
      <c r="TOU10" s="397"/>
      <c r="TOV10" s="397"/>
      <c r="TOW10" s="397"/>
      <c r="TOX10" s="397"/>
      <c r="TOY10" s="397"/>
      <c r="TOZ10" s="397"/>
      <c r="TPA10" s="397"/>
      <c r="TPB10" s="397"/>
      <c r="TPC10" s="397"/>
      <c r="TPD10" s="397"/>
      <c r="TPE10" s="397"/>
      <c r="TPF10" s="397"/>
      <c r="TPG10" s="397"/>
      <c r="TPH10" s="397"/>
      <c r="TPI10" s="397"/>
      <c r="TPJ10" s="397"/>
      <c r="TPK10" s="397"/>
      <c r="TPL10" s="397"/>
      <c r="TPM10" s="397"/>
      <c r="TPN10" s="397"/>
      <c r="TPO10" s="397"/>
      <c r="TPP10" s="397"/>
      <c r="TPQ10" s="397"/>
      <c r="TPR10" s="397"/>
      <c r="TPS10" s="397"/>
      <c r="TPT10" s="397"/>
      <c r="TPU10" s="397"/>
      <c r="TPV10" s="397"/>
      <c r="TPW10" s="397"/>
      <c r="TPX10" s="397"/>
      <c r="TPY10" s="397"/>
      <c r="TPZ10" s="397"/>
      <c r="TQA10" s="397"/>
      <c r="TQB10" s="397"/>
      <c r="TQC10" s="397"/>
      <c r="TQD10" s="397"/>
      <c r="TQE10" s="397"/>
      <c r="TQF10" s="397"/>
      <c r="TQG10" s="397"/>
      <c r="TQH10" s="397"/>
      <c r="TQI10" s="397"/>
      <c r="TQJ10" s="397"/>
      <c r="TQK10" s="397"/>
      <c r="TQL10" s="397"/>
      <c r="TQM10" s="397"/>
      <c r="TQN10" s="397"/>
      <c r="TQO10" s="397"/>
      <c r="TQP10" s="397"/>
      <c r="TQQ10" s="397"/>
      <c r="TQR10" s="397"/>
      <c r="TQS10" s="397"/>
      <c r="TQT10" s="397"/>
      <c r="TQU10" s="397"/>
      <c r="TQV10" s="397"/>
      <c r="TQW10" s="397"/>
      <c r="TQX10" s="397"/>
      <c r="TQY10" s="397"/>
      <c r="TQZ10" s="397"/>
      <c r="TRA10" s="397"/>
      <c r="TRB10" s="397"/>
      <c r="TRC10" s="397"/>
      <c r="TRD10" s="397"/>
      <c r="TRE10" s="397"/>
      <c r="TRF10" s="397"/>
      <c r="TRG10" s="397"/>
      <c r="TRH10" s="397"/>
      <c r="TRI10" s="397"/>
      <c r="TRJ10" s="397"/>
      <c r="TRK10" s="397"/>
      <c r="TRL10" s="397"/>
      <c r="TRM10" s="397"/>
      <c r="TRN10" s="397"/>
      <c r="TRO10" s="397"/>
      <c r="TRP10" s="397"/>
      <c r="TRQ10" s="397"/>
      <c r="TRR10" s="397"/>
      <c r="TRS10" s="397"/>
      <c r="TRT10" s="397"/>
      <c r="TRU10" s="397"/>
      <c r="TRV10" s="397"/>
      <c r="TRW10" s="397"/>
      <c r="TRX10" s="397"/>
      <c r="TRY10" s="397"/>
      <c r="TRZ10" s="397"/>
      <c r="TSA10" s="397"/>
      <c r="TSB10" s="397"/>
      <c r="TSC10" s="397"/>
      <c r="TSD10" s="397"/>
      <c r="TSE10" s="397"/>
      <c r="TSF10" s="397"/>
      <c r="TSG10" s="397"/>
      <c r="TSH10" s="397"/>
      <c r="TSI10" s="397"/>
      <c r="TSJ10" s="397"/>
      <c r="TSK10" s="397"/>
      <c r="TSL10" s="397"/>
      <c r="TSM10" s="397"/>
      <c r="TSN10" s="397"/>
      <c r="TSO10" s="397"/>
      <c r="TSP10" s="397"/>
      <c r="TSQ10" s="397"/>
      <c r="TSR10" s="397"/>
      <c r="TSS10" s="397"/>
      <c r="TST10" s="397"/>
      <c r="TSU10" s="397"/>
      <c r="TSV10" s="397"/>
      <c r="TSW10" s="397"/>
      <c r="TSX10" s="397"/>
      <c r="TSY10" s="397"/>
      <c r="TSZ10" s="397"/>
      <c r="TTA10" s="397"/>
      <c r="TTB10" s="397"/>
      <c r="TTC10" s="397"/>
      <c r="TTD10" s="397"/>
      <c r="TTE10" s="397"/>
      <c r="TTF10" s="397"/>
      <c r="TTG10" s="397"/>
      <c r="TTH10" s="397"/>
      <c r="TTI10" s="397"/>
      <c r="TTJ10" s="397"/>
      <c r="TTK10" s="397"/>
      <c r="TTL10" s="397"/>
      <c r="TTM10" s="397"/>
      <c r="TTN10" s="397"/>
      <c r="TTO10" s="397"/>
      <c r="TTP10" s="397"/>
      <c r="TTQ10" s="397"/>
      <c r="TTR10" s="397"/>
      <c r="TTS10" s="397"/>
      <c r="TTT10" s="397"/>
      <c r="TTU10" s="397"/>
      <c r="TTV10" s="397"/>
      <c r="TTW10" s="397"/>
      <c r="TTX10" s="397"/>
      <c r="TTY10" s="397"/>
      <c r="TTZ10" s="397"/>
      <c r="TUA10" s="397"/>
      <c r="TUB10" s="397"/>
      <c r="TUC10" s="397"/>
      <c r="TUD10" s="397"/>
      <c r="TUE10" s="397"/>
      <c r="TUF10" s="397"/>
      <c r="TUG10" s="397"/>
      <c r="TUH10" s="397"/>
      <c r="TUI10" s="397"/>
      <c r="TUJ10" s="397"/>
      <c r="TUK10" s="397"/>
      <c r="TUL10" s="397"/>
      <c r="TUM10" s="397"/>
      <c r="TUN10" s="397"/>
      <c r="TUO10" s="397"/>
      <c r="TUP10" s="397"/>
      <c r="TUQ10" s="397"/>
      <c r="TUR10" s="397"/>
      <c r="TUS10" s="397"/>
      <c r="TUT10" s="397"/>
      <c r="TUU10" s="397"/>
      <c r="TUV10" s="397"/>
      <c r="TUW10" s="397"/>
      <c r="TUX10" s="397"/>
      <c r="TUY10" s="397"/>
      <c r="TUZ10" s="397"/>
      <c r="TVA10" s="397"/>
      <c r="TVB10" s="397"/>
      <c r="TVC10" s="397"/>
      <c r="TVD10" s="397"/>
      <c r="TVE10" s="397"/>
      <c r="TVF10" s="397"/>
      <c r="TVG10" s="397"/>
      <c r="TVH10" s="397"/>
      <c r="TVI10" s="397"/>
      <c r="TVJ10" s="397"/>
      <c r="TVK10" s="397"/>
      <c r="TVL10" s="397"/>
      <c r="TVM10" s="397"/>
      <c r="TVN10" s="397"/>
      <c r="TVO10" s="397"/>
      <c r="TVP10" s="397"/>
      <c r="TVQ10" s="397"/>
      <c r="TVR10" s="397"/>
      <c r="TVS10" s="397"/>
      <c r="TVT10" s="397"/>
      <c r="TVU10" s="397"/>
      <c r="TVV10" s="397"/>
      <c r="TVW10" s="397"/>
      <c r="TVX10" s="397"/>
      <c r="TVY10" s="397"/>
      <c r="TVZ10" s="397"/>
      <c r="TWA10" s="397"/>
      <c r="TWB10" s="397"/>
      <c r="TWC10" s="397"/>
      <c r="TWD10" s="397"/>
      <c r="TWE10" s="397"/>
      <c r="TWF10" s="397"/>
      <c r="TWG10" s="397"/>
      <c r="TWH10" s="397"/>
      <c r="TWI10" s="397"/>
      <c r="TWJ10" s="397"/>
      <c r="TWK10" s="397"/>
      <c r="TWL10" s="397"/>
      <c r="TWM10" s="397"/>
      <c r="TWN10" s="397"/>
      <c r="TWO10" s="397"/>
      <c r="TWP10" s="397"/>
      <c r="TWQ10" s="397"/>
      <c r="TWR10" s="397"/>
      <c r="TWS10" s="397"/>
      <c r="TWT10" s="397"/>
      <c r="TWU10" s="397"/>
      <c r="TWV10" s="397"/>
      <c r="TWW10" s="397"/>
      <c r="TWX10" s="397"/>
      <c r="TWY10" s="397"/>
      <c r="TWZ10" s="397"/>
      <c r="TXA10" s="397"/>
      <c r="TXB10" s="397"/>
      <c r="TXC10" s="397"/>
      <c r="TXD10" s="397"/>
      <c r="TXE10" s="397"/>
      <c r="TXF10" s="397"/>
      <c r="TXG10" s="397"/>
      <c r="TXH10" s="397"/>
      <c r="TXI10" s="397"/>
      <c r="TXJ10" s="397"/>
      <c r="TXK10" s="397"/>
      <c r="TXL10" s="397"/>
      <c r="TXM10" s="397"/>
      <c r="TXN10" s="397"/>
      <c r="TXO10" s="397"/>
      <c r="TXP10" s="397"/>
      <c r="TXQ10" s="397"/>
      <c r="TXR10" s="397"/>
      <c r="TXS10" s="397"/>
      <c r="TXT10" s="397"/>
      <c r="TXU10" s="397"/>
      <c r="TXV10" s="397"/>
      <c r="TXW10" s="397"/>
      <c r="TXX10" s="397"/>
      <c r="TXY10" s="397"/>
      <c r="TXZ10" s="397"/>
      <c r="TYA10" s="397"/>
      <c r="TYB10" s="397"/>
      <c r="TYC10" s="397"/>
      <c r="TYD10" s="397"/>
      <c r="TYE10" s="397"/>
      <c r="TYF10" s="397"/>
      <c r="TYG10" s="397"/>
      <c r="TYH10" s="397"/>
      <c r="TYI10" s="397"/>
      <c r="TYJ10" s="397"/>
      <c r="TYK10" s="397"/>
      <c r="TYL10" s="397"/>
      <c r="TYM10" s="397"/>
      <c r="TYN10" s="397"/>
      <c r="TYO10" s="397"/>
      <c r="TYP10" s="397"/>
      <c r="TYQ10" s="397"/>
      <c r="TYR10" s="397"/>
      <c r="TYS10" s="397"/>
      <c r="TYT10" s="397"/>
      <c r="TYU10" s="397"/>
      <c r="TYV10" s="397"/>
      <c r="TYW10" s="397"/>
      <c r="TYX10" s="397"/>
      <c r="TYY10" s="397"/>
      <c r="TYZ10" s="397"/>
      <c r="TZA10" s="397"/>
      <c r="TZB10" s="397"/>
      <c r="TZC10" s="397"/>
      <c r="TZD10" s="397"/>
      <c r="TZE10" s="397"/>
      <c r="TZF10" s="397"/>
      <c r="TZG10" s="397"/>
      <c r="TZH10" s="397"/>
      <c r="TZI10" s="397"/>
      <c r="TZJ10" s="397"/>
      <c r="TZK10" s="397"/>
      <c r="TZL10" s="397"/>
      <c r="TZM10" s="397"/>
      <c r="TZN10" s="397"/>
      <c r="TZO10" s="397"/>
      <c r="TZP10" s="397"/>
      <c r="TZQ10" s="397"/>
      <c r="TZR10" s="397"/>
      <c r="TZS10" s="397"/>
      <c r="TZT10" s="397"/>
      <c r="TZU10" s="397"/>
      <c r="TZV10" s="397"/>
      <c r="TZW10" s="397"/>
      <c r="TZX10" s="397"/>
      <c r="TZY10" s="397"/>
      <c r="TZZ10" s="397"/>
      <c r="UAA10" s="397"/>
      <c r="UAB10" s="397"/>
      <c r="UAC10" s="397"/>
      <c r="UAD10" s="397"/>
      <c r="UAE10" s="397"/>
      <c r="UAF10" s="397"/>
      <c r="UAG10" s="397"/>
      <c r="UAH10" s="397"/>
      <c r="UAI10" s="397"/>
      <c r="UAJ10" s="397"/>
      <c r="UAK10" s="397"/>
      <c r="UAL10" s="397"/>
      <c r="UAM10" s="397"/>
      <c r="UAN10" s="397"/>
      <c r="UAO10" s="397"/>
      <c r="UAP10" s="397"/>
      <c r="UAQ10" s="397"/>
      <c r="UAR10" s="397"/>
      <c r="UAS10" s="397"/>
      <c r="UAT10" s="397"/>
      <c r="UAU10" s="397"/>
      <c r="UAV10" s="397"/>
      <c r="UAW10" s="397"/>
      <c r="UAX10" s="397"/>
      <c r="UAY10" s="397"/>
      <c r="UAZ10" s="397"/>
      <c r="UBA10" s="397"/>
      <c r="UBB10" s="397"/>
      <c r="UBC10" s="397"/>
      <c r="UBD10" s="397"/>
      <c r="UBE10" s="397"/>
      <c r="UBF10" s="397"/>
      <c r="UBG10" s="397"/>
      <c r="UBH10" s="397"/>
      <c r="UBI10" s="397"/>
      <c r="UBJ10" s="397"/>
      <c r="UBK10" s="397"/>
      <c r="UBL10" s="397"/>
      <c r="UBM10" s="397"/>
      <c r="UBN10" s="397"/>
      <c r="UBO10" s="397"/>
      <c r="UBP10" s="397"/>
      <c r="UBQ10" s="397"/>
      <c r="UBR10" s="397"/>
      <c r="UBS10" s="397"/>
      <c r="UBT10" s="397"/>
      <c r="UBU10" s="397"/>
      <c r="UBV10" s="397"/>
      <c r="UBW10" s="397"/>
      <c r="UBX10" s="397"/>
      <c r="UBY10" s="397"/>
      <c r="UBZ10" s="397"/>
      <c r="UCA10" s="397"/>
      <c r="UCB10" s="397"/>
      <c r="UCC10" s="397"/>
      <c r="UCD10" s="397"/>
      <c r="UCE10" s="397"/>
      <c r="UCF10" s="397"/>
      <c r="UCG10" s="397"/>
      <c r="UCH10" s="397"/>
      <c r="UCI10" s="397"/>
      <c r="UCJ10" s="397"/>
      <c r="UCK10" s="397"/>
      <c r="UCL10" s="397"/>
      <c r="UCM10" s="397"/>
      <c r="UCN10" s="397"/>
      <c r="UCO10" s="397"/>
      <c r="UCP10" s="397"/>
      <c r="UCQ10" s="397"/>
      <c r="UCR10" s="397"/>
      <c r="UCS10" s="397"/>
      <c r="UCT10" s="397"/>
      <c r="UCU10" s="397"/>
      <c r="UCV10" s="397"/>
      <c r="UCW10" s="397"/>
      <c r="UCX10" s="397"/>
      <c r="UCY10" s="397"/>
      <c r="UCZ10" s="397"/>
      <c r="UDA10" s="397"/>
      <c r="UDB10" s="397"/>
      <c r="UDC10" s="397"/>
      <c r="UDD10" s="397"/>
      <c r="UDE10" s="397"/>
      <c r="UDF10" s="397"/>
      <c r="UDG10" s="397"/>
      <c r="UDH10" s="397"/>
      <c r="UDI10" s="397"/>
      <c r="UDJ10" s="397"/>
      <c r="UDK10" s="397"/>
      <c r="UDL10" s="397"/>
      <c r="UDM10" s="397"/>
      <c r="UDN10" s="397"/>
      <c r="UDO10" s="397"/>
      <c r="UDP10" s="397"/>
      <c r="UDQ10" s="397"/>
      <c r="UDR10" s="397"/>
      <c r="UDS10" s="397"/>
      <c r="UDT10" s="397"/>
      <c r="UDU10" s="397"/>
      <c r="UDV10" s="397"/>
      <c r="UDW10" s="397"/>
      <c r="UDX10" s="397"/>
      <c r="UDY10" s="397"/>
      <c r="UDZ10" s="397"/>
      <c r="UEA10" s="397"/>
      <c r="UEB10" s="397"/>
      <c r="UEC10" s="397"/>
      <c r="UED10" s="397"/>
      <c r="UEE10" s="397"/>
      <c r="UEF10" s="397"/>
      <c r="UEG10" s="397"/>
      <c r="UEH10" s="397"/>
      <c r="UEI10" s="397"/>
      <c r="UEJ10" s="397"/>
      <c r="UEK10" s="397"/>
      <c r="UEL10" s="397"/>
      <c r="UEM10" s="397"/>
      <c r="UEN10" s="397"/>
      <c r="UEO10" s="397"/>
      <c r="UEP10" s="397"/>
      <c r="UEQ10" s="397"/>
      <c r="UER10" s="397"/>
      <c r="UES10" s="397"/>
      <c r="UET10" s="397"/>
      <c r="UEU10" s="397"/>
      <c r="UEV10" s="397"/>
      <c r="UEW10" s="397"/>
      <c r="UEX10" s="397"/>
      <c r="UEY10" s="397"/>
      <c r="UEZ10" s="397"/>
      <c r="UFA10" s="397"/>
      <c r="UFB10" s="397"/>
      <c r="UFC10" s="397"/>
      <c r="UFD10" s="397"/>
      <c r="UFE10" s="397"/>
      <c r="UFF10" s="397"/>
      <c r="UFG10" s="397"/>
      <c r="UFH10" s="397"/>
      <c r="UFI10" s="397"/>
      <c r="UFJ10" s="397"/>
      <c r="UFK10" s="397"/>
      <c r="UFL10" s="397"/>
      <c r="UFM10" s="397"/>
      <c r="UFN10" s="397"/>
      <c r="UFO10" s="397"/>
      <c r="UFP10" s="397"/>
      <c r="UFQ10" s="397"/>
      <c r="UFR10" s="397"/>
      <c r="UFS10" s="397"/>
      <c r="UFT10" s="397"/>
      <c r="UFU10" s="397"/>
      <c r="UFV10" s="397"/>
      <c r="UFW10" s="397"/>
      <c r="UFX10" s="397"/>
      <c r="UFY10" s="397"/>
      <c r="UFZ10" s="397"/>
      <c r="UGA10" s="397"/>
      <c r="UGB10" s="397"/>
      <c r="UGC10" s="397"/>
      <c r="UGD10" s="397"/>
      <c r="UGE10" s="397"/>
      <c r="UGF10" s="397"/>
      <c r="UGG10" s="397"/>
      <c r="UGH10" s="397"/>
      <c r="UGI10" s="397"/>
      <c r="UGJ10" s="397"/>
      <c r="UGK10" s="397"/>
      <c r="UGL10" s="397"/>
      <c r="UGM10" s="397"/>
      <c r="UGN10" s="397"/>
      <c r="UGO10" s="397"/>
      <c r="UGP10" s="397"/>
      <c r="UGQ10" s="397"/>
      <c r="UGR10" s="397"/>
      <c r="UGS10" s="397"/>
      <c r="UGT10" s="397"/>
      <c r="UGU10" s="397"/>
      <c r="UGV10" s="397"/>
      <c r="UGW10" s="397"/>
      <c r="UGX10" s="397"/>
      <c r="UGY10" s="397"/>
      <c r="UGZ10" s="397"/>
      <c r="UHA10" s="397"/>
      <c r="UHB10" s="397"/>
      <c r="UHC10" s="397"/>
      <c r="UHD10" s="397"/>
      <c r="UHE10" s="397"/>
      <c r="UHF10" s="397"/>
      <c r="UHG10" s="397"/>
      <c r="UHH10" s="397"/>
      <c r="UHI10" s="397"/>
      <c r="UHJ10" s="397"/>
      <c r="UHK10" s="397"/>
      <c r="UHL10" s="397"/>
      <c r="UHM10" s="397"/>
      <c r="UHN10" s="397"/>
      <c r="UHO10" s="397"/>
      <c r="UHP10" s="397"/>
      <c r="UHQ10" s="397"/>
      <c r="UHR10" s="397"/>
      <c r="UHS10" s="397"/>
      <c r="UHT10" s="397"/>
      <c r="UHU10" s="397"/>
      <c r="UHV10" s="397"/>
      <c r="UHW10" s="397"/>
      <c r="UHX10" s="397"/>
      <c r="UHY10" s="397"/>
      <c r="UHZ10" s="397"/>
      <c r="UIA10" s="397"/>
      <c r="UIB10" s="397"/>
      <c r="UIC10" s="397"/>
      <c r="UID10" s="397"/>
      <c r="UIE10" s="397"/>
      <c r="UIF10" s="397"/>
      <c r="UIG10" s="397"/>
      <c r="UIH10" s="397"/>
      <c r="UII10" s="397"/>
      <c r="UIJ10" s="397"/>
      <c r="UIK10" s="397"/>
      <c r="UIL10" s="397"/>
      <c r="UIM10" s="397"/>
      <c r="UIN10" s="397"/>
      <c r="UIO10" s="397"/>
      <c r="UIP10" s="397"/>
      <c r="UIQ10" s="397"/>
      <c r="UIR10" s="397"/>
      <c r="UIS10" s="397"/>
      <c r="UIT10" s="397"/>
      <c r="UIU10" s="397"/>
      <c r="UIV10" s="397"/>
      <c r="UIW10" s="397"/>
      <c r="UIX10" s="397"/>
      <c r="UIY10" s="397"/>
      <c r="UIZ10" s="397"/>
      <c r="UJA10" s="397"/>
      <c r="UJB10" s="397"/>
      <c r="UJC10" s="397"/>
      <c r="UJD10" s="397"/>
      <c r="UJE10" s="397"/>
      <c r="UJF10" s="397"/>
      <c r="UJG10" s="397"/>
      <c r="UJH10" s="397"/>
      <c r="UJI10" s="397"/>
      <c r="UJJ10" s="397"/>
      <c r="UJK10" s="397"/>
      <c r="UJL10" s="397"/>
      <c r="UJM10" s="397"/>
      <c r="UJN10" s="397"/>
      <c r="UJO10" s="397"/>
      <c r="UJP10" s="397"/>
      <c r="UJQ10" s="397"/>
      <c r="UJR10" s="397"/>
      <c r="UJS10" s="397"/>
      <c r="UJT10" s="397"/>
      <c r="UJU10" s="397"/>
      <c r="UJV10" s="397"/>
      <c r="UJW10" s="397"/>
      <c r="UJX10" s="397"/>
      <c r="UJY10" s="397"/>
      <c r="UJZ10" s="397"/>
      <c r="UKA10" s="397"/>
      <c r="UKB10" s="397"/>
      <c r="UKC10" s="397"/>
      <c r="UKD10" s="397"/>
      <c r="UKE10" s="397"/>
      <c r="UKF10" s="397"/>
      <c r="UKG10" s="397"/>
      <c r="UKH10" s="397"/>
      <c r="UKI10" s="397"/>
      <c r="UKJ10" s="397"/>
      <c r="UKK10" s="397"/>
      <c r="UKL10" s="397"/>
      <c r="UKM10" s="397"/>
      <c r="UKN10" s="397"/>
      <c r="UKO10" s="397"/>
      <c r="UKP10" s="397"/>
      <c r="UKQ10" s="397"/>
      <c r="UKR10" s="397"/>
      <c r="UKS10" s="397"/>
      <c r="UKT10" s="397"/>
      <c r="UKU10" s="397"/>
      <c r="UKV10" s="397"/>
      <c r="UKW10" s="397"/>
      <c r="UKX10" s="397"/>
      <c r="UKY10" s="397"/>
      <c r="UKZ10" s="397"/>
      <c r="ULA10" s="397"/>
      <c r="ULB10" s="397"/>
      <c r="ULC10" s="397"/>
      <c r="ULD10" s="397"/>
      <c r="ULE10" s="397"/>
      <c r="ULF10" s="397"/>
      <c r="ULG10" s="397"/>
      <c r="ULH10" s="397"/>
      <c r="ULI10" s="397"/>
      <c r="ULJ10" s="397"/>
      <c r="ULK10" s="397"/>
      <c r="ULL10" s="397"/>
      <c r="ULM10" s="397"/>
      <c r="ULN10" s="397"/>
      <c r="ULO10" s="397"/>
      <c r="ULP10" s="397"/>
      <c r="ULQ10" s="397"/>
      <c r="ULR10" s="397"/>
      <c r="ULS10" s="397"/>
      <c r="ULT10" s="397"/>
      <c r="ULU10" s="397"/>
      <c r="ULV10" s="397"/>
      <c r="ULW10" s="397"/>
      <c r="ULX10" s="397"/>
      <c r="ULY10" s="397"/>
      <c r="ULZ10" s="397"/>
      <c r="UMA10" s="397"/>
      <c r="UMB10" s="397"/>
      <c r="UMC10" s="397"/>
      <c r="UMD10" s="397"/>
      <c r="UME10" s="397"/>
      <c r="UMF10" s="397"/>
      <c r="UMG10" s="397"/>
      <c r="UMH10" s="397"/>
      <c r="UMI10" s="397"/>
      <c r="UMJ10" s="397"/>
      <c r="UMK10" s="397"/>
      <c r="UML10" s="397"/>
      <c r="UMM10" s="397"/>
      <c r="UMN10" s="397"/>
      <c r="UMO10" s="397"/>
      <c r="UMP10" s="397"/>
      <c r="UMQ10" s="397"/>
      <c r="UMR10" s="397"/>
      <c r="UMS10" s="397"/>
      <c r="UMT10" s="397"/>
      <c r="UMU10" s="397"/>
      <c r="UMV10" s="397"/>
      <c r="UMW10" s="397"/>
      <c r="UMX10" s="397"/>
      <c r="UMY10" s="397"/>
      <c r="UMZ10" s="397"/>
      <c r="UNA10" s="397"/>
      <c r="UNB10" s="397"/>
      <c r="UNC10" s="397"/>
      <c r="UND10" s="397"/>
      <c r="UNE10" s="397"/>
      <c r="UNF10" s="397"/>
      <c r="UNG10" s="397"/>
      <c r="UNH10" s="397"/>
      <c r="UNI10" s="397"/>
      <c r="UNJ10" s="397"/>
      <c r="UNK10" s="397"/>
      <c r="UNL10" s="397"/>
      <c r="UNM10" s="397"/>
      <c r="UNN10" s="397"/>
      <c r="UNO10" s="397"/>
      <c r="UNP10" s="397"/>
      <c r="UNQ10" s="397"/>
      <c r="UNR10" s="397"/>
      <c r="UNS10" s="397"/>
      <c r="UNT10" s="397"/>
      <c r="UNU10" s="397"/>
      <c r="UNV10" s="397"/>
      <c r="UNW10" s="397"/>
      <c r="UNX10" s="397"/>
      <c r="UNY10" s="397"/>
      <c r="UNZ10" s="397"/>
      <c r="UOA10" s="397"/>
      <c r="UOB10" s="397"/>
      <c r="UOC10" s="397"/>
      <c r="UOD10" s="397"/>
      <c r="UOE10" s="397"/>
      <c r="UOF10" s="397"/>
      <c r="UOG10" s="397"/>
      <c r="UOH10" s="397"/>
      <c r="UOI10" s="397"/>
      <c r="UOJ10" s="397"/>
      <c r="UOK10" s="397"/>
      <c r="UOL10" s="397"/>
      <c r="UOM10" s="397"/>
      <c r="UON10" s="397"/>
      <c r="UOO10" s="397"/>
      <c r="UOP10" s="397"/>
      <c r="UOQ10" s="397"/>
      <c r="UOR10" s="397"/>
      <c r="UOS10" s="397"/>
      <c r="UOT10" s="397"/>
      <c r="UOU10" s="397"/>
      <c r="UOV10" s="397"/>
      <c r="UOW10" s="397"/>
      <c r="UOX10" s="397"/>
      <c r="UOY10" s="397"/>
      <c r="UOZ10" s="397"/>
      <c r="UPA10" s="397"/>
      <c r="UPB10" s="397"/>
      <c r="UPC10" s="397"/>
      <c r="UPD10" s="397"/>
      <c r="UPE10" s="397"/>
      <c r="UPF10" s="397"/>
      <c r="UPG10" s="397"/>
      <c r="UPH10" s="397"/>
      <c r="UPI10" s="397"/>
      <c r="UPJ10" s="397"/>
      <c r="UPK10" s="397"/>
      <c r="UPL10" s="397"/>
      <c r="UPM10" s="397"/>
      <c r="UPN10" s="397"/>
      <c r="UPO10" s="397"/>
      <c r="UPP10" s="397"/>
      <c r="UPQ10" s="397"/>
      <c r="UPR10" s="397"/>
      <c r="UPS10" s="397"/>
      <c r="UPT10" s="397"/>
      <c r="UPU10" s="397"/>
      <c r="UPV10" s="397"/>
      <c r="UPW10" s="397"/>
      <c r="UPX10" s="397"/>
      <c r="UPY10" s="397"/>
      <c r="UPZ10" s="397"/>
      <c r="UQA10" s="397"/>
      <c r="UQB10" s="397"/>
      <c r="UQC10" s="397"/>
      <c r="UQD10" s="397"/>
      <c r="UQE10" s="397"/>
      <c r="UQF10" s="397"/>
      <c r="UQG10" s="397"/>
      <c r="UQH10" s="397"/>
      <c r="UQI10" s="397"/>
      <c r="UQJ10" s="397"/>
      <c r="UQK10" s="397"/>
      <c r="UQL10" s="397"/>
      <c r="UQM10" s="397"/>
      <c r="UQN10" s="397"/>
      <c r="UQO10" s="397"/>
      <c r="UQP10" s="397"/>
      <c r="UQQ10" s="397"/>
      <c r="UQR10" s="397"/>
      <c r="UQS10" s="397"/>
      <c r="UQT10" s="397"/>
      <c r="UQU10" s="397"/>
      <c r="UQV10" s="397"/>
      <c r="UQW10" s="397"/>
      <c r="UQX10" s="397"/>
      <c r="UQY10" s="397"/>
      <c r="UQZ10" s="397"/>
      <c r="URA10" s="397"/>
      <c r="URB10" s="397"/>
      <c r="URC10" s="397"/>
      <c r="URD10" s="397"/>
      <c r="URE10" s="397"/>
      <c r="URF10" s="397"/>
      <c r="URG10" s="397"/>
      <c r="URH10" s="397"/>
      <c r="URI10" s="397"/>
      <c r="URJ10" s="397"/>
      <c r="URK10" s="397"/>
      <c r="URL10" s="397"/>
      <c r="URM10" s="397"/>
      <c r="URN10" s="397"/>
      <c r="URO10" s="397"/>
      <c r="URP10" s="397"/>
      <c r="URQ10" s="397"/>
      <c r="URR10" s="397"/>
      <c r="URS10" s="397"/>
      <c r="URT10" s="397"/>
      <c r="URU10" s="397"/>
      <c r="URV10" s="397"/>
      <c r="URW10" s="397"/>
      <c r="URX10" s="397"/>
      <c r="URY10" s="397"/>
      <c r="URZ10" s="397"/>
      <c r="USA10" s="397"/>
      <c r="USB10" s="397"/>
      <c r="USC10" s="397"/>
      <c r="USD10" s="397"/>
      <c r="USE10" s="397"/>
      <c r="USF10" s="397"/>
      <c r="USG10" s="397"/>
      <c r="USH10" s="397"/>
      <c r="USI10" s="397"/>
      <c r="USJ10" s="397"/>
      <c r="USK10" s="397"/>
      <c r="USL10" s="397"/>
      <c r="USM10" s="397"/>
      <c r="USN10" s="397"/>
      <c r="USO10" s="397"/>
      <c r="USP10" s="397"/>
      <c r="USQ10" s="397"/>
      <c r="USR10" s="397"/>
      <c r="USS10" s="397"/>
      <c r="UST10" s="397"/>
      <c r="USU10" s="397"/>
      <c r="USV10" s="397"/>
      <c r="USW10" s="397"/>
      <c r="USX10" s="397"/>
      <c r="USY10" s="397"/>
      <c r="USZ10" s="397"/>
      <c r="UTA10" s="397"/>
      <c r="UTB10" s="397"/>
      <c r="UTC10" s="397"/>
      <c r="UTD10" s="397"/>
      <c r="UTE10" s="397"/>
      <c r="UTF10" s="397"/>
      <c r="UTG10" s="397"/>
      <c r="UTH10" s="397"/>
      <c r="UTI10" s="397"/>
      <c r="UTJ10" s="397"/>
      <c r="UTK10" s="397"/>
      <c r="UTL10" s="397"/>
      <c r="UTM10" s="397"/>
      <c r="UTN10" s="397"/>
      <c r="UTO10" s="397"/>
      <c r="UTP10" s="397"/>
      <c r="UTQ10" s="397"/>
      <c r="UTR10" s="397"/>
      <c r="UTS10" s="397"/>
      <c r="UTT10" s="397"/>
      <c r="UTU10" s="397"/>
      <c r="UTV10" s="397"/>
      <c r="UTW10" s="397"/>
      <c r="UTX10" s="397"/>
      <c r="UTY10" s="397"/>
      <c r="UTZ10" s="397"/>
      <c r="UUA10" s="397"/>
      <c r="UUB10" s="397"/>
      <c r="UUC10" s="397"/>
      <c r="UUD10" s="397"/>
      <c r="UUE10" s="397"/>
      <c r="UUF10" s="397"/>
      <c r="UUG10" s="397"/>
      <c r="UUH10" s="397"/>
      <c r="UUI10" s="397"/>
      <c r="UUJ10" s="397"/>
      <c r="UUK10" s="397"/>
      <c r="UUL10" s="397"/>
      <c r="UUM10" s="397"/>
      <c r="UUN10" s="397"/>
      <c r="UUO10" s="397"/>
      <c r="UUP10" s="397"/>
      <c r="UUQ10" s="397"/>
      <c r="UUR10" s="397"/>
      <c r="UUS10" s="397"/>
      <c r="UUT10" s="397"/>
      <c r="UUU10" s="397"/>
      <c r="UUV10" s="397"/>
      <c r="UUW10" s="397"/>
      <c r="UUX10" s="397"/>
      <c r="UUY10" s="397"/>
      <c r="UUZ10" s="397"/>
      <c r="UVA10" s="397"/>
      <c r="UVB10" s="397"/>
      <c r="UVC10" s="397"/>
      <c r="UVD10" s="397"/>
      <c r="UVE10" s="397"/>
      <c r="UVF10" s="397"/>
      <c r="UVG10" s="397"/>
      <c r="UVH10" s="397"/>
      <c r="UVI10" s="397"/>
      <c r="UVJ10" s="397"/>
      <c r="UVK10" s="397"/>
      <c r="UVL10" s="397"/>
      <c r="UVM10" s="397"/>
      <c r="UVN10" s="397"/>
      <c r="UVO10" s="397"/>
      <c r="UVP10" s="397"/>
      <c r="UVQ10" s="397"/>
      <c r="UVR10" s="397"/>
      <c r="UVS10" s="397"/>
      <c r="UVT10" s="397"/>
      <c r="UVU10" s="397"/>
      <c r="UVV10" s="397"/>
      <c r="UVW10" s="397"/>
      <c r="UVX10" s="397"/>
      <c r="UVY10" s="397"/>
      <c r="UVZ10" s="397"/>
      <c r="UWA10" s="397"/>
      <c r="UWB10" s="397"/>
      <c r="UWC10" s="397"/>
      <c r="UWD10" s="397"/>
      <c r="UWE10" s="397"/>
      <c r="UWF10" s="397"/>
      <c r="UWG10" s="397"/>
      <c r="UWH10" s="397"/>
      <c r="UWI10" s="397"/>
      <c r="UWJ10" s="397"/>
      <c r="UWK10" s="397"/>
      <c r="UWL10" s="397"/>
      <c r="UWM10" s="397"/>
      <c r="UWN10" s="397"/>
      <c r="UWO10" s="397"/>
      <c r="UWP10" s="397"/>
      <c r="UWQ10" s="397"/>
      <c r="UWR10" s="397"/>
      <c r="UWS10" s="397"/>
      <c r="UWT10" s="397"/>
      <c r="UWU10" s="397"/>
      <c r="UWV10" s="397"/>
      <c r="UWW10" s="397"/>
      <c r="UWX10" s="397"/>
      <c r="UWY10" s="397"/>
      <c r="UWZ10" s="397"/>
      <c r="UXA10" s="397"/>
      <c r="UXB10" s="397"/>
      <c r="UXC10" s="397"/>
      <c r="UXD10" s="397"/>
      <c r="UXE10" s="397"/>
      <c r="UXF10" s="397"/>
      <c r="UXG10" s="397"/>
      <c r="UXH10" s="397"/>
      <c r="UXI10" s="397"/>
      <c r="UXJ10" s="397"/>
      <c r="UXK10" s="397"/>
      <c r="UXL10" s="397"/>
      <c r="UXM10" s="397"/>
      <c r="UXN10" s="397"/>
      <c r="UXO10" s="397"/>
      <c r="UXP10" s="397"/>
      <c r="UXQ10" s="397"/>
      <c r="UXR10" s="397"/>
      <c r="UXS10" s="397"/>
      <c r="UXT10" s="397"/>
      <c r="UXU10" s="397"/>
      <c r="UXV10" s="397"/>
      <c r="UXW10" s="397"/>
      <c r="UXX10" s="397"/>
      <c r="UXY10" s="397"/>
      <c r="UXZ10" s="397"/>
      <c r="UYA10" s="397"/>
      <c r="UYB10" s="397"/>
      <c r="UYC10" s="397"/>
      <c r="UYD10" s="397"/>
      <c r="UYE10" s="397"/>
      <c r="UYF10" s="397"/>
      <c r="UYG10" s="397"/>
      <c r="UYH10" s="397"/>
      <c r="UYI10" s="397"/>
      <c r="UYJ10" s="397"/>
      <c r="UYK10" s="397"/>
      <c r="UYL10" s="397"/>
      <c r="UYM10" s="397"/>
      <c r="UYN10" s="397"/>
      <c r="UYO10" s="397"/>
      <c r="UYP10" s="397"/>
      <c r="UYQ10" s="397"/>
      <c r="UYR10" s="397"/>
      <c r="UYS10" s="397"/>
      <c r="UYT10" s="397"/>
      <c r="UYU10" s="397"/>
      <c r="UYV10" s="397"/>
      <c r="UYW10" s="397"/>
      <c r="UYX10" s="397"/>
      <c r="UYY10" s="397"/>
      <c r="UYZ10" s="397"/>
      <c r="UZA10" s="397"/>
      <c r="UZB10" s="397"/>
      <c r="UZC10" s="397"/>
      <c r="UZD10" s="397"/>
      <c r="UZE10" s="397"/>
      <c r="UZF10" s="397"/>
      <c r="UZG10" s="397"/>
      <c r="UZH10" s="397"/>
      <c r="UZI10" s="397"/>
      <c r="UZJ10" s="397"/>
      <c r="UZK10" s="397"/>
      <c r="UZL10" s="397"/>
      <c r="UZM10" s="397"/>
      <c r="UZN10" s="397"/>
      <c r="UZO10" s="397"/>
      <c r="UZP10" s="397"/>
      <c r="UZQ10" s="397"/>
      <c r="UZR10" s="397"/>
      <c r="UZS10" s="397"/>
      <c r="UZT10" s="397"/>
      <c r="UZU10" s="397"/>
      <c r="UZV10" s="397"/>
      <c r="UZW10" s="397"/>
      <c r="UZX10" s="397"/>
      <c r="UZY10" s="397"/>
      <c r="UZZ10" s="397"/>
      <c r="VAA10" s="397"/>
      <c r="VAB10" s="397"/>
      <c r="VAC10" s="397"/>
      <c r="VAD10" s="397"/>
      <c r="VAE10" s="397"/>
      <c r="VAF10" s="397"/>
      <c r="VAG10" s="397"/>
      <c r="VAH10" s="397"/>
      <c r="VAI10" s="397"/>
      <c r="VAJ10" s="397"/>
      <c r="VAK10" s="397"/>
      <c r="VAL10" s="397"/>
      <c r="VAM10" s="397"/>
      <c r="VAN10" s="397"/>
      <c r="VAO10" s="397"/>
      <c r="VAP10" s="397"/>
      <c r="VAQ10" s="397"/>
      <c r="VAR10" s="397"/>
      <c r="VAS10" s="397"/>
      <c r="VAT10" s="397"/>
      <c r="VAU10" s="397"/>
      <c r="VAV10" s="397"/>
      <c r="VAW10" s="397"/>
      <c r="VAX10" s="397"/>
      <c r="VAY10" s="397"/>
      <c r="VAZ10" s="397"/>
      <c r="VBA10" s="397"/>
      <c r="VBB10" s="397"/>
      <c r="VBC10" s="397"/>
      <c r="VBD10" s="397"/>
      <c r="VBE10" s="397"/>
      <c r="VBF10" s="397"/>
      <c r="VBG10" s="397"/>
      <c r="VBH10" s="397"/>
      <c r="VBI10" s="397"/>
      <c r="VBJ10" s="397"/>
      <c r="VBK10" s="397"/>
      <c r="VBL10" s="397"/>
      <c r="VBM10" s="397"/>
      <c r="VBN10" s="397"/>
      <c r="VBO10" s="397"/>
      <c r="VBP10" s="397"/>
      <c r="VBQ10" s="397"/>
      <c r="VBR10" s="397"/>
      <c r="VBS10" s="397"/>
      <c r="VBT10" s="397"/>
      <c r="VBU10" s="397"/>
      <c r="VBV10" s="397"/>
      <c r="VBW10" s="397"/>
      <c r="VBX10" s="397"/>
      <c r="VBY10" s="397"/>
      <c r="VBZ10" s="397"/>
      <c r="VCA10" s="397"/>
      <c r="VCB10" s="397"/>
      <c r="VCC10" s="397"/>
      <c r="VCD10" s="397"/>
      <c r="VCE10" s="397"/>
      <c r="VCF10" s="397"/>
      <c r="VCG10" s="397"/>
      <c r="VCH10" s="397"/>
      <c r="VCI10" s="397"/>
      <c r="VCJ10" s="397"/>
      <c r="VCK10" s="397"/>
      <c r="VCL10" s="397"/>
      <c r="VCM10" s="397"/>
      <c r="VCN10" s="397"/>
      <c r="VCO10" s="397"/>
      <c r="VCP10" s="397"/>
      <c r="VCQ10" s="397"/>
      <c r="VCR10" s="397"/>
      <c r="VCS10" s="397"/>
      <c r="VCT10" s="397"/>
      <c r="VCU10" s="397"/>
      <c r="VCV10" s="397"/>
      <c r="VCW10" s="397"/>
      <c r="VCX10" s="397"/>
      <c r="VCY10" s="397"/>
      <c r="VCZ10" s="397"/>
      <c r="VDA10" s="397"/>
      <c r="VDB10" s="397"/>
      <c r="VDC10" s="397"/>
      <c r="VDD10" s="397"/>
      <c r="VDE10" s="397"/>
      <c r="VDF10" s="397"/>
      <c r="VDG10" s="397"/>
      <c r="VDH10" s="397"/>
      <c r="VDI10" s="397"/>
      <c r="VDJ10" s="397"/>
      <c r="VDK10" s="397"/>
      <c r="VDL10" s="397"/>
      <c r="VDM10" s="397"/>
      <c r="VDN10" s="397"/>
      <c r="VDO10" s="397"/>
      <c r="VDP10" s="397"/>
      <c r="VDQ10" s="397"/>
      <c r="VDR10" s="397"/>
      <c r="VDS10" s="397"/>
      <c r="VDT10" s="397"/>
      <c r="VDU10" s="397"/>
      <c r="VDV10" s="397"/>
      <c r="VDW10" s="397"/>
      <c r="VDX10" s="397"/>
      <c r="VDY10" s="397"/>
      <c r="VDZ10" s="397"/>
      <c r="VEA10" s="397"/>
      <c r="VEB10" s="397"/>
      <c r="VEC10" s="397"/>
      <c r="VED10" s="397"/>
      <c r="VEE10" s="397"/>
      <c r="VEF10" s="397"/>
      <c r="VEG10" s="397"/>
      <c r="VEH10" s="397"/>
      <c r="VEI10" s="397"/>
      <c r="VEJ10" s="397"/>
      <c r="VEK10" s="397"/>
      <c r="VEL10" s="397"/>
      <c r="VEM10" s="397"/>
      <c r="VEN10" s="397"/>
      <c r="VEO10" s="397"/>
      <c r="VEP10" s="397"/>
      <c r="VEQ10" s="397"/>
      <c r="VER10" s="397"/>
      <c r="VES10" s="397"/>
      <c r="VET10" s="397"/>
      <c r="VEU10" s="397"/>
      <c r="VEV10" s="397"/>
      <c r="VEW10" s="397"/>
      <c r="VEX10" s="397"/>
      <c r="VEY10" s="397"/>
      <c r="VEZ10" s="397"/>
      <c r="VFA10" s="397"/>
      <c r="VFB10" s="397"/>
      <c r="VFC10" s="397"/>
      <c r="VFD10" s="397"/>
      <c r="VFE10" s="397"/>
      <c r="VFF10" s="397"/>
      <c r="VFG10" s="397"/>
      <c r="VFH10" s="397"/>
      <c r="VFI10" s="397"/>
      <c r="VFJ10" s="397"/>
      <c r="VFK10" s="397"/>
      <c r="VFL10" s="397"/>
      <c r="VFM10" s="397"/>
      <c r="VFN10" s="397"/>
      <c r="VFO10" s="397"/>
      <c r="VFP10" s="397"/>
      <c r="VFQ10" s="397"/>
      <c r="VFR10" s="397"/>
      <c r="VFS10" s="397"/>
      <c r="VFT10" s="397"/>
      <c r="VFU10" s="397"/>
      <c r="VFV10" s="397"/>
      <c r="VFW10" s="397"/>
      <c r="VFX10" s="397"/>
      <c r="VFY10" s="397"/>
      <c r="VFZ10" s="397"/>
      <c r="VGA10" s="397"/>
      <c r="VGB10" s="397"/>
      <c r="VGC10" s="397"/>
      <c r="VGD10" s="397"/>
      <c r="VGE10" s="397"/>
      <c r="VGF10" s="397"/>
      <c r="VGG10" s="397"/>
      <c r="VGH10" s="397"/>
      <c r="VGI10" s="397"/>
      <c r="VGJ10" s="397"/>
      <c r="VGK10" s="397"/>
      <c r="VGL10" s="397"/>
      <c r="VGM10" s="397"/>
      <c r="VGN10" s="397"/>
      <c r="VGO10" s="397"/>
      <c r="VGP10" s="397"/>
      <c r="VGQ10" s="397"/>
      <c r="VGR10" s="397"/>
      <c r="VGS10" s="397"/>
      <c r="VGT10" s="397"/>
      <c r="VGU10" s="397"/>
      <c r="VGV10" s="397"/>
      <c r="VGW10" s="397"/>
      <c r="VGX10" s="397"/>
      <c r="VGY10" s="397"/>
      <c r="VGZ10" s="397"/>
      <c r="VHA10" s="397"/>
      <c r="VHB10" s="397"/>
      <c r="VHC10" s="397"/>
      <c r="VHD10" s="397"/>
      <c r="VHE10" s="397"/>
      <c r="VHF10" s="397"/>
      <c r="VHG10" s="397"/>
      <c r="VHH10" s="397"/>
      <c r="VHI10" s="397"/>
      <c r="VHJ10" s="397"/>
      <c r="VHK10" s="397"/>
      <c r="VHL10" s="397"/>
      <c r="VHM10" s="397"/>
      <c r="VHN10" s="397"/>
      <c r="VHO10" s="397"/>
      <c r="VHP10" s="397"/>
      <c r="VHQ10" s="397"/>
      <c r="VHR10" s="397"/>
      <c r="VHS10" s="397"/>
      <c r="VHT10" s="397"/>
      <c r="VHU10" s="397"/>
      <c r="VHV10" s="397"/>
      <c r="VHW10" s="397"/>
      <c r="VHX10" s="397"/>
      <c r="VHY10" s="397"/>
      <c r="VHZ10" s="397"/>
      <c r="VIA10" s="397"/>
      <c r="VIB10" s="397"/>
      <c r="VIC10" s="397"/>
      <c r="VID10" s="397"/>
      <c r="VIE10" s="397"/>
      <c r="VIF10" s="397"/>
      <c r="VIG10" s="397"/>
      <c r="VIH10" s="397"/>
      <c r="VII10" s="397"/>
      <c r="VIJ10" s="397"/>
      <c r="VIK10" s="397"/>
      <c r="VIL10" s="397"/>
      <c r="VIM10" s="397"/>
      <c r="VIN10" s="397"/>
      <c r="VIO10" s="397"/>
      <c r="VIP10" s="397"/>
      <c r="VIQ10" s="397"/>
      <c r="VIR10" s="397"/>
      <c r="VIS10" s="397"/>
      <c r="VIT10" s="397"/>
      <c r="VIU10" s="397"/>
      <c r="VIV10" s="397"/>
      <c r="VIW10" s="397"/>
      <c r="VIX10" s="397"/>
      <c r="VIY10" s="397"/>
      <c r="VIZ10" s="397"/>
      <c r="VJA10" s="397"/>
      <c r="VJB10" s="397"/>
      <c r="VJC10" s="397"/>
      <c r="VJD10" s="397"/>
      <c r="VJE10" s="397"/>
      <c r="VJF10" s="397"/>
      <c r="VJG10" s="397"/>
      <c r="VJH10" s="397"/>
      <c r="VJI10" s="397"/>
      <c r="VJJ10" s="397"/>
      <c r="VJK10" s="397"/>
      <c r="VJL10" s="397"/>
      <c r="VJM10" s="397"/>
      <c r="VJN10" s="397"/>
      <c r="VJO10" s="397"/>
      <c r="VJP10" s="397"/>
      <c r="VJQ10" s="397"/>
      <c r="VJR10" s="397"/>
      <c r="VJS10" s="397"/>
      <c r="VJT10" s="397"/>
      <c r="VJU10" s="397"/>
      <c r="VJV10" s="397"/>
      <c r="VJW10" s="397"/>
      <c r="VJX10" s="397"/>
      <c r="VJY10" s="397"/>
      <c r="VJZ10" s="397"/>
      <c r="VKA10" s="397"/>
      <c r="VKB10" s="397"/>
      <c r="VKC10" s="397"/>
      <c r="VKD10" s="397"/>
      <c r="VKE10" s="397"/>
      <c r="VKF10" s="397"/>
      <c r="VKG10" s="397"/>
      <c r="VKH10" s="397"/>
      <c r="VKI10" s="397"/>
      <c r="VKJ10" s="397"/>
      <c r="VKK10" s="397"/>
      <c r="VKL10" s="397"/>
      <c r="VKM10" s="397"/>
      <c r="VKN10" s="397"/>
      <c r="VKO10" s="397"/>
      <c r="VKP10" s="397"/>
      <c r="VKQ10" s="397"/>
      <c r="VKR10" s="397"/>
      <c r="VKS10" s="397"/>
      <c r="VKT10" s="397"/>
      <c r="VKU10" s="397"/>
      <c r="VKV10" s="397"/>
      <c r="VKW10" s="397"/>
      <c r="VKX10" s="397"/>
      <c r="VKY10" s="397"/>
      <c r="VKZ10" s="397"/>
      <c r="VLA10" s="397"/>
      <c r="VLB10" s="397"/>
      <c r="VLC10" s="397"/>
      <c r="VLD10" s="397"/>
      <c r="VLE10" s="397"/>
      <c r="VLF10" s="397"/>
      <c r="VLG10" s="397"/>
      <c r="VLH10" s="397"/>
      <c r="VLI10" s="397"/>
      <c r="VLJ10" s="397"/>
      <c r="VLK10" s="397"/>
      <c r="VLL10" s="397"/>
      <c r="VLM10" s="397"/>
      <c r="VLN10" s="397"/>
      <c r="VLO10" s="397"/>
      <c r="VLP10" s="397"/>
      <c r="VLQ10" s="397"/>
      <c r="VLR10" s="397"/>
      <c r="VLS10" s="397"/>
      <c r="VLT10" s="397"/>
      <c r="VLU10" s="397"/>
      <c r="VLV10" s="397"/>
      <c r="VLW10" s="397"/>
      <c r="VLX10" s="397"/>
      <c r="VLY10" s="397"/>
      <c r="VLZ10" s="397"/>
      <c r="VMA10" s="397"/>
      <c r="VMB10" s="397"/>
      <c r="VMC10" s="397"/>
      <c r="VMD10" s="397"/>
      <c r="VME10" s="397"/>
      <c r="VMF10" s="397"/>
      <c r="VMG10" s="397"/>
      <c r="VMH10" s="397"/>
      <c r="VMI10" s="397"/>
      <c r="VMJ10" s="397"/>
      <c r="VMK10" s="397"/>
      <c r="VML10" s="397"/>
      <c r="VMM10" s="397"/>
      <c r="VMN10" s="397"/>
      <c r="VMO10" s="397"/>
      <c r="VMP10" s="397"/>
      <c r="VMQ10" s="397"/>
      <c r="VMR10" s="397"/>
      <c r="VMS10" s="397"/>
      <c r="VMT10" s="397"/>
      <c r="VMU10" s="397"/>
      <c r="VMV10" s="397"/>
      <c r="VMW10" s="397"/>
      <c r="VMX10" s="397"/>
      <c r="VMY10" s="397"/>
      <c r="VMZ10" s="397"/>
      <c r="VNA10" s="397"/>
      <c r="VNB10" s="397"/>
      <c r="VNC10" s="397"/>
      <c r="VND10" s="397"/>
      <c r="VNE10" s="397"/>
      <c r="VNF10" s="397"/>
      <c r="VNG10" s="397"/>
      <c r="VNH10" s="397"/>
      <c r="VNI10" s="397"/>
      <c r="VNJ10" s="397"/>
      <c r="VNK10" s="397"/>
      <c r="VNL10" s="397"/>
      <c r="VNM10" s="397"/>
      <c r="VNN10" s="397"/>
      <c r="VNO10" s="397"/>
      <c r="VNP10" s="397"/>
      <c r="VNQ10" s="397"/>
      <c r="VNR10" s="397"/>
      <c r="VNS10" s="397"/>
      <c r="VNT10" s="397"/>
      <c r="VNU10" s="397"/>
      <c r="VNV10" s="397"/>
      <c r="VNW10" s="397"/>
      <c r="VNX10" s="397"/>
      <c r="VNY10" s="397"/>
      <c r="VNZ10" s="397"/>
      <c r="VOA10" s="397"/>
      <c r="VOB10" s="397"/>
      <c r="VOC10" s="397"/>
      <c r="VOD10" s="397"/>
      <c r="VOE10" s="397"/>
      <c r="VOF10" s="397"/>
      <c r="VOG10" s="397"/>
      <c r="VOH10" s="397"/>
      <c r="VOI10" s="397"/>
      <c r="VOJ10" s="397"/>
      <c r="VOK10" s="397"/>
      <c r="VOL10" s="397"/>
      <c r="VOM10" s="397"/>
      <c r="VON10" s="397"/>
      <c r="VOO10" s="397"/>
      <c r="VOP10" s="397"/>
      <c r="VOQ10" s="397"/>
      <c r="VOR10" s="397"/>
      <c r="VOS10" s="397"/>
      <c r="VOT10" s="397"/>
      <c r="VOU10" s="397"/>
      <c r="VOV10" s="397"/>
      <c r="VOW10" s="397"/>
      <c r="VOX10" s="397"/>
      <c r="VOY10" s="397"/>
      <c r="VOZ10" s="397"/>
      <c r="VPA10" s="397"/>
      <c r="VPB10" s="397"/>
      <c r="VPC10" s="397"/>
      <c r="VPD10" s="397"/>
      <c r="VPE10" s="397"/>
      <c r="VPF10" s="397"/>
      <c r="VPG10" s="397"/>
      <c r="VPH10" s="397"/>
      <c r="VPI10" s="397"/>
      <c r="VPJ10" s="397"/>
      <c r="VPK10" s="397"/>
      <c r="VPL10" s="397"/>
      <c r="VPM10" s="397"/>
      <c r="VPN10" s="397"/>
      <c r="VPO10" s="397"/>
      <c r="VPP10" s="397"/>
      <c r="VPQ10" s="397"/>
      <c r="VPR10" s="397"/>
      <c r="VPS10" s="397"/>
      <c r="VPT10" s="397"/>
      <c r="VPU10" s="397"/>
      <c r="VPV10" s="397"/>
      <c r="VPW10" s="397"/>
      <c r="VPX10" s="397"/>
      <c r="VPY10" s="397"/>
      <c r="VPZ10" s="397"/>
      <c r="VQA10" s="397"/>
      <c r="VQB10" s="397"/>
      <c r="VQC10" s="397"/>
      <c r="VQD10" s="397"/>
      <c r="VQE10" s="397"/>
      <c r="VQF10" s="397"/>
      <c r="VQG10" s="397"/>
      <c r="VQH10" s="397"/>
      <c r="VQI10" s="397"/>
      <c r="VQJ10" s="397"/>
      <c r="VQK10" s="397"/>
      <c r="VQL10" s="397"/>
      <c r="VQM10" s="397"/>
      <c r="VQN10" s="397"/>
      <c r="VQO10" s="397"/>
      <c r="VQP10" s="397"/>
      <c r="VQQ10" s="397"/>
      <c r="VQR10" s="397"/>
      <c r="VQS10" s="397"/>
      <c r="VQT10" s="397"/>
      <c r="VQU10" s="397"/>
      <c r="VQV10" s="397"/>
      <c r="VQW10" s="397"/>
      <c r="VQX10" s="397"/>
      <c r="VQY10" s="397"/>
      <c r="VQZ10" s="397"/>
      <c r="VRA10" s="397"/>
      <c r="VRB10" s="397"/>
      <c r="VRC10" s="397"/>
      <c r="VRD10" s="397"/>
      <c r="VRE10" s="397"/>
      <c r="VRF10" s="397"/>
      <c r="VRG10" s="397"/>
      <c r="VRH10" s="397"/>
      <c r="VRI10" s="397"/>
      <c r="VRJ10" s="397"/>
      <c r="VRK10" s="397"/>
      <c r="VRL10" s="397"/>
      <c r="VRM10" s="397"/>
      <c r="VRN10" s="397"/>
      <c r="VRO10" s="397"/>
      <c r="VRP10" s="397"/>
      <c r="VRQ10" s="397"/>
      <c r="VRR10" s="397"/>
      <c r="VRS10" s="397"/>
      <c r="VRT10" s="397"/>
      <c r="VRU10" s="397"/>
      <c r="VRV10" s="397"/>
      <c r="VRW10" s="397"/>
      <c r="VRX10" s="397"/>
      <c r="VRY10" s="397"/>
      <c r="VRZ10" s="397"/>
      <c r="VSA10" s="397"/>
      <c r="VSB10" s="397"/>
      <c r="VSC10" s="397"/>
      <c r="VSD10" s="397"/>
      <c r="VSE10" s="397"/>
      <c r="VSF10" s="397"/>
      <c r="VSG10" s="397"/>
      <c r="VSH10" s="397"/>
      <c r="VSI10" s="397"/>
      <c r="VSJ10" s="397"/>
      <c r="VSK10" s="397"/>
      <c r="VSL10" s="397"/>
      <c r="VSM10" s="397"/>
      <c r="VSN10" s="397"/>
      <c r="VSO10" s="397"/>
      <c r="VSP10" s="397"/>
      <c r="VSQ10" s="397"/>
      <c r="VSR10" s="397"/>
      <c r="VSS10" s="397"/>
      <c r="VST10" s="397"/>
      <c r="VSU10" s="397"/>
      <c r="VSV10" s="397"/>
      <c r="VSW10" s="397"/>
      <c r="VSX10" s="397"/>
      <c r="VSY10" s="397"/>
      <c r="VSZ10" s="397"/>
      <c r="VTA10" s="397"/>
      <c r="VTB10" s="397"/>
      <c r="VTC10" s="397"/>
      <c r="VTD10" s="397"/>
      <c r="VTE10" s="397"/>
      <c r="VTF10" s="397"/>
      <c r="VTG10" s="397"/>
      <c r="VTH10" s="397"/>
      <c r="VTI10" s="397"/>
      <c r="VTJ10" s="397"/>
      <c r="VTK10" s="397"/>
      <c r="VTL10" s="397"/>
      <c r="VTM10" s="397"/>
      <c r="VTN10" s="397"/>
      <c r="VTO10" s="397"/>
      <c r="VTP10" s="397"/>
      <c r="VTQ10" s="397"/>
      <c r="VTR10" s="397"/>
      <c r="VTS10" s="397"/>
      <c r="VTT10" s="397"/>
      <c r="VTU10" s="397"/>
      <c r="VTV10" s="397"/>
      <c r="VTW10" s="397"/>
      <c r="VTX10" s="397"/>
      <c r="VTY10" s="397"/>
      <c r="VTZ10" s="397"/>
      <c r="VUA10" s="397"/>
      <c r="VUB10" s="397"/>
      <c r="VUC10" s="397"/>
      <c r="VUD10" s="397"/>
      <c r="VUE10" s="397"/>
      <c r="VUF10" s="397"/>
      <c r="VUG10" s="397"/>
      <c r="VUH10" s="397"/>
      <c r="VUI10" s="397"/>
      <c r="VUJ10" s="397"/>
      <c r="VUK10" s="397"/>
      <c r="VUL10" s="397"/>
      <c r="VUM10" s="397"/>
      <c r="VUN10" s="397"/>
      <c r="VUO10" s="397"/>
      <c r="VUP10" s="397"/>
      <c r="VUQ10" s="397"/>
      <c r="VUR10" s="397"/>
      <c r="VUS10" s="397"/>
      <c r="VUT10" s="397"/>
      <c r="VUU10" s="397"/>
      <c r="VUV10" s="397"/>
      <c r="VUW10" s="397"/>
      <c r="VUX10" s="397"/>
      <c r="VUY10" s="397"/>
      <c r="VUZ10" s="397"/>
      <c r="VVA10" s="397"/>
      <c r="VVB10" s="397"/>
      <c r="VVC10" s="397"/>
      <c r="VVD10" s="397"/>
      <c r="VVE10" s="397"/>
      <c r="VVF10" s="397"/>
      <c r="VVG10" s="397"/>
      <c r="VVH10" s="397"/>
      <c r="VVI10" s="397"/>
      <c r="VVJ10" s="397"/>
      <c r="VVK10" s="397"/>
      <c r="VVL10" s="397"/>
      <c r="VVM10" s="397"/>
      <c r="VVN10" s="397"/>
      <c r="VVO10" s="397"/>
      <c r="VVP10" s="397"/>
      <c r="VVQ10" s="397"/>
      <c r="VVR10" s="397"/>
      <c r="VVS10" s="397"/>
      <c r="VVT10" s="397"/>
      <c r="VVU10" s="397"/>
      <c r="VVV10" s="397"/>
      <c r="VVW10" s="397"/>
      <c r="VVX10" s="397"/>
      <c r="VVY10" s="397"/>
      <c r="VVZ10" s="397"/>
      <c r="VWA10" s="397"/>
      <c r="VWB10" s="397"/>
      <c r="VWC10" s="397"/>
      <c r="VWD10" s="397"/>
      <c r="VWE10" s="397"/>
      <c r="VWF10" s="397"/>
      <c r="VWG10" s="397"/>
      <c r="VWH10" s="397"/>
      <c r="VWI10" s="397"/>
      <c r="VWJ10" s="397"/>
      <c r="VWK10" s="397"/>
      <c r="VWL10" s="397"/>
      <c r="VWM10" s="397"/>
      <c r="VWN10" s="397"/>
      <c r="VWO10" s="397"/>
      <c r="VWP10" s="397"/>
      <c r="VWQ10" s="397"/>
      <c r="VWR10" s="397"/>
      <c r="VWS10" s="397"/>
      <c r="VWT10" s="397"/>
      <c r="VWU10" s="397"/>
      <c r="VWV10" s="397"/>
      <c r="VWW10" s="397"/>
      <c r="VWX10" s="397"/>
      <c r="VWY10" s="397"/>
      <c r="VWZ10" s="397"/>
      <c r="VXA10" s="397"/>
      <c r="VXB10" s="397"/>
      <c r="VXC10" s="397"/>
      <c r="VXD10" s="397"/>
      <c r="VXE10" s="397"/>
      <c r="VXF10" s="397"/>
      <c r="VXG10" s="397"/>
      <c r="VXH10" s="397"/>
      <c r="VXI10" s="397"/>
      <c r="VXJ10" s="397"/>
      <c r="VXK10" s="397"/>
      <c r="VXL10" s="397"/>
      <c r="VXM10" s="397"/>
      <c r="VXN10" s="397"/>
      <c r="VXO10" s="397"/>
      <c r="VXP10" s="397"/>
      <c r="VXQ10" s="397"/>
      <c r="VXR10" s="397"/>
      <c r="VXS10" s="397"/>
      <c r="VXT10" s="397"/>
      <c r="VXU10" s="397"/>
      <c r="VXV10" s="397"/>
      <c r="VXW10" s="397"/>
      <c r="VXX10" s="397"/>
      <c r="VXY10" s="397"/>
      <c r="VXZ10" s="397"/>
      <c r="VYA10" s="397"/>
      <c r="VYB10" s="397"/>
      <c r="VYC10" s="397"/>
      <c r="VYD10" s="397"/>
      <c r="VYE10" s="397"/>
      <c r="VYF10" s="397"/>
      <c r="VYG10" s="397"/>
      <c r="VYH10" s="397"/>
      <c r="VYI10" s="397"/>
      <c r="VYJ10" s="397"/>
      <c r="VYK10" s="397"/>
      <c r="VYL10" s="397"/>
      <c r="VYM10" s="397"/>
      <c r="VYN10" s="397"/>
      <c r="VYO10" s="397"/>
      <c r="VYP10" s="397"/>
      <c r="VYQ10" s="397"/>
      <c r="VYR10" s="397"/>
      <c r="VYS10" s="397"/>
      <c r="VYT10" s="397"/>
      <c r="VYU10" s="397"/>
      <c r="VYV10" s="397"/>
      <c r="VYW10" s="397"/>
      <c r="VYX10" s="397"/>
      <c r="VYY10" s="397"/>
      <c r="VYZ10" s="397"/>
      <c r="VZA10" s="397"/>
      <c r="VZB10" s="397"/>
      <c r="VZC10" s="397"/>
      <c r="VZD10" s="397"/>
      <c r="VZE10" s="397"/>
      <c r="VZF10" s="397"/>
      <c r="VZG10" s="397"/>
      <c r="VZH10" s="397"/>
      <c r="VZI10" s="397"/>
      <c r="VZJ10" s="397"/>
      <c r="VZK10" s="397"/>
      <c r="VZL10" s="397"/>
      <c r="VZM10" s="397"/>
      <c r="VZN10" s="397"/>
      <c r="VZO10" s="397"/>
      <c r="VZP10" s="397"/>
      <c r="VZQ10" s="397"/>
      <c r="VZR10" s="397"/>
      <c r="VZS10" s="397"/>
      <c r="VZT10" s="397"/>
      <c r="VZU10" s="397"/>
      <c r="VZV10" s="397"/>
      <c r="VZW10" s="397"/>
      <c r="VZX10" s="397"/>
      <c r="VZY10" s="397"/>
      <c r="VZZ10" s="397"/>
      <c r="WAA10" s="397"/>
      <c r="WAB10" s="397"/>
      <c r="WAC10" s="397"/>
      <c r="WAD10" s="397"/>
      <c r="WAE10" s="397"/>
      <c r="WAF10" s="397"/>
      <c r="WAG10" s="397"/>
      <c r="WAH10" s="397"/>
      <c r="WAI10" s="397"/>
      <c r="WAJ10" s="397"/>
      <c r="WAK10" s="397"/>
      <c r="WAL10" s="397"/>
      <c r="WAM10" s="397"/>
      <c r="WAN10" s="397"/>
      <c r="WAO10" s="397"/>
      <c r="WAP10" s="397"/>
      <c r="WAQ10" s="397"/>
      <c r="WAR10" s="397"/>
      <c r="WAS10" s="397"/>
      <c r="WAT10" s="397"/>
      <c r="WAU10" s="397"/>
      <c r="WAV10" s="397"/>
      <c r="WAW10" s="397"/>
      <c r="WAX10" s="397"/>
      <c r="WAY10" s="397"/>
      <c r="WAZ10" s="397"/>
      <c r="WBA10" s="397"/>
      <c r="WBB10" s="397"/>
      <c r="WBC10" s="397"/>
      <c r="WBD10" s="397"/>
      <c r="WBE10" s="397"/>
      <c r="WBF10" s="397"/>
      <c r="WBG10" s="397"/>
      <c r="WBH10" s="397"/>
      <c r="WBI10" s="397"/>
      <c r="WBJ10" s="397"/>
      <c r="WBK10" s="397"/>
      <c r="WBL10" s="397"/>
      <c r="WBM10" s="397"/>
      <c r="WBN10" s="397"/>
      <c r="WBO10" s="397"/>
      <c r="WBP10" s="397"/>
      <c r="WBQ10" s="397"/>
      <c r="WBR10" s="397"/>
      <c r="WBS10" s="397"/>
      <c r="WBT10" s="397"/>
      <c r="WBU10" s="397"/>
      <c r="WBV10" s="397"/>
      <c r="WBW10" s="397"/>
      <c r="WBX10" s="397"/>
      <c r="WBY10" s="397"/>
      <c r="WBZ10" s="397"/>
      <c r="WCA10" s="397"/>
      <c r="WCB10" s="397"/>
      <c r="WCC10" s="397"/>
      <c r="WCD10" s="397"/>
      <c r="WCE10" s="397"/>
      <c r="WCF10" s="397"/>
      <c r="WCG10" s="397"/>
      <c r="WCH10" s="397"/>
      <c r="WCI10" s="397"/>
      <c r="WCJ10" s="397"/>
      <c r="WCK10" s="397"/>
      <c r="WCL10" s="397"/>
      <c r="WCM10" s="397"/>
      <c r="WCN10" s="397"/>
      <c r="WCO10" s="397"/>
      <c r="WCP10" s="397"/>
      <c r="WCQ10" s="397"/>
      <c r="WCR10" s="397"/>
      <c r="WCS10" s="397"/>
      <c r="WCT10" s="397"/>
      <c r="WCU10" s="397"/>
      <c r="WCV10" s="397"/>
      <c r="WCW10" s="397"/>
      <c r="WCX10" s="397"/>
      <c r="WCY10" s="397"/>
      <c r="WCZ10" s="397"/>
      <c r="WDA10" s="397"/>
      <c r="WDB10" s="397"/>
      <c r="WDC10" s="397"/>
      <c r="WDD10" s="397"/>
      <c r="WDE10" s="397"/>
      <c r="WDF10" s="397"/>
      <c r="WDG10" s="397"/>
      <c r="WDH10" s="397"/>
      <c r="WDI10" s="397"/>
      <c r="WDJ10" s="397"/>
      <c r="WDK10" s="397"/>
      <c r="WDL10" s="397"/>
      <c r="WDM10" s="397"/>
      <c r="WDN10" s="397"/>
      <c r="WDO10" s="397"/>
      <c r="WDP10" s="397"/>
      <c r="WDQ10" s="397"/>
      <c r="WDR10" s="397"/>
      <c r="WDS10" s="397"/>
      <c r="WDT10" s="397"/>
      <c r="WDU10" s="397"/>
      <c r="WDV10" s="397"/>
      <c r="WDW10" s="397"/>
      <c r="WDX10" s="397"/>
      <c r="WDY10" s="397"/>
      <c r="WDZ10" s="397"/>
      <c r="WEA10" s="397"/>
      <c r="WEB10" s="397"/>
      <c r="WEC10" s="397"/>
      <c r="WED10" s="397"/>
      <c r="WEE10" s="397"/>
      <c r="WEF10" s="397"/>
      <c r="WEG10" s="397"/>
      <c r="WEH10" s="397"/>
      <c r="WEI10" s="397"/>
      <c r="WEJ10" s="397"/>
      <c r="WEK10" s="397"/>
      <c r="WEL10" s="397"/>
      <c r="WEM10" s="397"/>
      <c r="WEN10" s="397"/>
      <c r="WEO10" s="397"/>
      <c r="WEP10" s="397"/>
      <c r="WEQ10" s="397"/>
      <c r="WER10" s="397"/>
      <c r="WES10" s="397"/>
      <c r="WET10" s="397"/>
      <c r="WEU10" s="397"/>
      <c r="WEV10" s="397"/>
      <c r="WEW10" s="397"/>
      <c r="WEX10" s="397"/>
      <c r="WEY10" s="397"/>
      <c r="WEZ10" s="397"/>
      <c r="WFA10" s="397"/>
      <c r="WFB10" s="397"/>
      <c r="WFC10" s="397"/>
      <c r="WFD10" s="397"/>
      <c r="WFE10" s="397"/>
      <c r="WFF10" s="397"/>
      <c r="WFG10" s="397"/>
      <c r="WFH10" s="397"/>
      <c r="WFI10" s="397"/>
      <c r="WFJ10" s="397"/>
      <c r="WFK10" s="397"/>
      <c r="WFL10" s="397"/>
      <c r="WFM10" s="397"/>
      <c r="WFN10" s="397"/>
      <c r="WFO10" s="397"/>
      <c r="WFP10" s="397"/>
      <c r="WFQ10" s="397"/>
      <c r="WFR10" s="397"/>
      <c r="WFS10" s="397"/>
      <c r="WFT10" s="397"/>
      <c r="WFU10" s="397"/>
      <c r="WFV10" s="397"/>
      <c r="WFW10" s="397"/>
      <c r="WFX10" s="397"/>
      <c r="WFY10" s="397"/>
      <c r="WFZ10" s="397"/>
      <c r="WGA10" s="397"/>
      <c r="WGB10" s="397"/>
      <c r="WGC10" s="397"/>
      <c r="WGD10" s="397"/>
      <c r="WGE10" s="397"/>
      <c r="WGF10" s="397"/>
      <c r="WGG10" s="397"/>
      <c r="WGH10" s="397"/>
      <c r="WGI10" s="397"/>
      <c r="WGJ10" s="397"/>
      <c r="WGK10" s="397"/>
      <c r="WGL10" s="397"/>
      <c r="WGM10" s="397"/>
      <c r="WGN10" s="397"/>
      <c r="WGO10" s="397"/>
      <c r="WGP10" s="397"/>
      <c r="WGQ10" s="397"/>
      <c r="WGR10" s="397"/>
      <c r="WGS10" s="397"/>
      <c r="WGT10" s="397"/>
      <c r="WGU10" s="397"/>
      <c r="WGV10" s="397"/>
      <c r="WGW10" s="397"/>
      <c r="WGX10" s="397"/>
      <c r="WGY10" s="397"/>
      <c r="WGZ10" s="397"/>
      <c r="WHA10" s="397"/>
      <c r="WHB10" s="397"/>
      <c r="WHC10" s="397"/>
      <c r="WHD10" s="397"/>
      <c r="WHE10" s="397"/>
      <c r="WHF10" s="397"/>
      <c r="WHG10" s="397"/>
      <c r="WHH10" s="397"/>
      <c r="WHI10" s="397"/>
      <c r="WHJ10" s="397"/>
      <c r="WHK10" s="397"/>
      <c r="WHL10" s="397"/>
      <c r="WHM10" s="397"/>
      <c r="WHN10" s="397"/>
      <c r="WHO10" s="397"/>
      <c r="WHP10" s="397"/>
      <c r="WHQ10" s="397"/>
      <c r="WHR10" s="397"/>
      <c r="WHS10" s="397"/>
      <c r="WHT10" s="397"/>
      <c r="WHU10" s="397"/>
      <c r="WHV10" s="397"/>
      <c r="WHW10" s="397"/>
      <c r="WHX10" s="397"/>
      <c r="WHY10" s="397"/>
      <c r="WHZ10" s="397"/>
      <c r="WIA10" s="397"/>
      <c r="WIB10" s="397"/>
      <c r="WIC10" s="397"/>
      <c r="WID10" s="397"/>
      <c r="WIE10" s="397"/>
      <c r="WIF10" s="397"/>
      <c r="WIG10" s="397"/>
      <c r="WIH10" s="397"/>
      <c r="WII10" s="397"/>
      <c r="WIJ10" s="397"/>
      <c r="WIK10" s="397"/>
      <c r="WIL10" s="397"/>
      <c r="WIM10" s="397"/>
      <c r="WIN10" s="397"/>
      <c r="WIO10" s="397"/>
      <c r="WIP10" s="397"/>
      <c r="WIQ10" s="397"/>
      <c r="WIR10" s="397"/>
      <c r="WIS10" s="397"/>
      <c r="WIT10" s="397"/>
      <c r="WIU10" s="397"/>
      <c r="WIV10" s="397"/>
      <c r="WIW10" s="397"/>
      <c r="WIX10" s="397"/>
      <c r="WIY10" s="397"/>
      <c r="WIZ10" s="397"/>
      <c r="WJA10" s="397"/>
      <c r="WJB10" s="397"/>
      <c r="WJC10" s="397"/>
      <c r="WJD10" s="397"/>
      <c r="WJE10" s="397"/>
      <c r="WJF10" s="397"/>
      <c r="WJG10" s="397"/>
      <c r="WJH10" s="397"/>
      <c r="WJI10" s="397"/>
      <c r="WJJ10" s="397"/>
      <c r="WJK10" s="397"/>
      <c r="WJL10" s="397"/>
      <c r="WJM10" s="397"/>
      <c r="WJN10" s="397"/>
      <c r="WJO10" s="397"/>
      <c r="WJP10" s="397"/>
      <c r="WJQ10" s="397"/>
      <c r="WJR10" s="397"/>
      <c r="WJS10" s="397"/>
      <c r="WJT10" s="397"/>
      <c r="WJU10" s="397"/>
      <c r="WJV10" s="397"/>
      <c r="WJW10" s="397"/>
      <c r="WJX10" s="397"/>
      <c r="WJY10" s="397"/>
      <c r="WJZ10" s="397"/>
      <c r="WKA10" s="397"/>
      <c r="WKB10" s="397"/>
      <c r="WKC10" s="397"/>
      <c r="WKD10" s="397"/>
      <c r="WKE10" s="397"/>
      <c r="WKF10" s="397"/>
      <c r="WKG10" s="397"/>
      <c r="WKH10" s="397"/>
      <c r="WKI10" s="397"/>
      <c r="WKJ10" s="397"/>
      <c r="WKK10" s="397"/>
      <c r="WKL10" s="397"/>
      <c r="WKM10" s="397"/>
      <c r="WKN10" s="397"/>
      <c r="WKO10" s="397"/>
      <c r="WKP10" s="397"/>
      <c r="WKQ10" s="397"/>
      <c r="WKR10" s="397"/>
      <c r="WKS10" s="397"/>
      <c r="WKT10" s="397"/>
      <c r="WKU10" s="397"/>
      <c r="WKV10" s="397"/>
      <c r="WKW10" s="397"/>
      <c r="WKX10" s="397"/>
      <c r="WKY10" s="397"/>
      <c r="WKZ10" s="397"/>
      <c r="WLA10" s="397"/>
      <c r="WLB10" s="397"/>
      <c r="WLC10" s="397"/>
      <c r="WLD10" s="397"/>
      <c r="WLE10" s="397"/>
      <c r="WLF10" s="397"/>
      <c r="WLG10" s="397"/>
      <c r="WLH10" s="397"/>
      <c r="WLI10" s="397"/>
      <c r="WLJ10" s="397"/>
      <c r="WLK10" s="397"/>
      <c r="WLL10" s="397"/>
      <c r="WLM10" s="397"/>
      <c r="WLN10" s="397"/>
      <c r="WLO10" s="397"/>
      <c r="WLP10" s="397"/>
      <c r="WLQ10" s="397"/>
      <c r="WLR10" s="397"/>
      <c r="WLS10" s="397"/>
      <c r="WLT10" s="397"/>
      <c r="WLU10" s="397"/>
      <c r="WLV10" s="397"/>
      <c r="WLW10" s="397"/>
      <c r="WLX10" s="397"/>
      <c r="WLY10" s="397"/>
      <c r="WLZ10" s="397"/>
      <c r="WMA10" s="397"/>
      <c r="WMB10" s="397"/>
      <c r="WMC10" s="397"/>
      <c r="WMD10" s="397"/>
      <c r="WME10" s="397"/>
      <c r="WMF10" s="397"/>
      <c r="WMG10" s="397"/>
      <c r="WMH10" s="397"/>
      <c r="WMI10" s="397"/>
      <c r="WMJ10" s="397"/>
      <c r="WMK10" s="397"/>
      <c r="WML10" s="397"/>
      <c r="WMM10" s="397"/>
      <c r="WMN10" s="397"/>
      <c r="WMO10" s="397"/>
      <c r="WMP10" s="397"/>
      <c r="WMQ10" s="397"/>
      <c r="WMR10" s="397"/>
      <c r="WMS10" s="397"/>
      <c r="WMT10" s="397"/>
      <c r="WMU10" s="397"/>
      <c r="WMV10" s="397"/>
      <c r="WMW10" s="397"/>
      <c r="WMX10" s="397"/>
      <c r="WMY10" s="397"/>
      <c r="WMZ10" s="397"/>
      <c r="WNA10" s="397"/>
      <c r="WNB10" s="397"/>
      <c r="WNC10" s="397"/>
      <c r="WND10" s="397"/>
      <c r="WNE10" s="397"/>
      <c r="WNF10" s="397"/>
      <c r="WNG10" s="397"/>
      <c r="WNH10" s="397"/>
      <c r="WNI10" s="397"/>
      <c r="WNJ10" s="397"/>
      <c r="WNK10" s="397"/>
      <c r="WNL10" s="397"/>
      <c r="WNM10" s="397"/>
      <c r="WNN10" s="397"/>
      <c r="WNO10" s="397"/>
      <c r="WNP10" s="397"/>
      <c r="WNQ10" s="397"/>
      <c r="WNR10" s="397"/>
      <c r="WNS10" s="397"/>
      <c r="WNT10" s="397"/>
      <c r="WNU10" s="397"/>
      <c r="WNV10" s="397"/>
      <c r="WNW10" s="397"/>
      <c r="WNX10" s="397"/>
      <c r="WNY10" s="397"/>
      <c r="WNZ10" s="397"/>
      <c r="WOA10" s="397"/>
      <c r="WOB10" s="397"/>
      <c r="WOC10" s="397"/>
      <c r="WOD10" s="397"/>
      <c r="WOE10" s="397"/>
      <c r="WOF10" s="397"/>
      <c r="WOG10" s="397"/>
      <c r="WOH10" s="397"/>
      <c r="WOI10" s="397"/>
      <c r="WOJ10" s="397"/>
      <c r="WOK10" s="397"/>
      <c r="WOL10" s="397"/>
      <c r="WOM10" s="397"/>
      <c r="WON10" s="397"/>
      <c r="WOO10" s="397"/>
      <c r="WOP10" s="397"/>
      <c r="WOQ10" s="397"/>
      <c r="WOR10" s="397"/>
      <c r="WOS10" s="397"/>
      <c r="WOT10" s="397"/>
      <c r="WOU10" s="397"/>
      <c r="WOV10" s="397"/>
      <c r="WOW10" s="397"/>
      <c r="WOX10" s="397"/>
      <c r="WOY10" s="397"/>
      <c r="WOZ10" s="397"/>
      <c r="WPA10" s="397"/>
      <c r="WPB10" s="397"/>
      <c r="WPC10" s="397"/>
      <c r="WPD10" s="397"/>
      <c r="WPE10" s="397"/>
      <c r="WPF10" s="397"/>
      <c r="WPG10" s="397"/>
      <c r="WPH10" s="397"/>
      <c r="WPI10" s="397"/>
      <c r="WPJ10" s="397"/>
      <c r="WPK10" s="397"/>
      <c r="WPL10" s="397"/>
      <c r="WPM10" s="397"/>
      <c r="WPN10" s="397"/>
      <c r="WPO10" s="397"/>
      <c r="WPP10" s="397"/>
      <c r="WPQ10" s="397"/>
      <c r="WPR10" s="397"/>
      <c r="WPS10" s="397"/>
      <c r="WPT10" s="397"/>
      <c r="WPU10" s="397"/>
      <c r="WPV10" s="397"/>
      <c r="WPW10" s="397"/>
      <c r="WPX10" s="397"/>
      <c r="WPY10" s="397"/>
      <c r="WPZ10" s="397"/>
      <c r="WQA10" s="397"/>
      <c r="WQB10" s="397"/>
      <c r="WQC10" s="397"/>
      <c r="WQD10" s="397"/>
      <c r="WQE10" s="397"/>
      <c r="WQF10" s="397"/>
      <c r="WQG10" s="397"/>
      <c r="WQH10" s="397"/>
      <c r="WQI10" s="397"/>
      <c r="WQJ10" s="397"/>
      <c r="WQK10" s="397"/>
      <c r="WQL10" s="397"/>
      <c r="WQM10" s="397"/>
      <c r="WQN10" s="397"/>
      <c r="WQO10" s="397"/>
      <c r="WQP10" s="397"/>
      <c r="WQQ10" s="397"/>
      <c r="WQR10" s="397"/>
      <c r="WQS10" s="397"/>
      <c r="WQT10" s="397"/>
      <c r="WQU10" s="397"/>
      <c r="WQV10" s="397"/>
      <c r="WQW10" s="397"/>
      <c r="WQX10" s="397"/>
      <c r="WQY10" s="397"/>
      <c r="WQZ10" s="397"/>
      <c r="WRA10" s="397"/>
      <c r="WRB10" s="397"/>
      <c r="WRC10" s="397"/>
      <c r="WRD10" s="397"/>
      <c r="WRE10" s="397"/>
      <c r="WRF10" s="397"/>
      <c r="WRG10" s="397"/>
      <c r="WRH10" s="397"/>
      <c r="WRI10" s="397"/>
      <c r="WRJ10" s="397"/>
      <c r="WRK10" s="397"/>
      <c r="WRL10" s="397"/>
      <c r="WRM10" s="397"/>
      <c r="WRN10" s="397"/>
      <c r="WRO10" s="397"/>
      <c r="WRP10" s="397"/>
      <c r="WRQ10" s="397"/>
      <c r="WRR10" s="397"/>
      <c r="WRS10" s="397"/>
      <c r="WRT10" s="397"/>
      <c r="WRU10" s="397"/>
      <c r="WRV10" s="397"/>
      <c r="WRW10" s="397"/>
      <c r="WRX10" s="397"/>
      <c r="WRY10" s="397"/>
      <c r="WRZ10" s="397"/>
      <c r="WSA10" s="397"/>
      <c r="WSB10" s="397"/>
      <c r="WSC10" s="397"/>
      <c r="WSD10" s="397"/>
      <c r="WSE10" s="397"/>
      <c r="WSF10" s="397"/>
      <c r="WSG10" s="397"/>
      <c r="WSH10" s="397"/>
      <c r="WSI10" s="397"/>
      <c r="WSJ10" s="397"/>
      <c r="WSK10" s="397"/>
      <c r="WSL10" s="397"/>
      <c r="WSM10" s="397"/>
      <c r="WSN10" s="397"/>
      <c r="WSO10" s="397"/>
      <c r="WSP10" s="397"/>
      <c r="WSQ10" s="397"/>
      <c r="WSR10" s="397"/>
      <c r="WSS10" s="397"/>
      <c r="WST10" s="397"/>
      <c r="WSU10" s="397"/>
      <c r="WSV10" s="397"/>
      <c r="WSW10" s="397"/>
      <c r="WSX10" s="397"/>
      <c r="WSY10" s="397"/>
      <c r="WSZ10" s="397"/>
      <c r="WTA10" s="397"/>
      <c r="WTB10" s="397"/>
      <c r="WTC10" s="397"/>
      <c r="WTD10" s="397"/>
      <c r="WTE10" s="397"/>
      <c r="WTF10" s="397"/>
      <c r="WTG10" s="397"/>
      <c r="WTH10" s="397"/>
      <c r="WTI10" s="397"/>
      <c r="WTJ10" s="397"/>
      <c r="WTK10" s="397"/>
      <c r="WTL10" s="397"/>
      <c r="WTM10" s="397"/>
      <c r="WTN10" s="397"/>
      <c r="WTO10" s="397"/>
      <c r="WTP10" s="397"/>
      <c r="WTQ10" s="397"/>
      <c r="WTR10" s="397"/>
      <c r="WTS10" s="397"/>
      <c r="WTT10" s="397"/>
      <c r="WTU10" s="397"/>
      <c r="WTV10" s="397"/>
      <c r="WTW10" s="397"/>
      <c r="WTX10" s="397"/>
      <c r="WTY10" s="397"/>
      <c r="WTZ10" s="397"/>
      <c r="WUA10" s="397"/>
      <c r="WUB10" s="397"/>
      <c r="WUC10" s="397"/>
      <c r="WUD10" s="397"/>
      <c r="WUE10" s="397"/>
      <c r="WUF10" s="397"/>
      <c r="WUG10" s="397"/>
      <c r="WUH10" s="397"/>
      <c r="WUI10" s="397"/>
      <c r="WUJ10" s="397"/>
      <c r="WUK10" s="397"/>
      <c r="WUL10" s="397"/>
      <c r="WUM10" s="397"/>
      <c r="WUN10" s="397"/>
      <c r="WUO10" s="397"/>
      <c r="WUP10" s="397"/>
      <c r="WUQ10" s="397"/>
      <c r="WUR10" s="397"/>
      <c r="WUS10" s="397"/>
      <c r="WUT10" s="397"/>
      <c r="WUU10" s="397"/>
      <c r="WUV10" s="397"/>
      <c r="WUW10" s="397"/>
      <c r="WUX10" s="397"/>
      <c r="WUY10" s="397"/>
      <c r="WUZ10" s="397"/>
      <c r="WVA10" s="397"/>
      <c r="WVB10" s="397"/>
      <c r="WVC10" s="397"/>
      <c r="WVD10" s="397"/>
      <c r="WVE10" s="397"/>
      <c r="WVF10" s="397"/>
      <c r="WVG10" s="397"/>
      <c r="WVH10" s="397"/>
      <c r="WVI10" s="397"/>
      <c r="WVJ10" s="397"/>
      <c r="WVK10" s="397"/>
      <c r="WVL10" s="397"/>
      <c r="WVM10" s="397"/>
      <c r="WVN10" s="397"/>
      <c r="WVO10" s="397"/>
      <c r="WVP10" s="397"/>
      <c r="WVQ10" s="397"/>
      <c r="WVR10" s="397"/>
      <c r="WVS10" s="397"/>
      <c r="WVT10" s="397"/>
      <c r="WVU10" s="397"/>
      <c r="WVV10" s="397"/>
      <c r="WVW10" s="397"/>
      <c r="WVX10" s="397"/>
      <c r="WVY10" s="397"/>
      <c r="WVZ10" s="397"/>
      <c r="WWA10" s="397"/>
      <c r="WWB10" s="397"/>
      <c r="WWC10" s="397"/>
      <c r="WWD10" s="397"/>
      <c r="WWE10" s="397"/>
      <c r="WWF10" s="397"/>
      <c r="WWG10" s="397"/>
      <c r="WWH10" s="397"/>
      <c r="WWI10" s="397"/>
      <c r="WWJ10" s="397"/>
      <c r="WWK10" s="397"/>
      <c r="WWL10" s="397"/>
      <c r="WWM10" s="397"/>
      <c r="WWN10" s="397"/>
      <c r="WWO10" s="397"/>
      <c r="WWP10" s="397"/>
      <c r="WWQ10" s="397"/>
      <c r="WWR10" s="397"/>
      <c r="WWS10" s="397"/>
      <c r="WWT10" s="397"/>
      <c r="WWU10" s="397"/>
      <c r="WWV10" s="397"/>
      <c r="WWW10" s="397"/>
      <c r="WWX10" s="397"/>
      <c r="WWY10" s="397"/>
      <c r="WWZ10" s="397"/>
      <c r="WXA10" s="397"/>
      <c r="WXB10" s="397"/>
      <c r="WXC10" s="397"/>
      <c r="WXD10" s="397"/>
      <c r="WXE10" s="397"/>
      <c r="WXF10" s="397"/>
      <c r="WXG10" s="397"/>
      <c r="WXH10" s="397"/>
      <c r="WXI10" s="397"/>
      <c r="WXJ10" s="397"/>
      <c r="WXK10" s="397"/>
      <c r="WXL10" s="397"/>
      <c r="WXM10" s="397"/>
      <c r="WXN10" s="397"/>
      <c r="WXO10" s="397"/>
      <c r="WXP10" s="397"/>
      <c r="WXQ10" s="397"/>
      <c r="WXR10" s="397"/>
      <c r="WXS10" s="397"/>
      <c r="WXT10" s="397"/>
      <c r="WXU10" s="397"/>
      <c r="WXV10" s="397"/>
      <c r="WXW10" s="397"/>
      <c r="WXX10" s="397"/>
      <c r="WXY10" s="397"/>
      <c r="WXZ10" s="397"/>
      <c r="WYA10" s="397"/>
      <c r="WYB10" s="397"/>
      <c r="WYC10" s="397"/>
      <c r="WYD10" s="397"/>
      <c r="WYE10" s="397"/>
      <c r="WYF10" s="397"/>
      <c r="WYG10" s="397"/>
      <c r="WYH10" s="397"/>
      <c r="WYI10" s="397"/>
      <c r="WYJ10" s="397"/>
      <c r="WYK10" s="397"/>
      <c r="WYL10" s="397"/>
      <c r="WYM10" s="397"/>
      <c r="WYN10" s="397"/>
      <c r="WYO10" s="397"/>
      <c r="WYP10" s="397"/>
      <c r="WYQ10" s="397"/>
      <c r="WYR10" s="397"/>
      <c r="WYS10" s="397"/>
      <c r="WYT10" s="397"/>
      <c r="WYU10" s="397"/>
      <c r="WYV10" s="397"/>
      <c r="WYW10" s="397"/>
      <c r="WYX10" s="397"/>
      <c r="WYY10" s="397"/>
      <c r="WYZ10" s="397"/>
      <c r="WZA10" s="397"/>
      <c r="WZB10" s="397"/>
      <c r="WZC10" s="397"/>
      <c r="WZD10" s="397"/>
      <c r="WZE10" s="397"/>
      <c r="WZF10" s="397"/>
      <c r="WZG10" s="397"/>
      <c r="WZH10" s="397"/>
      <c r="WZI10" s="397"/>
      <c r="WZJ10" s="397"/>
      <c r="WZK10" s="397"/>
      <c r="WZL10" s="397"/>
      <c r="WZM10" s="397"/>
      <c r="WZN10" s="397"/>
      <c r="WZO10" s="397"/>
      <c r="WZP10" s="397"/>
      <c r="WZQ10" s="397"/>
      <c r="WZR10" s="397"/>
      <c r="WZS10" s="397"/>
      <c r="WZT10" s="397"/>
      <c r="WZU10" s="397"/>
      <c r="WZV10" s="397"/>
      <c r="WZW10" s="397"/>
      <c r="WZX10" s="397"/>
      <c r="WZY10" s="397"/>
      <c r="WZZ10" s="397"/>
      <c r="XAA10" s="397"/>
      <c r="XAB10" s="397"/>
      <c r="XAC10" s="397"/>
      <c r="XAD10" s="397"/>
      <c r="XAE10" s="397"/>
      <c r="XAF10" s="397"/>
      <c r="XAG10" s="397"/>
      <c r="XAH10" s="397"/>
      <c r="XAI10" s="397"/>
      <c r="XAJ10" s="397"/>
      <c r="XAK10" s="397"/>
      <c r="XAL10" s="397"/>
      <c r="XAM10" s="397"/>
      <c r="XAN10" s="397"/>
      <c r="XAO10" s="397"/>
      <c r="XAP10" s="397"/>
      <c r="XAQ10" s="397"/>
      <c r="XAR10" s="397"/>
      <c r="XAS10" s="397"/>
      <c r="XAT10" s="397"/>
      <c r="XAU10" s="397"/>
      <c r="XAV10" s="397"/>
      <c r="XAW10" s="397"/>
      <c r="XAX10" s="397"/>
      <c r="XAY10" s="397"/>
      <c r="XAZ10" s="397"/>
      <c r="XBA10" s="397"/>
      <c r="XBB10" s="397"/>
      <c r="XBC10" s="397"/>
      <c r="XBD10" s="397"/>
      <c r="XBE10" s="397"/>
      <c r="XBF10" s="397"/>
      <c r="XBG10" s="397"/>
      <c r="XBH10" s="397"/>
      <c r="XBI10" s="397"/>
      <c r="XBJ10" s="397"/>
      <c r="XBK10" s="397"/>
      <c r="XBL10" s="397"/>
      <c r="XBM10" s="397"/>
      <c r="XBN10" s="397"/>
      <c r="XBO10" s="397"/>
      <c r="XBP10" s="397"/>
      <c r="XBQ10" s="397"/>
      <c r="XBR10" s="397"/>
      <c r="XBS10" s="397"/>
      <c r="XBT10" s="397"/>
      <c r="XBU10" s="397"/>
      <c r="XBV10" s="397"/>
      <c r="XBW10" s="397"/>
      <c r="XBX10" s="397"/>
      <c r="XBY10" s="397"/>
      <c r="XBZ10" s="397"/>
      <c r="XCA10" s="397"/>
      <c r="XCB10" s="397"/>
      <c r="XCC10" s="397"/>
      <c r="XCD10" s="397"/>
      <c r="XCE10" s="397"/>
      <c r="XCF10" s="397"/>
      <c r="XCG10" s="397"/>
      <c r="XCH10" s="397"/>
      <c r="XCI10" s="397"/>
      <c r="XCJ10" s="397"/>
      <c r="XCK10" s="397"/>
      <c r="XCL10" s="397"/>
      <c r="XCM10" s="397"/>
      <c r="XCN10" s="397"/>
      <c r="XCO10" s="397"/>
      <c r="XCP10" s="397"/>
      <c r="XCQ10" s="397"/>
      <c r="XCR10" s="397"/>
      <c r="XCS10" s="397"/>
      <c r="XCT10" s="397"/>
      <c r="XCU10" s="397"/>
      <c r="XCV10" s="397"/>
      <c r="XCW10" s="397"/>
      <c r="XCX10" s="397"/>
      <c r="XCY10" s="397"/>
      <c r="XCZ10" s="397"/>
      <c r="XDA10" s="397"/>
      <c r="XDB10" s="397"/>
      <c r="XDC10" s="397"/>
      <c r="XDD10" s="397"/>
      <c r="XDE10" s="397"/>
      <c r="XDF10" s="397"/>
      <c r="XDG10" s="397"/>
      <c r="XDH10" s="397"/>
      <c r="XDI10" s="397"/>
      <c r="XDJ10" s="397"/>
      <c r="XDK10" s="397"/>
      <c r="XDL10" s="397"/>
      <c r="XDM10" s="397"/>
      <c r="XDN10" s="397"/>
      <c r="XDO10" s="397"/>
      <c r="XDP10" s="397"/>
      <c r="XDQ10" s="397"/>
      <c r="XDR10" s="397"/>
      <c r="XDS10" s="397"/>
      <c r="XDT10" s="397"/>
      <c r="XDU10" s="397"/>
      <c r="XDV10" s="397"/>
      <c r="XDW10" s="397"/>
      <c r="XDX10" s="397"/>
      <c r="XDY10" s="397"/>
      <c r="XDZ10" s="397"/>
      <c r="XEA10" s="397"/>
      <c r="XEB10" s="397"/>
      <c r="XEC10" s="397"/>
      <c r="XED10" s="397"/>
      <c r="XEE10" s="397"/>
      <c r="XEF10" s="397"/>
      <c r="XEG10" s="397"/>
      <c r="XEH10" s="397"/>
      <c r="XEI10" s="397"/>
      <c r="XEJ10" s="397"/>
      <c r="XEK10" s="397"/>
      <c r="XEL10" s="397"/>
      <c r="XEM10" s="397"/>
      <c r="XEN10" s="397"/>
      <c r="XEO10" s="397"/>
      <c r="XEP10" s="397"/>
      <c r="XEQ10" s="397"/>
      <c r="XER10" s="397"/>
      <c r="XES10" s="397"/>
      <c r="XET10" s="397"/>
      <c r="XEU10" s="397"/>
      <c r="XEV10" s="397"/>
      <c r="XEW10" s="397"/>
      <c r="XEX10" s="397"/>
      <c r="XEY10" s="397"/>
      <c r="XEZ10" s="397"/>
      <c r="XFA10" s="397"/>
    </row>
    <row r="11" spans="1:16381" s="591" customFormat="1" ht="25.5">
      <c r="A11" s="591" t="str">
        <f t="shared" si="0"/>
        <v>Allianz Klinik-Rente v. 01.12.2012</v>
      </c>
      <c r="B11" s="591">
        <f>ROW()</f>
        <v>11</v>
      </c>
      <c r="C11" s="616" t="s">
        <v>1138</v>
      </c>
      <c r="D11" s="1146">
        <v>41244</v>
      </c>
      <c r="E11" s="617" t="s">
        <v>764</v>
      </c>
      <c r="F11" s="618" t="str">
        <f t="shared" si="1"/>
        <v/>
      </c>
      <c r="G11" s="615" t="str">
        <f t="shared" si="2"/>
        <v xml:space="preserve">TO ermöglicht: doppelten Kostenabzug; </v>
      </c>
      <c r="I11" s="615"/>
      <c r="J11" s="760">
        <v>1</v>
      </c>
      <c r="K11" s="1144"/>
      <c r="L11" s="1144">
        <v>2</v>
      </c>
      <c r="M11" s="1144"/>
      <c r="N11" s="1144"/>
      <c r="O11" s="761" t="s">
        <v>805</v>
      </c>
      <c r="P11" s="140">
        <f t="shared" si="3"/>
        <v>2</v>
      </c>
      <c r="S11" s="591">
        <f>IFERROR(SEARCH(MID(+Fallerfassung!D31,1,5),S$6),1)</f>
        <v>1</v>
      </c>
    </row>
    <row r="12" spans="1:16381" s="591" customFormat="1" ht="25.5">
      <c r="A12" s="591" t="str">
        <f t="shared" si="0"/>
        <v>Allianz Lebensversicherung AG (Klinik-Rente) v. 01.12.2012</v>
      </c>
      <c r="B12" s="591">
        <f>ROW()</f>
        <v>12</v>
      </c>
      <c r="C12" s="616" t="s">
        <v>757</v>
      </c>
      <c r="D12" s="1146">
        <v>41244</v>
      </c>
      <c r="E12" s="617" t="s">
        <v>674</v>
      </c>
      <c r="F12" s="618" t="str">
        <f t="shared" si="1"/>
        <v>Ja</v>
      </c>
      <c r="G12" s="615" t="str">
        <f t="shared" si="2"/>
        <v xml:space="preserve">TO ermöglicht: Tarifwechel; doppelten Kostenabzug; </v>
      </c>
      <c r="I12" s="615"/>
      <c r="J12" s="760"/>
      <c r="K12" s="1144">
        <v>1</v>
      </c>
      <c r="L12" s="1144">
        <v>2</v>
      </c>
      <c r="M12" s="1144"/>
      <c r="N12" s="1144"/>
      <c r="O12" s="763" t="s">
        <v>675</v>
      </c>
      <c r="P12" s="140">
        <f t="shared" si="3"/>
        <v>3</v>
      </c>
      <c r="S12" s="591">
        <f>IFERROR(SEARCH(MID(+Fallerfassung!D32,1,5),S$6),1)</f>
        <v>1</v>
      </c>
    </row>
    <row r="13" spans="1:16381" s="591" customFormat="1" ht="45">
      <c r="A13" s="591" t="str">
        <f t="shared" si="0"/>
        <v>Allianz Lebensversicherung AG v. 01.12.2012</v>
      </c>
      <c r="B13" s="591">
        <f>ROW()</f>
        <v>13</v>
      </c>
      <c r="C13" s="616" t="s">
        <v>673</v>
      </c>
      <c r="D13" s="1146">
        <v>41244</v>
      </c>
      <c r="E13" s="617" t="s">
        <v>754</v>
      </c>
      <c r="F13" s="618" t="str">
        <f t="shared" si="1"/>
        <v>Ja</v>
      </c>
      <c r="G13" s="615" t="str">
        <f t="shared" si="2"/>
        <v>TO ermöglicht: Tarifwechel; doppelten Kostenabzug;  Abweichungen vom gerichtl. festgelegten Ausgleichswert;  Verzinsung zwischen EzE und RK geltend machen</v>
      </c>
      <c r="I13" s="615"/>
      <c r="J13" s="761" t="s">
        <v>755</v>
      </c>
      <c r="K13" s="1144">
        <v>1</v>
      </c>
      <c r="L13" s="1144">
        <v>2</v>
      </c>
      <c r="M13" s="1144">
        <v>3</v>
      </c>
      <c r="N13" s="1144">
        <v>4</v>
      </c>
      <c r="O13" s="763"/>
      <c r="P13" s="140">
        <f t="shared" si="3"/>
        <v>10</v>
      </c>
      <c r="S13" s="591">
        <f>IFERROR(SEARCH(MID(+Fallerfassung!D33,1,5),S$6),1)</f>
        <v>1</v>
      </c>
    </row>
    <row r="14" spans="1:16381" s="591" customFormat="1" ht="22.5">
      <c r="A14" s="591" t="str">
        <f t="shared" si="0"/>
        <v>Allianz Lebensversicherung AG v. 01.12.2018</v>
      </c>
      <c r="B14" s="591">
        <f>ROW()</f>
        <v>14</v>
      </c>
      <c r="C14" s="616" t="s">
        <v>673</v>
      </c>
      <c r="D14" s="1146">
        <v>43435</v>
      </c>
      <c r="E14" s="617" t="s">
        <v>1695</v>
      </c>
      <c r="F14" s="618" t="s">
        <v>465</v>
      </c>
      <c r="G14" s="615" t="str">
        <f t="shared" si="2"/>
        <v>TO ermöglicht: Tarifwechel; doppelten Kostenabzug;  Verzinsung zwischen EzE und RK geltend machen</v>
      </c>
      <c r="I14" s="615"/>
      <c r="J14" s="761"/>
      <c r="K14" s="1144">
        <v>1</v>
      </c>
      <c r="L14" s="1144">
        <v>2</v>
      </c>
      <c r="M14" s="1144"/>
      <c r="N14" s="1144">
        <v>4</v>
      </c>
      <c r="O14" s="763"/>
      <c r="P14" s="140"/>
    </row>
    <row r="15" spans="1:16381" s="591" customFormat="1" ht="45">
      <c r="A15" s="591" t="str">
        <f t="shared" si="0"/>
        <v>Allianz Lebensversicherung AG v. 01.12.2020</v>
      </c>
      <c r="B15" s="591">
        <f>ROW()</f>
        <v>15</v>
      </c>
      <c r="C15" s="616" t="s">
        <v>673</v>
      </c>
      <c r="D15" s="1146">
        <v>44166</v>
      </c>
      <c r="E15" s="635" t="s">
        <v>810</v>
      </c>
      <c r="F15" s="618" t="str">
        <f t="shared" si="1"/>
        <v/>
      </c>
      <c r="G15" s="615" t="str">
        <f t="shared" si="2"/>
        <v>TO ermöglicht: doppelten Kostenabzug;  Abweichungen vom gerichtl. festgelegten Ausgleichswert;  Verzinsung zwischen EzE und RK geltend machen</v>
      </c>
      <c r="I15" s="615"/>
      <c r="J15" s="756"/>
      <c r="K15" s="1144"/>
      <c r="L15" s="1144">
        <v>2</v>
      </c>
      <c r="M15" s="1144">
        <v>3</v>
      </c>
      <c r="N15" s="1144">
        <v>4</v>
      </c>
      <c r="O15" s="757"/>
      <c r="P15" s="140">
        <f t="shared" si="3"/>
        <v>9</v>
      </c>
      <c r="S15" s="591">
        <f>IFERROR(SEARCH(MID(+Fallerfassung!D34,1,5),S$6),1)</f>
        <v>1</v>
      </c>
    </row>
    <row r="16" spans="1:16381" s="591" customFormat="1">
      <c r="A16" s="591" t="str">
        <f t="shared" si="0"/>
        <v>Allianz Lebensversicherung AG v. 21.07.2021</v>
      </c>
      <c r="B16" s="591">
        <f>ROW()</f>
        <v>16</v>
      </c>
      <c r="C16" s="616" t="s">
        <v>673</v>
      </c>
      <c r="D16" s="1146">
        <v>44398</v>
      </c>
      <c r="E16" s="617"/>
      <c r="F16" s="618" t="str">
        <f t="shared" si="1"/>
        <v/>
      </c>
      <c r="G16" s="615" t="str">
        <f t="shared" si="2"/>
        <v xml:space="preserve">TO ermöglicht: doppelten Kostenabzug; </v>
      </c>
      <c r="I16" s="615"/>
      <c r="J16" s="760"/>
      <c r="K16" s="1144"/>
      <c r="L16" s="1144">
        <v>2</v>
      </c>
      <c r="M16" s="1144"/>
      <c r="N16" s="1144"/>
      <c r="O16" s="763"/>
      <c r="P16" s="140">
        <f t="shared" si="3"/>
        <v>2</v>
      </c>
      <c r="S16" s="591">
        <f>IFERROR(SEARCH(MID(+Fallerfassung!D35,1,5),S$6),1)</f>
        <v>1</v>
      </c>
    </row>
    <row r="17" spans="1:19" s="591" customFormat="1" ht="45">
      <c r="A17" s="591" t="str">
        <f t="shared" si="0"/>
        <v>Allianz Lebensversicherungs AG v. 01.09.2009</v>
      </c>
      <c r="B17" s="591">
        <f>ROW()</f>
        <v>17</v>
      </c>
      <c r="C17" s="616" t="s">
        <v>1347</v>
      </c>
      <c r="D17" s="1146">
        <v>40057</v>
      </c>
      <c r="E17" s="617" t="s">
        <v>195</v>
      </c>
      <c r="F17" s="618" t="str">
        <f t="shared" si="1"/>
        <v>Ja</v>
      </c>
      <c r="G17" s="615" t="str">
        <f t="shared" si="2"/>
        <v>TO ermöglicht: Tarifwechel; doppelten Kostenabzug;  Abweichungen vom gerichtl. festgelegten Ausgleichswert;  Verzinsung zwischen EzE und RK geltend machen</v>
      </c>
      <c r="I17" s="615" t="s">
        <v>1348</v>
      </c>
      <c r="J17" s="756"/>
      <c r="K17" s="1144">
        <v>1</v>
      </c>
      <c r="L17" s="1144">
        <v>2</v>
      </c>
      <c r="M17" s="1144">
        <v>3</v>
      </c>
      <c r="N17" s="1144">
        <v>4</v>
      </c>
      <c r="O17" s="757"/>
      <c r="P17" s="140">
        <f t="shared" si="3"/>
        <v>10</v>
      </c>
      <c r="Q17" s="397"/>
      <c r="R17" s="397"/>
      <c r="S17" s="591">
        <f>IFERROR(SEARCH(MID(+Fallerfassung!D36,1,5),S$6),1)</f>
        <v>1</v>
      </c>
    </row>
    <row r="18" spans="1:19" s="591" customFormat="1" ht="33.75">
      <c r="A18" s="591" t="str">
        <f t="shared" si="0"/>
        <v>Allianz Lebensversicherungs-AG v. 01.07.2010</v>
      </c>
      <c r="B18" s="591">
        <f>ROW()</f>
        <v>18</v>
      </c>
      <c r="C18" s="616" t="s">
        <v>1351</v>
      </c>
      <c r="D18" s="1146">
        <v>40360</v>
      </c>
      <c r="E18" s="617">
        <v>5</v>
      </c>
      <c r="F18" s="618" t="str">
        <f t="shared" si="1"/>
        <v>Ja</v>
      </c>
      <c r="G18" s="615" t="str">
        <f t="shared" si="2"/>
        <v xml:space="preserve">TO ermöglicht: Tarifwechel; doppelten Kostenabzug;  Abweichungen vom gerichtl. festgelegten Ausgleichswert; </v>
      </c>
      <c r="I18" s="615"/>
      <c r="J18" s="756"/>
      <c r="K18" s="1144">
        <v>1</v>
      </c>
      <c r="L18" s="1144">
        <v>2</v>
      </c>
      <c r="M18" s="1144">
        <v>3</v>
      </c>
      <c r="N18" s="1144"/>
      <c r="O18" s="757"/>
      <c r="P18" s="140"/>
      <c r="S18" s="591">
        <f>IFERROR(SEARCH(MID(+Fallerfassung!D37,1,5),S$6),1)</f>
        <v>1</v>
      </c>
    </row>
    <row r="19" spans="1:19" s="591" customFormat="1" ht="45">
      <c r="A19" s="591" t="str">
        <f t="shared" si="0"/>
        <v>Allianz LV v. 01.02.2010</v>
      </c>
      <c r="B19" s="591">
        <f>ROW()</f>
        <v>19</v>
      </c>
      <c r="C19" s="616" t="s">
        <v>1190</v>
      </c>
      <c r="D19" s="1146">
        <v>40210</v>
      </c>
      <c r="E19" s="617">
        <v>5</v>
      </c>
      <c r="F19" s="618" t="str">
        <f t="shared" si="1"/>
        <v>Ja</v>
      </c>
      <c r="G19" s="615" t="str">
        <f t="shared" si="2"/>
        <v>TO ermöglicht: Tarifwechel; doppelten Kostenabzug;  Abweichungen vom gerichtl. festgelegten Ausgleichswert;  Verzinsung zwischen EzE und RK geltend machen</v>
      </c>
      <c r="I19" s="615" t="s">
        <v>1352</v>
      </c>
      <c r="J19" s="756"/>
      <c r="K19" s="1144">
        <v>1</v>
      </c>
      <c r="L19" s="1144">
        <v>2</v>
      </c>
      <c r="M19" s="1144">
        <v>3</v>
      </c>
      <c r="N19" s="1144">
        <v>4</v>
      </c>
      <c r="O19" s="757"/>
      <c r="P19" s="140">
        <f t="shared" ref="P19:P26" si="4">SUM(K19:N19)</f>
        <v>10</v>
      </c>
      <c r="S19" s="591">
        <f>IFERROR(SEARCH(MID(+Fallerfassung!D38,1,5),S$6),1)</f>
        <v>1</v>
      </c>
    </row>
    <row r="20" spans="1:19" s="591" customFormat="1" ht="56.25">
      <c r="A20" s="591" t="str">
        <f t="shared" si="0"/>
        <v>Allianz-Pensions-Management e.V. v. 21.12.2009</v>
      </c>
      <c r="B20" s="591">
        <f>ROW()</f>
        <v>20</v>
      </c>
      <c r="C20" s="616" t="s">
        <v>1349</v>
      </c>
      <c r="D20" s="1146">
        <v>40168</v>
      </c>
      <c r="E20" s="617" t="s">
        <v>1202</v>
      </c>
      <c r="F20" s="618" t="str">
        <f t="shared" si="1"/>
        <v/>
      </c>
      <c r="G20" s="615" t="str">
        <f t="shared" si="2"/>
        <v>TO ermöglicht: doppelten Kostenabzug;  Abweichungen vom gerichtl. festgelegten Ausgleichswert;  Verzinsung zwischen EzE und RK geltend machen</v>
      </c>
      <c r="I20" s="615" t="s">
        <v>1350</v>
      </c>
      <c r="J20" s="756"/>
      <c r="K20" s="1144"/>
      <c r="L20" s="1144">
        <v>2</v>
      </c>
      <c r="M20" s="1144">
        <v>3</v>
      </c>
      <c r="N20" s="1144">
        <v>4</v>
      </c>
      <c r="O20" s="757"/>
      <c r="P20" s="140">
        <f t="shared" si="4"/>
        <v>9</v>
      </c>
      <c r="Q20" s="397"/>
      <c r="R20" s="397"/>
      <c r="S20" s="397"/>
    </row>
    <row r="21" spans="1:19" s="591" customFormat="1" ht="56.25">
      <c r="A21" s="591" t="str">
        <f t="shared" si="0"/>
        <v>Allianz Pensionskasse v. 01.12.2020</v>
      </c>
      <c r="B21" s="591">
        <f>ROW()</f>
        <v>21</v>
      </c>
      <c r="C21" s="616" t="s">
        <v>1523</v>
      </c>
      <c r="D21" s="1146">
        <v>44166</v>
      </c>
      <c r="E21" s="617" t="s">
        <v>1524</v>
      </c>
      <c r="F21" s="618"/>
      <c r="G21" s="615" t="str">
        <f t="shared" si="2"/>
        <v>TO ermöglicht:  Abweichungen vom gerichtl. festgelegten Ausgleichswert;  Verzinsung zwischen EzE und RK geltend machen</v>
      </c>
      <c r="I21" s="615" t="s">
        <v>1525</v>
      </c>
      <c r="J21" s="756"/>
      <c r="K21" s="1144"/>
      <c r="L21" s="1144"/>
      <c r="M21" s="1144">
        <v>3</v>
      </c>
      <c r="N21" s="1144">
        <v>4</v>
      </c>
      <c r="O21" s="757"/>
      <c r="P21" s="140"/>
      <c r="Q21" s="397"/>
      <c r="R21" s="397"/>
      <c r="S21" s="397"/>
    </row>
    <row r="22" spans="1:19" s="591" customFormat="1" ht="25.5">
      <c r="A22" s="591" t="str">
        <f t="shared" si="0"/>
        <v>Alte Leipziger Lebensversicherung auf Gegenseitigkeit v. 01.04.2010</v>
      </c>
      <c r="B22" s="591">
        <f>ROW()</f>
        <v>22</v>
      </c>
      <c r="C22" s="616" t="s">
        <v>948</v>
      </c>
      <c r="D22" s="1146">
        <v>40269</v>
      </c>
      <c r="E22" s="617" t="s">
        <v>949</v>
      </c>
      <c r="F22" s="618" t="str">
        <f t="shared" si="1"/>
        <v>Ja</v>
      </c>
      <c r="G22" s="615" t="str">
        <f t="shared" si="2"/>
        <v>TO ermöglicht: Tarifwechel; doppelten Kostenabzug;  Verzinsung zwischen EzE und RK geltend machen</v>
      </c>
      <c r="I22" s="615"/>
      <c r="J22" s="756"/>
      <c r="K22" s="1144">
        <v>1</v>
      </c>
      <c r="L22" s="1144">
        <v>2</v>
      </c>
      <c r="M22" s="1144"/>
      <c r="N22" s="1144">
        <v>4</v>
      </c>
      <c r="O22" s="757"/>
      <c r="P22" s="140">
        <f t="shared" si="4"/>
        <v>7</v>
      </c>
    </row>
    <row r="23" spans="1:19" s="591" customFormat="1">
      <c r="A23" s="591" t="str">
        <f t="shared" si="0"/>
        <v>Alz Chemie v. 05.11.2011</v>
      </c>
      <c r="B23" s="591">
        <f>ROW()</f>
        <v>23</v>
      </c>
      <c r="C23" s="616" t="s">
        <v>1003</v>
      </c>
      <c r="D23" s="1146">
        <v>40852</v>
      </c>
      <c r="E23" s="617" t="s">
        <v>479</v>
      </c>
      <c r="F23" s="618" t="str">
        <f t="shared" si="1"/>
        <v/>
      </c>
      <c r="G23" s="615" t="str">
        <f t="shared" si="2"/>
        <v/>
      </c>
      <c r="I23" s="615"/>
      <c r="J23" s="756"/>
      <c r="K23" s="1144"/>
      <c r="L23" s="1144"/>
      <c r="M23" s="1144"/>
      <c r="N23" s="1144"/>
      <c r="O23" s="757"/>
      <c r="P23" s="140">
        <f t="shared" si="4"/>
        <v>0</v>
      </c>
    </row>
    <row r="24" spans="1:19" s="591" customFormat="1" ht="25.5">
      <c r="A24" s="591" t="str">
        <f t="shared" si="0"/>
        <v>Ärzteversorgung Hessen (LÄK) v. Datum unbekannt</v>
      </c>
      <c r="B24" s="591">
        <f>ROW()</f>
        <v>24</v>
      </c>
      <c r="C24" s="616" t="s">
        <v>1058</v>
      </c>
      <c r="D24" s="1146" t="s">
        <v>1059</v>
      </c>
      <c r="E24" s="617"/>
      <c r="F24" s="618" t="str">
        <f t="shared" si="1"/>
        <v/>
      </c>
      <c r="G24" s="615" t="str">
        <f t="shared" si="2"/>
        <v/>
      </c>
      <c r="I24" s="615"/>
      <c r="J24" s="756"/>
      <c r="K24" s="1144"/>
      <c r="L24" s="1144"/>
      <c r="M24" s="1144"/>
      <c r="N24" s="1144"/>
      <c r="O24" s="757"/>
      <c r="P24" s="140">
        <f t="shared" si="4"/>
        <v>0</v>
      </c>
    </row>
    <row r="25" spans="1:19" s="591" customFormat="1" ht="25.5">
      <c r="A25" s="591" t="str">
        <f t="shared" si="0"/>
        <v>Athora AG Pensionskasse &amp; Lebensversicherung v. 11.09.2019</v>
      </c>
      <c r="B25" s="591">
        <f>ROW()</f>
        <v>25</v>
      </c>
      <c r="C25" s="616" t="s">
        <v>1185</v>
      </c>
      <c r="D25" s="1146">
        <v>43719</v>
      </c>
      <c r="E25" s="617" t="s">
        <v>955</v>
      </c>
      <c r="F25" s="618" t="str">
        <f t="shared" si="1"/>
        <v/>
      </c>
      <c r="G25" s="615" t="str">
        <f t="shared" si="2"/>
        <v>TO ermöglicht: doppelten Kostenabzug;  Verzinsung zwischen EzE und RK geltend machen</v>
      </c>
      <c r="I25" s="615"/>
      <c r="J25" s="756"/>
      <c r="K25" s="1144"/>
      <c r="L25" s="1144">
        <v>2</v>
      </c>
      <c r="M25" s="1144"/>
      <c r="N25" s="1144">
        <v>4</v>
      </c>
      <c r="O25" s="757"/>
      <c r="P25" s="140">
        <f t="shared" si="4"/>
        <v>6</v>
      </c>
    </row>
    <row r="26" spans="1:19" s="139" customFormat="1">
      <c r="A26" s="591" t="str">
        <f t="shared" si="0"/>
        <v>Athora Lebensversicherung AG v. 11.09.2019</v>
      </c>
      <c r="B26" s="591">
        <f>ROW()</f>
        <v>26</v>
      </c>
      <c r="C26" s="616" t="s">
        <v>954</v>
      </c>
      <c r="D26" s="1146">
        <v>43719</v>
      </c>
      <c r="E26" s="617" t="s">
        <v>955</v>
      </c>
      <c r="F26" s="618" t="str">
        <f t="shared" si="1"/>
        <v>Ja</v>
      </c>
      <c r="G26" s="615" t="str">
        <f t="shared" si="2"/>
        <v xml:space="preserve">TO ermöglicht: Tarifwechel; </v>
      </c>
      <c r="I26" s="615"/>
      <c r="J26" s="756"/>
      <c r="K26" s="1144">
        <v>1</v>
      </c>
      <c r="L26" s="1144"/>
      <c r="M26" s="1144"/>
      <c r="N26" s="1144"/>
      <c r="O26" s="757"/>
      <c r="P26" s="140">
        <f t="shared" si="4"/>
        <v>1</v>
      </c>
      <c r="Q26" s="591"/>
      <c r="R26" s="591"/>
      <c r="S26" s="591"/>
    </row>
    <row r="27" spans="1:19" s="139" customFormat="1" ht="45">
      <c r="A27" s="591" t="str">
        <f t="shared" si="0"/>
        <v>AXA Leben v. 01.06.2020</v>
      </c>
      <c r="B27" s="591">
        <f>ROW()</f>
        <v>27</v>
      </c>
      <c r="C27" s="616" t="s">
        <v>694</v>
      </c>
      <c r="D27" s="1146">
        <v>43983</v>
      </c>
      <c r="E27" s="617" t="s">
        <v>653</v>
      </c>
      <c r="F27" s="618" t="s">
        <v>465</v>
      </c>
      <c r="G27" s="615" t="str">
        <f t="shared" si="2"/>
        <v>TO ermöglicht: Tarifwechel; doppelten Kostenabzug;  Abweichungen vom gerichtl. festgelegten Ausgleichswert;  Verzinsung zwischen EzE und RK geltend machen</v>
      </c>
      <c r="I27" s="615"/>
      <c r="J27" s="762"/>
      <c r="K27" s="1144">
        <v>1</v>
      </c>
      <c r="L27" s="1144">
        <v>2</v>
      </c>
      <c r="M27" s="1144">
        <v>3</v>
      </c>
      <c r="N27" s="1144">
        <v>4</v>
      </c>
      <c r="O27" s="615"/>
      <c r="P27" s="140"/>
      <c r="Q27" s="591"/>
      <c r="R27" s="591"/>
      <c r="S27" s="591"/>
    </row>
    <row r="28" spans="1:19" s="139" customFormat="1" ht="22.5">
      <c r="A28" s="591" t="str">
        <f t="shared" si="0"/>
        <v>AXA Leben v. 01.05.2020</v>
      </c>
      <c r="B28" s="591">
        <f>ROW()</f>
        <v>28</v>
      </c>
      <c r="C28" s="616" t="s">
        <v>694</v>
      </c>
      <c r="D28" s="1146">
        <v>43952</v>
      </c>
      <c r="E28" s="617" t="s">
        <v>653</v>
      </c>
      <c r="F28" s="618" t="s">
        <v>465</v>
      </c>
      <c r="G28" s="615" t="str">
        <f t="shared" si="2"/>
        <v>TO ermöglicht: Tarifwechel; doppelten Kostenabzug;  Verzinsung zwischen EzE und RK geltend machen</v>
      </c>
      <c r="I28" s="615"/>
      <c r="J28" s="762"/>
      <c r="K28" s="1144">
        <v>1</v>
      </c>
      <c r="L28" s="1144">
        <v>2</v>
      </c>
      <c r="M28" s="1144"/>
      <c r="N28" s="1144">
        <v>4</v>
      </c>
      <c r="O28" s="615"/>
      <c r="P28" s="140"/>
      <c r="Q28" s="591"/>
      <c r="R28" s="591"/>
      <c r="S28" s="591"/>
    </row>
    <row r="29" spans="1:19" s="139" customFormat="1" ht="45">
      <c r="A29" s="591" t="str">
        <f t="shared" si="0"/>
        <v>AXA Leben v. 01.08.2020</v>
      </c>
      <c r="B29" s="591">
        <f>ROW()</f>
        <v>29</v>
      </c>
      <c r="C29" s="616" t="s">
        <v>694</v>
      </c>
      <c r="D29" s="1146">
        <v>44044</v>
      </c>
      <c r="E29" s="617" t="s">
        <v>669</v>
      </c>
      <c r="F29" s="618" t="str">
        <f t="shared" ref="F29:F75" si="5">IF(K29=1,"Ja","")</f>
        <v>Ja</v>
      </c>
      <c r="G29" s="615" t="str">
        <f t="shared" si="2"/>
        <v xml:space="preserve">TO ermöglicht: Tarifwechel; </v>
      </c>
      <c r="I29" s="615"/>
      <c r="J29" s="762" t="s">
        <v>697</v>
      </c>
      <c r="K29" s="1144">
        <v>1</v>
      </c>
      <c r="L29" s="1144"/>
      <c r="M29" s="1144"/>
      <c r="N29" s="1144"/>
      <c r="O29" s="615"/>
      <c r="P29" s="140">
        <f t="shared" ref="P29:P97" si="6">SUM(K29:N29)</f>
        <v>1</v>
      </c>
      <c r="Q29" s="591"/>
      <c r="R29" s="591"/>
      <c r="S29" s="591"/>
    </row>
    <row r="30" spans="1:19" s="591" customFormat="1" ht="45">
      <c r="A30" s="591" t="str">
        <f t="shared" si="0"/>
        <v>AXA Überbetriebliche Unterstützungskasse e.V. v. 01.01.2018</v>
      </c>
      <c r="B30" s="591">
        <f>ROW()</f>
        <v>30</v>
      </c>
      <c r="C30" s="616" t="s">
        <v>1044</v>
      </c>
      <c r="D30" s="1146">
        <v>43101</v>
      </c>
      <c r="E30" s="617"/>
      <c r="F30" s="618" t="str">
        <f t="shared" si="5"/>
        <v>Ja</v>
      </c>
      <c r="G30" s="615" t="str">
        <f t="shared" si="2"/>
        <v>TO ermöglicht: Tarifwechel; doppelten Kostenabzug;  Abweichungen vom gerichtl. festgelegten Ausgleichswert;  Verzinsung zwischen EzE und RK geltend machen</v>
      </c>
      <c r="I30" s="615"/>
      <c r="J30" s="756"/>
      <c r="K30" s="1144">
        <v>1</v>
      </c>
      <c r="L30" s="1144">
        <v>2</v>
      </c>
      <c r="M30" s="1144">
        <v>3</v>
      </c>
      <c r="N30" s="1144">
        <v>4</v>
      </c>
      <c r="O30" s="757"/>
      <c r="P30" s="140">
        <f t="shared" si="6"/>
        <v>10</v>
      </c>
    </row>
    <row r="31" spans="1:19" s="591" customFormat="1">
      <c r="A31" s="591" t="str">
        <f t="shared" si="0"/>
        <v>Baden-Badener Pensionskasse v. 30.11.2009</v>
      </c>
      <c r="B31" s="591">
        <f>ROW()</f>
        <v>31</v>
      </c>
      <c r="C31" s="616" t="s">
        <v>937</v>
      </c>
      <c r="D31" s="1146">
        <v>40147</v>
      </c>
      <c r="E31" s="617"/>
      <c r="F31" s="618" t="str">
        <f t="shared" si="5"/>
        <v/>
      </c>
      <c r="G31" s="615" t="str">
        <f t="shared" si="2"/>
        <v/>
      </c>
      <c r="I31" s="615"/>
      <c r="J31" s="756"/>
      <c r="K31" s="1144"/>
      <c r="L31" s="1144"/>
      <c r="M31" s="1144"/>
      <c r="N31" s="1144"/>
      <c r="O31" s="757"/>
      <c r="P31" s="140">
        <f t="shared" si="6"/>
        <v>0</v>
      </c>
    </row>
    <row r="32" spans="1:19" s="591" customFormat="1" ht="45">
      <c r="A32" s="591" t="str">
        <f t="shared" si="0"/>
        <v>Baloise Lebensversicherung AG Deutschland v. 01.10.2009</v>
      </c>
      <c r="B32" s="591">
        <f>ROW()</f>
        <v>32</v>
      </c>
      <c r="C32" s="616" t="s">
        <v>1356</v>
      </c>
      <c r="D32" s="1146">
        <v>40087</v>
      </c>
      <c r="E32" s="617">
        <v>6</v>
      </c>
      <c r="F32" s="618" t="str">
        <f t="shared" si="5"/>
        <v>Ja</v>
      </c>
      <c r="G32" s="615" t="str">
        <f t="shared" si="2"/>
        <v>TO ermöglicht: Tarifwechel; doppelten Kostenabzug;  Abweichungen vom gerichtl. festgelegten Ausgleichswert;  Verzinsung zwischen EzE und RK geltend machen</v>
      </c>
      <c r="I32" s="615"/>
      <c r="J32" s="756"/>
      <c r="K32" s="1144">
        <v>1</v>
      </c>
      <c r="L32" s="1144">
        <v>2</v>
      </c>
      <c r="M32" s="1144">
        <v>3</v>
      </c>
      <c r="N32" s="1144">
        <v>4</v>
      </c>
      <c r="O32" s="757"/>
      <c r="P32" s="140">
        <f t="shared" si="6"/>
        <v>10</v>
      </c>
      <c r="Q32" s="397"/>
      <c r="R32" s="397"/>
      <c r="S32" s="397"/>
    </row>
    <row r="33" spans="1:16" s="591" customFormat="1">
      <c r="A33" s="591" t="str">
        <f t="shared" si="0"/>
        <v>BASF Pensionskasse VVaG v. 01.07.2019</v>
      </c>
      <c r="B33" s="591">
        <f>ROW()</f>
        <v>33</v>
      </c>
      <c r="C33" s="616" t="s">
        <v>988</v>
      </c>
      <c r="D33" s="1146">
        <v>43647</v>
      </c>
      <c r="E33" s="617" t="s">
        <v>989</v>
      </c>
      <c r="F33" s="618" t="str">
        <f t="shared" si="5"/>
        <v/>
      </c>
      <c r="G33" s="615" t="str">
        <f t="shared" si="2"/>
        <v/>
      </c>
      <c r="I33" s="615"/>
      <c r="J33" s="756"/>
      <c r="K33" s="1144"/>
      <c r="L33" s="1144"/>
      <c r="M33" s="1144"/>
      <c r="N33" s="1144"/>
      <c r="O33" s="757"/>
      <c r="P33" s="140">
        <f t="shared" si="6"/>
        <v>0</v>
      </c>
    </row>
    <row r="34" spans="1:16" s="591" customFormat="1">
      <c r="A34" s="591" t="str">
        <f t="shared" si="0"/>
        <v>BASF SE v. 01.07.2019</v>
      </c>
      <c r="B34" s="591">
        <f>ROW()</f>
        <v>34</v>
      </c>
      <c r="C34" s="616" t="s">
        <v>986</v>
      </c>
      <c r="D34" s="1146">
        <v>43647</v>
      </c>
      <c r="E34" s="617" t="s">
        <v>987</v>
      </c>
      <c r="F34" s="618" t="str">
        <f t="shared" si="5"/>
        <v/>
      </c>
      <c r="G34" s="615" t="str">
        <f t="shared" si="2"/>
        <v/>
      </c>
      <c r="I34" s="615"/>
      <c r="J34" s="756"/>
      <c r="K34" s="1144"/>
      <c r="L34" s="1144"/>
      <c r="M34" s="1144"/>
      <c r="N34" s="1144"/>
      <c r="O34" s="757"/>
      <c r="P34" s="140">
        <f t="shared" si="6"/>
        <v>0</v>
      </c>
    </row>
    <row r="35" spans="1:16" s="591" customFormat="1" ht="22.5">
      <c r="A35" s="591" t="str">
        <f t="shared" ref="A35" si="7">C35&amp;IF(D35=0,""," v. "&amp;TEXT(D35,"TT.MM.JJJ"))</f>
        <v>Bausparkasse Schwäbisch Hall v. 11.12.2018</v>
      </c>
      <c r="B35" s="591">
        <f>ROW()</f>
        <v>35</v>
      </c>
      <c r="C35" s="616" t="s">
        <v>1931</v>
      </c>
      <c r="D35" s="1146">
        <v>43445</v>
      </c>
      <c r="E35" s="617" t="s">
        <v>1932</v>
      </c>
      <c r="F35" s="618"/>
      <c r="G35" s="615" t="str">
        <f t="shared" si="2"/>
        <v>TO ermöglicht:  Verzinsung zwischen EzE und RK geltend machen</v>
      </c>
      <c r="I35" s="615"/>
      <c r="J35" s="756"/>
      <c r="K35" s="1144"/>
      <c r="L35" s="1144"/>
      <c r="M35" s="1144"/>
      <c r="N35" s="1144">
        <v>4</v>
      </c>
      <c r="O35" s="757"/>
      <c r="P35" s="140"/>
    </row>
    <row r="36" spans="1:16" s="591" customFormat="1">
      <c r="A36" s="591" t="str">
        <f t="shared" si="0"/>
        <v>Bayerischer Rundfunk Tarifvertrag v. 01.12.2009</v>
      </c>
      <c r="B36" s="591">
        <f>ROW()</f>
        <v>36</v>
      </c>
      <c r="C36" s="616" t="s">
        <v>938</v>
      </c>
      <c r="D36" s="1146">
        <v>40148</v>
      </c>
      <c r="E36" s="617"/>
      <c r="F36" s="618" t="str">
        <f t="shared" si="5"/>
        <v/>
      </c>
      <c r="G36" s="615" t="str">
        <f t="shared" si="2"/>
        <v/>
      </c>
      <c r="I36" s="615"/>
      <c r="J36" s="756"/>
      <c r="K36" s="1144"/>
      <c r="L36" s="1144"/>
      <c r="M36" s="1144"/>
      <c r="N36" s="1144"/>
      <c r="O36" s="757"/>
      <c r="P36" s="140">
        <f t="shared" si="6"/>
        <v>0</v>
      </c>
    </row>
    <row r="37" spans="1:16" s="591" customFormat="1" ht="33.75">
      <c r="A37" s="591" t="str">
        <f t="shared" si="0"/>
        <v>Bayern-Versicherung LV AG v. 12.12.2020</v>
      </c>
      <c r="B37" s="591">
        <f>ROW()</f>
        <v>37</v>
      </c>
      <c r="C37" s="616" t="s">
        <v>1253</v>
      </c>
      <c r="D37" s="1146">
        <v>44177</v>
      </c>
      <c r="E37" s="617"/>
      <c r="F37" s="618" t="str">
        <f t="shared" si="5"/>
        <v>Ja</v>
      </c>
      <c r="G37" s="615" t="str">
        <f t="shared" si="2"/>
        <v xml:space="preserve">TO ermöglicht: Tarifwechel; doppelten Kostenabzug;  Abweichungen vom gerichtl. festgelegten Ausgleichswert; </v>
      </c>
      <c r="I37" s="615"/>
      <c r="J37" s="756"/>
      <c r="K37" s="1144">
        <v>1</v>
      </c>
      <c r="L37" s="1144">
        <v>2</v>
      </c>
      <c r="M37" s="1144">
        <v>3</v>
      </c>
      <c r="N37" s="1144"/>
      <c r="O37" s="757"/>
      <c r="P37" s="140">
        <f t="shared" si="6"/>
        <v>6</v>
      </c>
    </row>
    <row r="38" spans="1:16" s="591" customFormat="1" ht="22.5">
      <c r="A38" s="591" t="str">
        <f>C38&amp;IF(D38=0,""," v. "&amp;TEXT(D38,"TT.MM.JJJ"))</f>
        <v>Bayern-Versicherung LV AG v. 22.10.2022</v>
      </c>
      <c r="B38" s="591">
        <f>ROW()</f>
        <v>38</v>
      </c>
      <c r="C38" s="616" t="s">
        <v>1253</v>
      </c>
      <c r="D38" s="1146">
        <v>44856</v>
      </c>
      <c r="E38" s="617" t="s">
        <v>1627</v>
      </c>
      <c r="F38" s="618" t="str">
        <f t="shared" si="5"/>
        <v>Ja</v>
      </c>
      <c r="G38" s="615" t="str">
        <f t="shared" si="2"/>
        <v>TO ermöglicht: Tarifwechel; doppelten Kostenabzug;  Verzinsung zwischen EzE und RK geltend machen</v>
      </c>
      <c r="I38" s="615"/>
      <c r="J38" s="756"/>
      <c r="K38" s="1144">
        <v>1</v>
      </c>
      <c r="L38" s="1144">
        <v>2</v>
      </c>
      <c r="M38" s="1144"/>
      <c r="N38" s="1144">
        <v>4</v>
      </c>
      <c r="O38" s="757"/>
      <c r="P38" s="140"/>
    </row>
    <row r="39" spans="1:16" s="591" customFormat="1" ht="25.5">
      <c r="A39" s="591" t="str">
        <f t="shared" si="0"/>
        <v>BKK Mobil Oil v. 01.09.2009</v>
      </c>
      <c r="B39" s="591">
        <f>ROW()</f>
        <v>39</v>
      </c>
      <c r="C39" s="616" t="s">
        <v>781</v>
      </c>
      <c r="D39" s="1146">
        <v>40057</v>
      </c>
      <c r="E39" s="617" t="s">
        <v>769</v>
      </c>
      <c r="F39" s="618" t="str">
        <f t="shared" si="5"/>
        <v/>
      </c>
      <c r="G39" s="615" t="str">
        <f t="shared" si="2"/>
        <v xml:space="preserve">TO ermöglicht: doppelten Kostenabzug; </v>
      </c>
      <c r="I39" s="615"/>
      <c r="J39" s="756"/>
      <c r="K39" s="1144"/>
      <c r="L39" s="1144">
        <v>2</v>
      </c>
      <c r="M39" s="1144"/>
      <c r="N39" s="1144"/>
      <c r="O39" s="761" t="s">
        <v>805</v>
      </c>
      <c r="P39" s="140">
        <f t="shared" si="6"/>
        <v>2</v>
      </c>
    </row>
    <row r="40" spans="1:16" s="591" customFormat="1" ht="25.5">
      <c r="A40" s="591" t="str">
        <f t="shared" si="0"/>
        <v>BKK VBU 2012 kongruent TO v. 01.11.2012</v>
      </c>
      <c r="B40" s="591">
        <f>ROW()</f>
        <v>40</v>
      </c>
      <c r="C40" s="616" t="s">
        <v>1139</v>
      </c>
      <c r="D40" s="1146">
        <v>41214</v>
      </c>
      <c r="E40" s="617" t="s">
        <v>762</v>
      </c>
      <c r="F40" s="618" t="str">
        <f t="shared" si="5"/>
        <v/>
      </c>
      <c r="G40" s="615" t="str">
        <f t="shared" si="2"/>
        <v xml:space="preserve">TO ermöglicht: doppelten Kostenabzug; </v>
      </c>
      <c r="I40" s="615"/>
      <c r="J40" s="760"/>
      <c r="K40" s="1144"/>
      <c r="L40" s="1144">
        <v>2</v>
      </c>
      <c r="M40" s="1144"/>
      <c r="N40" s="1144"/>
      <c r="O40" s="761" t="s">
        <v>805</v>
      </c>
      <c r="P40" s="140">
        <f t="shared" si="6"/>
        <v>2</v>
      </c>
    </row>
    <row r="41" spans="1:16" s="591" customFormat="1" ht="25.5">
      <c r="A41" s="591" t="str">
        <f t="shared" si="0"/>
        <v>BKK VBU 2012 partiell TO v. 01.11.2012</v>
      </c>
      <c r="B41" s="591">
        <f>ROW()</f>
        <v>41</v>
      </c>
      <c r="C41" s="616" t="s">
        <v>1140</v>
      </c>
      <c r="D41" s="1146">
        <v>41214</v>
      </c>
      <c r="E41" s="617" t="s">
        <v>762</v>
      </c>
      <c r="F41" s="618" t="str">
        <f t="shared" si="5"/>
        <v/>
      </c>
      <c r="G41" s="615" t="str">
        <f t="shared" si="2"/>
        <v xml:space="preserve">TO ermöglicht: doppelten Kostenabzug; </v>
      </c>
      <c r="I41" s="615"/>
      <c r="J41" s="756"/>
      <c r="K41" s="1144"/>
      <c r="L41" s="1144">
        <v>2</v>
      </c>
      <c r="M41" s="1144"/>
      <c r="N41" s="1144"/>
      <c r="O41" s="761" t="s">
        <v>805</v>
      </c>
      <c r="P41" s="140">
        <f t="shared" si="6"/>
        <v>2</v>
      </c>
    </row>
    <row r="42" spans="1:16" s="591" customFormat="1" ht="25.5">
      <c r="A42" s="591" t="str">
        <f t="shared" si="0"/>
        <v>BKK VBU kongruent v. 01.11.2012</v>
      </c>
      <c r="B42" s="591">
        <f>ROW()</f>
        <v>42</v>
      </c>
      <c r="C42" s="616" t="s">
        <v>782</v>
      </c>
      <c r="D42" s="1146">
        <v>41214</v>
      </c>
      <c r="E42" s="617" t="s">
        <v>784</v>
      </c>
      <c r="F42" s="618" t="str">
        <f t="shared" si="5"/>
        <v/>
      </c>
      <c r="G42" s="615" t="str">
        <f t="shared" si="2"/>
        <v xml:space="preserve">TO ermöglicht: doppelten Kostenabzug; </v>
      </c>
      <c r="I42" s="615"/>
      <c r="J42" s="756"/>
      <c r="K42" s="1144"/>
      <c r="L42" s="1144">
        <v>2</v>
      </c>
      <c r="M42" s="1144"/>
      <c r="N42" s="1144"/>
      <c r="O42" s="761" t="s">
        <v>805</v>
      </c>
      <c r="P42" s="140">
        <f t="shared" si="6"/>
        <v>2</v>
      </c>
    </row>
    <row r="43" spans="1:16" s="591" customFormat="1" ht="25.5">
      <c r="A43" s="591" t="str">
        <f t="shared" si="0"/>
        <v>BKK VBU partiell v. 01.11.2012</v>
      </c>
      <c r="B43" s="591">
        <f>ROW()</f>
        <v>43</v>
      </c>
      <c r="C43" s="616" t="s">
        <v>783</v>
      </c>
      <c r="D43" s="1146">
        <v>41214</v>
      </c>
      <c r="E43" s="617" t="s">
        <v>785</v>
      </c>
      <c r="F43" s="618" t="str">
        <f t="shared" si="5"/>
        <v/>
      </c>
      <c r="G43" s="615" t="str">
        <f t="shared" si="2"/>
        <v xml:space="preserve">TO ermöglicht: doppelten Kostenabzug; </v>
      </c>
      <c r="I43" s="615"/>
      <c r="J43" s="760"/>
      <c r="K43" s="1144"/>
      <c r="L43" s="1144">
        <v>2</v>
      </c>
      <c r="M43" s="1144"/>
      <c r="N43" s="1144"/>
      <c r="O43" s="761" t="s">
        <v>805</v>
      </c>
      <c r="P43" s="140">
        <f t="shared" si="6"/>
        <v>2</v>
      </c>
    </row>
    <row r="44" spans="1:16" s="591" customFormat="1" ht="33.75">
      <c r="A44" s="591" t="str">
        <f t="shared" si="0"/>
        <v>Bochumer Verband - Arbeitgeberfinanzierte Versorg. v. 01.09.2009</v>
      </c>
      <c r="B44" s="591">
        <f>ROW()</f>
        <v>44</v>
      </c>
      <c r="C44" s="616" t="s">
        <v>999</v>
      </c>
      <c r="D44" s="1146">
        <v>40057</v>
      </c>
      <c r="E44" s="617" t="s">
        <v>648</v>
      </c>
      <c r="F44" s="618" t="str">
        <f t="shared" si="5"/>
        <v/>
      </c>
      <c r="G44" s="615" t="str">
        <f t="shared" si="2"/>
        <v xml:space="preserve">TO ermöglicht: doppelten Kostenabzug;  Abweichungen vom gerichtl. festgelegten Ausgleichswert; </v>
      </c>
      <c r="I44" s="615"/>
      <c r="J44" s="756"/>
      <c r="K44" s="1144"/>
      <c r="L44" s="1144">
        <v>2</v>
      </c>
      <c r="M44" s="1144">
        <v>3</v>
      </c>
      <c r="N44" s="1144"/>
      <c r="O44" s="757"/>
      <c r="P44" s="140">
        <f t="shared" si="6"/>
        <v>5</v>
      </c>
    </row>
    <row r="45" spans="1:16" s="591" customFormat="1" ht="33.75">
      <c r="A45" s="591" t="str">
        <f t="shared" si="0"/>
        <v>Bochumer Verband - Entgeldumwandlung v. 01.09.2009</v>
      </c>
      <c r="B45" s="591">
        <f>ROW()</f>
        <v>45</v>
      </c>
      <c r="C45" s="616" t="s">
        <v>998</v>
      </c>
      <c r="D45" s="1146">
        <v>40057</v>
      </c>
      <c r="E45" s="617" t="s">
        <v>648</v>
      </c>
      <c r="F45" s="618" t="str">
        <f t="shared" si="5"/>
        <v/>
      </c>
      <c r="G45" s="615" t="str">
        <f t="shared" si="2"/>
        <v xml:space="preserve">TO ermöglicht: doppelten Kostenabzug;  Abweichungen vom gerichtl. festgelegten Ausgleichswert; </v>
      </c>
      <c r="I45" s="615"/>
      <c r="J45" s="756"/>
      <c r="K45" s="1144"/>
      <c r="L45" s="1144">
        <v>2</v>
      </c>
      <c r="M45" s="1144">
        <v>3</v>
      </c>
      <c r="N45" s="1144"/>
      <c r="O45" s="757"/>
      <c r="P45" s="140">
        <f t="shared" si="6"/>
        <v>5</v>
      </c>
    </row>
    <row r="46" spans="1:16" s="591" customFormat="1">
      <c r="A46" s="591" t="str">
        <f t="shared" si="0"/>
        <v>Boehringer Ingelheim KG v. 01.07.2021</v>
      </c>
      <c r="B46" s="591">
        <f>ROW()</f>
        <v>46</v>
      </c>
      <c r="C46" s="616" t="s">
        <v>1255</v>
      </c>
      <c r="D46" s="1146">
        <v>44378</v>
      </c>
      <c r="E46" s="617" t="s">
        <v>769</v>
      </c>
      <c r="F46" s="618" t="str">
        <f t="shared" si="5"/>
        <v/>
      </c>
      <c r="G46" s="615" t="str">
        <f t="shared" si="2"/>
        <v xml:space="preserve">TO ermöglicht: doppelten Kostenabzug; </v>
      </c>
      <c r="I46" s="615"/>
      <c r="J46" s="760"/>
      <c r="K46" s="1144"/>
      <c r="L46" s="1144">
        <v>2</v>
      </c>
      <c r="M46" s="1144"/>
      <c r="N46" s="1144"/>
      <c r="O46" s="761"/>
      <c r="P46" s="140">
        <f t="shared" si="6"/>
        <v>2</v>
      </c>
    </row>
    <row r="47" spans="1:16" s="591" customFormat="1" ht="25.5">
      <c r="A47" s="591" t="str">
        <f t="shared" si="0"/>
        <v>Boge Elastmetall Unterstützungskasse e.V. v. 01.01.2018</v>
      </c>
      <c r="B47" s="591">
        <f>ROW()</f>
        <v>47</v>
      </c>
      <c r="C47" s="616" t="s">
        <v>798</v>
      </c>
      <c r="D47" s="1146">
        <v>43101</v>
      </c>
      <c r="E47" s="617" t="s">
        <v>769</v>
      </c>
      <c r="F47" s="618" t="str">
        <f t="shared" si="5"/>
        <v/>
      </c>
      <c r="G47" s="615" t="str">
        <f t="shared" si="2"/>
        <v xml:space="preserve">TO ermöglicht: doppelten Kostenabzug; </v>
      </c>
      <c r="I47" s="615"/>
      <c r="J47" s="760"/>
      <c r="K47" s="1144"/>
      <c r="L47" s="1144">
        <v>2</v>
      </c>
      <c r="M47" s="1144"/>
      <c r="N47" s="1144"/>
      <c r="O47" s="761" t="s">
        <v>805</v>
      </c>
      <c r="P47" s="140">
        <f t="shared" si="6"/>
        <v>2</v>
      </c>
    </row>
    <row r="48" spans="1:16" s="591" customFormat="1" ht="25.5">
      <c r="A48" s="591" t="str">
        <f t="shared" si="0"/>
        <v>Bombardier_TransportationTO v. 01.09.2009</v>
      </c>
      <c r="B48" s="591">
        <f>ROW()</f>
        <v>48</v>
      </c>
      <c r="C48" s="616" t="s">
        <v>1141</v>
      </c>
      <c r="D48" s="1146">
        <v>40057</v>
      </c>
      <c r="E48" s="617" t="s">
        <v>762</v>
      </c>
      <c r="F48" s="618" t="str">
        <f t="shared" si="5"/>
        <v/>
      </c>
      <c r="G48" s="615" t="str">
        <f t="shared" si="2"/>
        <v xml:space="preserve">TO ermöglicht: doppelten Kostenabzug; </v>
      </c>
      <c r="I48" s="615"/>
      <c r="J48" s="760"/>
      <c r="K48" s="1144"/>
      <c r="L48" s="1144">
        <v>2</v>
      </c>
      <c r="M48" s="1144"/>
      <c r="N48" s="1144"/>
      <c r="O48" s="761" t="s">
        <v>805</v>
      </c>
      <c r="P48" s="140">
        <f t="shared" si="6"/>
        <v>2</v>
      </c>
    </row>
    <row r="49" spans="1:16" s="591" customFormat="1" ht="56.25">
      <c r="A49" s="591" t="str">
        <f t="shared" si="0"/>
        <v>BP Europa SE v. 01.09.2009</v>
      </c>
      <c r="B49" s="591">
        <f>ROW()</f>
        <v>49</v>
      </c>
      <c r="C49" s="616" t="s">
        <v>1540</v>
      </c>
      <c r="D49" s="1146">
        <v>40057</v>
      </c>
      <c r="E49" s="617" t="s">
        <v>762</v>
      </c>
      <c r="F49" s="618"/>
      <c r="G49" s="615" t="str">
        <f t="shared" si="2"/>
        <v xml:space="preserve">TO ermöglicht: doppelten Kostenabzug; </v>
      </c>
      <c r="I49" s="615" t="s">
        <v>1541</v>
      </c>
      <c r="J49" s="760"/>
      <c r="K49" s="1144"/>
      <c r="L49" s="1144">
        <v>2</v>
      </c>
      <c r="M49" s="1144"/>
      <c r="N49" s="1144"/>
      <c r="O49" s="761"/>
      <c r="P49" s="140">
        <f t="shared" si="6"/>
        <v>2</v>
      </c>
    </row>
    <row r="50" spans="1:16" s="591" customFormat="1" ht="25.5">
      <c r="A50" s="591" t="str">
        <f t="shared" si="0"/>
        <v>BVV, Banken Versicherungs Verein v. 01.07.2016</v>
      </c>
      <c r="B50" s="591">
        <f>ROW()</f>
        <v>50</v>
      </c>
      <c r="C50" s="616" t="s">
        <v>1623</v>
      </c>
      <c r="D50" s="1146">
        <v>42552</v>
      </c>
      <c r="E50" s="617" t="s">
        <v>1063</v>
      </c>
      <c r="F50" s="618" t="str">
        <f t="shared" si="5"/>
        <v/>
      </c>
      <c r="G50" s="615" t="str">
        <f t="shared" si="2"/>
        <v>TO ermöglicht: doppelten Kostenabzug;  Verzinsung zwischen EzE und RK geltend machen</v>
      </c>
      <c r="I50" s="615" t="str">
        <f>+J50</f>
        <v>OLG FfM 4 UF 49/17</v>
      </c>
      <c r="J50" s="760" t="s">
        <v>740</v>
      </c>
      <c r="K50" s="1144"/>
      <c r="L50" s="1144">
        <v>2</v>
      </c>
      <c r="M50" s="1144"/>
      <c r="N50" s="1144">
        <v>4</v>
      </c>
      <c r="O50" s="761" t="s">
        <v>805</v>
      </c>
      <c r="P50" s="140">
        <f t="shared" si="6"/>
        <v>6</v>
      </c>
    </row>
    <row r="51" spans="1:16" s="591" customFormat="1" ht="22.5">
      <c r="A51" s="591" t="str">
        <f t="shared" si="0"/>
        <v>C &amp; A Services GmbH &amp; Co. OHG v. 01.02.2017</v>
      </c>
      <c r="B51" s="591">
        <f>ROW()</f>
        <v>51</v>
      </c>
      <c r="C51" s="616" t="s">
        <v>1517</v>
      </c>
      <c r="D51" s="1146">
        <v>42767</v>
      </c>
      <c r="E51" s="617" t="s">
        <v>1518</v>
      </c>
      <c r="F51" s="618" t="str">
        <f t="shared" si="5"/>
        <v/>
      </c>
      <c r="G51" s="615" t="str">
        <f t="shared" si="2"/>
        <v>TO ermöglicht:  Verzinsung zwischen EzE und RK geltend machen</v>
      </c>
      <c r="I51" s="615"/>
      <c r="J51" s="756"/>
      <c r="K51" s="1144"/>
      <c r="L51" s="1144"/>
      <c r="M51" s="1144"/>
      <c r="N51" s="1144">
        <v>4</v>
      </c>
      <c r="O51" s="765"/>
      <c r="P51" s="140">
        <f t="shared" si="6"/>
        <v>4</v>
      </c>
    </row>
    <row r="52" spans="1:16" s="591" customFormat="1" ht="67.5">
      <c r="A52" s="591" t="str">
        <f t="shared" si="0"/>
        <v>Carl Zeiss AG v. 27.10.2016</v>
      </c>
      <c r="B52" s="591">
        <f>ROW()</f>
        <v>52</v>
      </c>
      <c r="C52" s="616" t="s">
        <v>1527</v>
      </c>
      <c r="D52" s="1146">
        <v>42670</v>
      </c>
      <c r="E52" s="617" t="s">
        <v>479</v>
      </c>
      <c r="F52" s="618"/>
      <c r="G52" s="615" t="str">
        <f t="shared" si="2"/>
        <v/>
      </c>
      <c r="I52" s="615" t="s">
        <v>1528</v>
      </c>
      <c r="J52" s="756"/>
      <c r="K52" s="1144"/>
      <c r="L52" s="1144"/>
      <c r="M52" s="1144"/>
      <c r="N52" s="1144"/>
      <c r="O52" s="765"/>
      <c r="P52" s="140"/>
    </row>
    <row r="53" spans="1:16" s="591" customFormat="1">
      <c r="A53" s="591" t="str">
        <f t="shared" si="0"/>
        <v xml:space="preserve">Continental </v>
      </c>
      <c r="B53" s="591">
        <f>ROW()</f>
        <v>53</v>
      </c>
      <c r="C53" s="616" t="s">
        <v>739</v>
      </c>
      <c r="D53" s="1146"/>
      <c r="E53" s="617"/>
      <c r="F53" s="618" t="str">
        <f t="shared" si="5"/>
        <v>Ja</v>
      </c>
      <c r="G53" s="615" t="str">
        <f t="shared" si="2"/>
        <v xml:space="preserve">TO ermöglicht: Tarifwechel; </v>
      </c>
      <c r="I53" s="615"/>
      <c r="J53" s="756"/>
      <c r="K53" s="1144">
        <v>1</v>
      </c>
      <c r="L53" s="1144"/>
      <c r="M53" s="1144"/>
      <c r="N53" s="1144"/>
      <c r="O53" s="765"/>
      <c r="P53" s="140">
        <f t="shared" si="6"/>
        <v>1</v>
      </c>
    </row>
    <row r="54" spans="1:16" ht="25.5">
      <c r="A54" s="591" t="str">
        <f t="shared" si="0"/>
        <v>COOP eG Gesamr Versorgungsrichtlinie v. 01.09.2009</v>
      </c>
      <c r="B54" s="591">
        <f>ROW()</f>
        <v>54</v>
      </c>
      <c r="C54" s="616" t="s">
        <v>789</v>
      </c>
      <c r="D54" s="1146">
        <v>40057</v>
      </c>
      <c r="E54" s="617" t="s">
        <v>769</v>
      </c>
      <c r="F54" s="618" t="str">
        <f t="shared" si="5"/>
        <v/>
      </c>
      <c r="G54" s="615" t="str">
        <f t="shared" si="2"/>
        <v xml:space="preserve">TO ermöglicht: doppelten Kostenabzug; </v>
      </c>
      <c r="H54" s="591"/>
      <c r="K54" s="1144"/>
      <c r="L54" s="1144">
        <v>2</v>
      </c>
      <c r="M54" s="1144"/>
      <c r="N54" s="1144"/>
      <c r="O54" s="761" t="s">
        <v>805</v>
      </c>
      <c r="P54" s="140">
        <f t="shared" si="6"/>
        <v>2</v>
      </c>
    </row>
    <row r="55" spans="1:16" s="591" customFormat="1" ht="25.5">
      <c r="A55" s="591" t="str">
        <f t="shared" si="0"/>
        <v>COOP Schleswig Holstein Rentenzuschusskasse v. 01.01.2019</v>
      </c>
      <c r="B55" s="591">
        <f>ROW()</f>
        <v>55</v>
      </c>
      <c r="C55" s="616" t="s">
        <v>779</v>
      </c>
      <c r="D55" s="1146">
        <v>43466</v>
      </c>
      <c r="E55" s="617" t="s">
        <v>769</v>
      </c>
      <c r="F55" s="618" t="str">
        <f t="shared" si="5"/>
        <v/>
      </c>
      <c r="G55" s="615" t="str">
        <f t="shared" si="2"/>
        <v xml:space="preserve">TO ermöglicht: doppelten Kostenabzug; </v>
      </c>
      <c r="H55"/>
      <c r="I55" s="615"/>
      <c r="J55" s="756"/>
      <c r="K55" s="1144"/>
      <c r="L55" s="1144">
        <v>2</v>
      </c>
      <c r="M55" s="1144"/>
      <c r="N55" s="1144"/>
      <c r="O55" s="761" t="s">
        <v>805</v>
      </c>
      <c r="P55" s="140">
        <f t="shared" si="6"/>
        <v>2</v>
      </c>
    </row>
    <row r="56" spans="1:16" ht="45">
      <c r="A56" s="591" t="str">
        <f t="shared" si="0"/>
        <v>Cosmos Direkt v. 01.01.2010</v>
      </c>
      <c r="B56" s="591">
        <f>ROW()</f>
        <v>56</v>
      </c>
      <c r="C56" s="616" t="s">
        <v>918</v>
      </c>
      <c r="D56" s="1146">
        <v>40179</v>
      </c>
      <c r="E56" s="617" t="s">
        <v>919</v>
      </c>
      <c r="F56" s="618" t="str">
        <f t="shared" si="5"/>
        <v>Ja</v>
      </c>
      <c r="G56" s="615" t="str">
        <f t="shared" si="2"/>
        <v>TO ermöglicht: Tarifwechel; doppelten Kostenabzug;  Abweichungen vom gerichtl. festgelegten Ausgleichswert;  Verzinsung zwischen EzE und RK geltend machen</v>
      </c>
      <c r="H56" s="591"/>
      <c r="K56" s="1144">
        <v>1</v>
      </c>
      <c r="L56" s="1144">
        <v>2</v>
      </c>
      <c r="M56" s="1144">
        <v>3</v>
      </c>
      <c r="N56" s="1144">
        <v>4</v>
      </c>
      <c r="P56" s="140">
        <f t="shared" si="6"/>
        <v>10</v>
      </c>
    </row>
    <row r="57" spans="1:16" s="591" customFormat="1" ht="25.5">
      <c r="A57" s="591" t="str">
        <f t="shared" si="0"/>
        <v>CSM Deutschland GmbH v. 01.07.2021</v>
      </c>
      <c r="B57" s="591">
        <f>ROW()</f>
        <v>57</v>
      </c>
      <c r="C57" s="616" t="s">
        <v>1254</v>
      </c>
      <c r="D57" s="1146">
        <v>44378</v>
      </c>
      <c r="E57" s="617" t="s">
        <v>769</v>
      </c>
      <c r="F57" s="618" t="str">
        <f t="shared" si="5"/>
        <v/>
      </c>
      <c r="G57" s="615" t="str">
        <f t="shared" si="2"/>
        <v xml:space="preserve">TO ermöglicht: doppelten Kostenabzug; </v>
      </c>
      <c r="H57"/>
      <c r="I57" s="615"/>
      <c r="J57" s="760"/>
      <c r="K57" s="1144"/>
      <c r="L57" s="1144">
        <v>2</v>
      </c>
      <c r="M57" s="1144"/>
      <c r="N57" s="1144"/>
      <c r="O57" s="761" t="s">
        <v>805</v>
      </c>
      <c r="P57" s="140">
        <f t="shared" si="6"/>
        <v>2</v>
      </c>
    </row>
    <row r="58" spans="1:16" ht="33.75">
      <c r="A58" s="591" t="str">
        <f t="shared" si="0"/>
        <v>DAG Stiftung Ruhegehaltskasse v. 10.12.2015</v>
      </c>
      <c r="B58" s="591">
        <f>ROW()</f>
        <v>58</v>
      </c>
      <c r="C58" s="616" t="s">
        <v>719</v>
      </c>
      <c r="D58" s="1146">
        <v>42348</v>
      </c>
      <c r="E58" s="617" t="s">
        <v>720</v>
      </c>
      <c r="F58" s="618" t="str">
        <f t="shared" si="5"/>
        <v/>
      </c>
      <c r="G58" s="615" t="str">
        <f t="shared" si="2"/>
        <v xml:space="preserve">TO ermöglicht: doppelten Kostenabzug; </v>
      </c>
      <c r="H58" s="591"/>
      <c r="K58" s="1144"/>
      <c r="L58" s="1144">
        <v>2</v>
      </c>
      <c r="M58" s="1144"/>
      <c r="N58" s="1144"/>
      <c r="O58" s="765" t="s">
        <v>721</v>
      </c>
      <c r="P58" s="140">
        <f t="shared" si="6"/>
        <v>2</v>
      </c>
    </row>
    <row r="59" spans="1:16" ht="33.75">
      <c r="A59" s="591" t="str">
        <f t="shared" si="0"/>
        <v>Daimler Brand &amp; IP Management GmbH &amp; Co.KG v. 01.04.2021</v>
      </c>
      <c r="B59" s="591">
        <f>ROW()</f>
        <v>59</v>
      </c>
      <c r="C59" s="616" t="s">
        <v>1009</v>
      </c>
      <c r="D59" s="1146">
        <v>44287</v>
      </c>
      <c r="E59" s="617" t="s">
        <v>1006</v>
      </c>
      <c r="F59" s="618" t="str">
        <f t="shared" si="5"/>
        <v/>
      </c>
      <c r="G59" s="615" t="str">
        <f t="shared" si="2"/>
        <v>TO ermöglicht: doppelten Kostenabzug;  Verzinsung zwischen EzE und RK geltend machen</v>
      </c>
      <c r="I59" s="615" t="s">
        <v>1259</v>
      </c>
      <c r="K59" s="1144"/>
      <c r="L59" s="1144">
        <v>2</v>
      </c>
      <c r="M59" s="1144"/>
      <c r="N59" s="1144">
        <v>4</v>
      </c>
      <c r="P59" s="140">
        <f t="shared" si="6"/>
        <v>6</v>
      </c>
    </row>
    <row r="60" spans="1:16" s="591" customFormat="1" ht="33.75">
      <c r="A60" s="591" t="str">
        <f t="shared" si="0"/>
        <v>Daimler Truck AG v. 01.04.2021</v>
      </c>
      <c r="B60" s="591">
        <f>ROW()</f>
        <v>60</v>
      </c>
      <c r="C60" s="616" t="s">
        <v>1008</v>
      </c>
      <c r="D60" s="1146">
        <v>44287</v>
      </c>
      <c r="E60" s="617" t="s">
        <v>1006</v>
      </c>
      <c r="F60" s="618" t="str">
        <f t="shared" si="5"/>
        <v/>
      </c>
      <c r="G60" s="615" t="str">
        <f t="shared" si="2"/>
        <v>TO ermöglicht: doppelten Kostenabzug;  Verzinsung zwischen EzE und RK geltend machen</v>
      </c>
      <c r="H60"/>
      <c r="I60" s="615" t="s">
        <v>1259</v>
      </c>
      <c r="J60" s="756"/>
      <c r="K60" s="1144"/>
      <c r="L60" s="1144">
        <v>2</v>
      </c>
      <c r="M60" s="1144"/>
      <c r="N60" s="1144">
        <v>4</v>
      </c>
      <c r="O60" s="996"/>
      <c r="P60" s="140">
        <f t="shared" si="6"/>
        <v>6</v>
      </c>
    </row>
    <row r="61" spans="1:16" ht="33.75">
      <c r="A61" s="591" t="str">
        <f t="shared" si="0"/>
        <v>Daimler Vorsorge Kapital Teilungsordnung v. 01.04.2021</v>
      </c>
      <c r="B61" s="591">
        <f>ROW()</f>
        <v>61</v>
      </c>
      <c r="C61" s="616" t="s">
        <v>1005</v>
      </c>
      <c r="D61" s="1146">
        <v>44287</v>
      </c>
      <c r="E61" s="617" t="s">
        <v>1006</v>
      </c>
      <c r="F61" s="618" t="str">
        <f t="shared" si="5"/>
        <v/>
      </c>
      <c r="G61" s="615" t="str">
        <f t="shared" si="2"/>
        <v>TO ermöglicht: doppelten Kostenabzug;  Verzinsung zwischen EzE und RK geltend machen</v>
      </c>
      <c r="H61" s="591"/>
      <c r="I61" s="615" t="s">
        <v>1259</v>
      </c>
      <c r="K61" s="1144"/>
      <c r="L61" s="1144">
        <v>2</v>
      </c>
      <c r="M61" s="1144"/>
      <c r="N61" s="1144">
        <v>4</v>
      </c>
      <c r="O61" s="996"/>
      <c r="P61" s="140">
        <f t="shared" si="6"/>
        <v>6</v>
      </c>
    </row>
    <row r="62" spans="1:16" ht="33.75">
      <c r="A62" s="591" t="str">
        <f t="shared" si="0"/>
        <v>DAK Hamburg  v. 01.01.2022</v>
      </c>
      <c r="B62" s="591">
        <f>ROW()</f>
        <v>62</v>
      </c>
      <c r="C62" s="616" t="s">
        <v>1175</v>
      </c>
      <c r="D62" s="1146">
        <v>44562</v>
      </c>
      <c r="E62" s="617" t="s">
        <v>1202</v>
      </c>
      <c r="F62" s="618" t="str">
        <f t="shared" si="5"/>
        <v/>
      </c>
      <c r="G62" s="615" t="str">
        <f t="shared" si="2"/>
        <v>TO ermöglicht:  Abweichungen vom gerichtl. festgelegten Ausgleichswert;  Verzinsung zwischen EzE und RK geltend machen</v>
      </c>
      <c r="K62" s="1144"/>
      <c r="L62" s="1144"/>
      <c r="M62" s="1144">
        <v>3</v>
      </c>
      <c r="N62" s="1144">
        <v>4</v>
      </c>
      <c r="P62" s="140">
        <f t="shared" si="6"/>
        <v>7</v>
      </c>
    </row>
    <row r="63" spans="1:16" ht="56.25">
      <c r="A63" s="591" t="str">
        <f t="shared" si="0"/>
        <v>DAK Hamburg  v. 10.07.2013</v>
      </c>
      <c r="B63" s="591">
        <f>ROW()</f>
        <v>63</v>
      </c>
      <c r="C63" s="616" t="s">
        <v>1175</v>
      </c>
      <c r="D63" s="1146">
        <v>41465</v>
      </c>
      <c r="E63" s="617" t="s">
        <v>195</v>
      </c>
      <c r="F63" s="618" t="str">
        <f t="shared" si="5"/>
        <v/>
      </c>
      <c r="G63" s="615" t="str">
        <f t="shared" si="2"/>
        <v>TO ermöglicht: doppelten Kostenabzug;  Abweichungen vom gerichtl. festgelegten Ausgleichswert;  Verzinsung zwischen EzE und RK geltend machen</v>
      </c>
      <c r="I63" s="615" t="s">
        <v>1176</v>
      </c>
      <c r="K63" s="1144"/>
      <c r="L63" s="1144">
        <v>2</v>
      </c>
      <c r="M63" s="1144">
        <v>3</v>
      </c>
      <c r="N63" s="1144">
        <v>4</v>
      </c>
      <c r="P63" s="140">
        <f t="shared" si="6"/>
        <v>9</v>
      </c>
    </row>
    <row r="64" spans="1:16" s="591" customFormat="1">
      <c r="A64" s="591" t="str">
        <f t="shared" si="0"/>
        <v>Damovo Deutschland GmbH &amp; Co. KG v. 24.08.2009</v>
      </c>
      <c r="B64" s="591">
        <f>ROW()</f>
        <v>64</v>
      </c>
      <c r="C64" s="616" t="s">
        <v>936</v>
      </c>
      <c r="D64" s="1146">
        <v>40049</v>
      </c>
      <c r="E64" s="617"/>
      <c r="F64" s="618" t="str">
        <f t="shared" si="5"/>
        <v/>
      </c>
      <c r="G64" s="615" t="str">
        <f t="shared" si="2"/>
        <v xml:space="preserve">TO ermöglicht: doppelten Kostenabzug; </v>
      </c>
      <c r="H64"/>
      <c r="I64" s="615"/>
      <c r="J64" s="756"/>
      <c r="K64" s="1144"/>
      <c r="L64" s="1144">
        <v>2</v>
      </c>
      <c r="M64" s="1144"/>
      <c r="N64" s="1144"/>
      <c r="O64" s="757"/>
      <c r="P64" s="140">
        <f t="shared" si="6"/>
        <v>2</v>
      </c>
    </row>
    <row r="65" spans="1:16" ht="45">
      <c r="A65" s="591" t="str">
        <f t="shared" si="0"/>
        <v>Debeka Lebensversicherungsverein a.G.  v. 01.08.2020</v>
      </c>
      <c r="B65" s="591">
        <f>ROW()</f>
        <v>65</v>
      </c>
      <c r="C65" s="616" t="s">
        <v>1142</v>
      </c>
      <c r="D65" s="1146">
        <v>44044</v>
      </c>
      <c r="E65" s="617" t="s">
        <v>1011</v>
      </c>
      <c r="F65" s="618" t="str">
        <f t="shared" si="5"/>
        <v>Ja</v>
      </c>
      <c r="G65" s="615" t="str">
        <f t="shared" si="2"/>
        <v>TO ermöglicht: Tarifwechel; doppelten Kostenabzug;  Abweichungen vom gerichtl. festgelegten Ausgleichswert;  Verzinsung zwischen EzE und RK geltend machen</v>
      </c>
      <c r="H65" s="591"/>
      <c r="K65" s="1144">
        <v>1</v>
      </c>
      <c r="L65" s="1144">
        <v>2</v>
      </c>
      <c r="M65" s="1144">
        <v>3</v>
      </c>
      <c r="N65" s="1144">
        <v>4</v>
      </c>
      <c r="P65" s="140">
        <f t="shared" si="6"/>
        <v>10</v>
      </c>
    </row>
    <row r="66" spans="1:16" ht="45">
      <c r="A66" s="591" t="str">
        <f t="shared" si="0"/>
        <v>Debeka Lebensversicherungsverein a.G. AltZertG-Verträge v. 01.01.2017</v>
      </c>
      <c r="B66" s="591">
        <f>ROW()</f>
        <v>66</v>
      </c>
      <c r="C66" s="616" t="s">
        <v>1301</v>
      </c>
      <c r="D66" s="1146">
        <v>42736</v>
      </c>
      <c r="E66" s="617" t="s">
        <v>1045</v>
      </c>
      <c r="F66" s="618" t="str">
        <f t="shared" si="5"/>
        <v>Ja</v>
      </c>
      <c r="G66" s="615" t="str">
        <f t="shared" si="2"/>
        <v>TO ermöglicht: Tarifwechel; doppelten Kostenabzug;  Abweichungen vom gerichtl. festgelegten Ausgleichswert;  Verzinsung zwischen EzE und RK geltend machen</v>
      </c>
      <c r="K66" s="1144">
        <v>1</v>
      </c>
      <c r="L66" s="1144">
        <v>2</v>
      </c>
      <c r="M66" s="1144">
        <v>3</v>
      </c>
      <c r="N66" s="1144">
        <v>4</v>
      </c>
      <c r="P66" s="140">
        <f t="shared" si="6"/>
        <v>10</v>
      </c>
    </row>
    <row r="67" spans="1:16">
      <c r="A67" s="591" t="str">
        <f t="shared" si="0"/>
        <v>Debeka ZVK VaG Tarif ZVD 7 v. 79-2021</v>
      </c>
      <c r="B67" s="591">
        <f>ROW()</f>
        <v>67</v>
      </c>
      <c r="C67" s="616" t="s">
        <v>1532</v>
      </c>
      <c r="D67" s="1146" t="s">
        <v>1533</v>
      </c>
      <c r="E67" s="617" t="s">
        <v>1534</v>
      </c>
      <c r="F67" s="618"/>
      <c r="K67" s="1144"/>
      <c r="L67" s="1144"/>
      <c r="M67" s="1144"/>
      <c r="N67" s="1144">
        <v>4</v>
      </c>
      <c r="P67" s="140"/>
    </row>
    <row r="68" spans="1:16" s="591" customFormat="1">
      <c r="A68" s="591" t="str">
        <f t="shared" si="0"/>
        <v>Decadia GmbH v. 16.09.2016</v>
      </c>
      <c r="B68" s="591">
        <f>ROW()</f>
        <v>68</v>
      </c>
      <c r="C68" s="616" t="s">
        <v>1224</v>
      </c>
      <c r="D68" s="1146">
        <v>42629</v>
      </c>
      <c r="E68" s="617">
        <v>5</v>
      </c>
      <c r="F68" s="618" t="str">
        <f t="shared" si="5"/>
        <v/>
      </c>
      <c r="G68" s="615" t="str">
        <f t="shared" si="2"/>
        <v/>
      </c>
      <c r="H68"/>
      <c r="I68" s="615"/>
      <c r="J68" s="756"/>
      <c r="K68" s="1144"/>
      <c r="L68" s="1144"/>
      <c r="M68" s="1144"/>
      <c r="N68" s="1144"/>
      <c r="O68" s="757"/>
      <c r="P68" s="140">
        <f t="shared" si="6"/>
        <v>0</v>
      </c>
    </row>
    <row r="69" spans="1:16" ht="22.5">
      <c r="A69" s="591" t="str">
        <f t="shared" si="0"/>
        <v>Degussa Pensionskasse Marl Troisdorf v. 01.07.2016</v>
      </c>
      <c r="B69" s="591">
        <f>ROW()</f>
        <v>69</v>
      </c>
      <c r="C69" s="616" t="s">
        <v>994</v>
      </c>
      <c r="D69" s="1146">
        <v>42552</v>
      </c>
      <c r="E69" s="617" t="s">
        <v>995</v>
      </c>
      <c r="F69" s="618" t="str">
        <f t="shared" si="5"/>
        <v/>
      </c>
      <c r="G69" s="615" t="str">
        <f t="shared" si="2"/>
        <v>TO ermöglicht:  Verzinsung zwischen EzE und RK geltend machen</v>
      </c>
      <c r="K69" s="1144"/>
      <c r="L69" s="1144"/>
      <c r="M69" s="1144"/>
      <c r="N69" s="1144">
        <v>4</v>
      </c>
      <c r="P69" s="140">
        <f t="shared" si="6"/>
        <v>4</v>
      </c>
    </row>
    <row r="70" spans="1:16" ht="22.5">
      <c r="A70" s="591" t="str">
        <f t="shared" si="0"/>
        <v>Degussa Pensionskasse Riester-Tarif v. 01.06.2016</v>
      </c>
      <c r="B70" s="591">
        <f>ROW()</f>
        <v>70</v>
      </c>
      <c r="C70" s="616" t="s">
        <v>992</v>
      </c>
      <c r="D70" s="1146">
        <v>42522</v>
      </c>
      <c r="E70" s="617" t="s">
        <v>993</v>
      </c>
      <c r="F70" s="618" t="str">
        <f t="shared" si="5"/>
        <v/>
      </c>
      <c r="G70" s="615" t="str">
        <f t="shared" si="2"/>
        <v>TO ermöglicht:  Verzinsung zwischen EzE und RK geltend machen</v>
      </c>
      <c r="J70" s="760"/>
      <c r="K70" s="1144"/>
      <c r="L70" s="1144"/>
      <c r="M70" s="1144"/>
      <c r="N70" s="1144">
        <v>4</v>
      </c>
      <c r="P70" s="140">
        <f t="shared" si="6"/>
        <v>4</v>
      </c>
    </row>
    <row r="71" spans="1:16" ht="22.5">
      <c r="A71" s="591" t="str">
        <f t="shared" si="0"/>
        <v>Degussa Pensionskasse v. 01.06.2016</v>
      </c>
      <c r="B71" s="591">
        <f>ROW()</f>
        <v>71</v>
      </c>
      <c r="C71" s="616" t="s">
        <v>990</v>
      </c>
      <c r="D71" s="1146">
        <v>42522</v>
      </c>
      <c r="E71" s="617" t="s">
        <v>991</v>
      </c>
      <c r="F71" s="618" t="str">
        <f t="shared" si="5"/>
        <v/>
      </c>
      <c r="G71" s="615" t="str">
        <f t="shared" si="2"/>
        <v>TO ermöglicht:  Verzinsung zwischen EzE und RK geltend machen</v>
      </c>
      <c r="H71" s="591"/>
      <c r="K71" s="1144"/>
      <c r="L71" s="1144"/>
      <c r="M71" s="1144"/>
      <c r="N71" s="1144">
        <v>4</v>
      </c>
      <c r="P71" s="140">
        <f t="shared" si="6"/>
        <v>4</v>
      </c>
    </row>
    <row r="72" spans="1:16" ht="22.5">
      <c r="A72" s="591" t="str">
        <f t="shared" si="0"/>
        <v>Degussa UK Leistungsplan RUK v. 01.07.2018</v>
      </c>
      <c r="B72" s="591">
        <f>ROW()</f>
        <v>72</v>
      </c>
      <c r="C72" s="616" t="s">
        <v>1143</v>
      </c>
      <c r="D72" s="1146">
        <v>43282</v>
      </c>
      <c r="E72" s="617" t="s">
        <v>996</v>
      </c>
      <c r="F72" s="618" t="str">
        <f t="shared" si="5"/>
        <v/>
      </c>
      <c r="G72" s="615" t="str">
        <f t="shared" si="2"/>
        <v>TO ermöglicht:  Verzinsung zwischen EzE und RK geltend machen</v>
      </c>
      <c r="K72" s="1144"/>
      <c r="L72" s="1144"/>
      <c r="M72" s="1144"/>
      <c r="N72" s="1144">
        <v>4</v>
      </c>
      <c r="P72" s="140">
        <f t="shared" si="6"/>
        <v>4</v>
      </c>
    </row>
    <row r="73" spans="1:16" s="591" customFormat="1" ht="25.5">
      <c r="A73" s="591" t="str">
        <f t="shared" si="0"/>
        <v>Degussa UK Leistungsplan RUK vor 2018</v>
      </c>
      <c r="B73" s="591">
        <f>ROW()</f>
        <v>73</v>
      </c>
      <c r="C73" s="616" t="s">
        <v>997</v>
      </c>
      <c r="D73" s="1146"/>
      <c r="E73" s="617" t="s">
        <v>996</v>
      </c>
      <c r="F73" s="618" t="str">
        <f t="shared" si="5"/>
        <v/>
      </c>
      <c r="G73" s="615" t="str">
        <f t="shared" si="2"/>
        <v>TO ermöglicht:  Verzinsung zwischen EzE und RK geltend machen</v>
      </c>
      <c r="H73"/>
      <c r="I73" s="615"/>
      <c r="J73" s="760"/>
      <c r="K73" s="1144"/>
      <c r="L73" s="1144"/>
      <c r="M73" s="1144"/>
      <c r="N73" s="1144">
        <v>4</v>
      </c>
      <c r="O73" s="757"/>
      <c r="P73" s="140">
        <f t="shared" si="6"/>
        <v>4</v>
      </c>
    </row>
    <row r="74" spans="1:16" ht="22.5">
      <c r="A74" s="591" t="str">
        <f t="shared" si="0"/>
        <v>Deka-BonusRente</v>
      </c>
      <c r="B74" s="591">
        <f>ROW()</f>
        <v>74</v>
      </c>
      <c r="C74" s="616" t="s">
        <v>1038</v>
      </c>
      <c r="E74" s="617" t="s">
        <v>653</v>
      </c>
      <c r="F74" s="618" t="str">
        <f t="shared" si="5"/>
        <v>Ja</v>
      </c>
      <c r="G74" s="615" t="str">
        <f t="shared" si="2"/>
        <v>TO ermöglicht: Tarifwechel; doppelten Kostenabzug;  Verzinsung zwischen EzE und RK geltend machen</v>
      </c>
      <c r="H74" s="591"/>
      <c r="J74" s="760"/>
      <c r="K74" s="1144">
        <v>1</v>
      </c>
      <c r="L74" s="1144">
        <v>2</v>
      </c>
      <c r="M74" s="1144"/>
      <c r="N74" s="1144">
        <v>4</v>
      </c>
      <c r="O74" s="928" t="s">
        <v>1039</v>
      </c>
      <c r="P74" s="140">
        <f t="shared" si="6"/>
        <v>7</v>
      </c>
    </row>
    <row r="75" spans="1:16" ht="22.5">
      <c r="A75" s="591" t="str">
        <f t="shared" si="0"/>
        <v>Deka-ZukunftsPlan</v>
      </c>
      <c r="B75" s="591">
        <f>ROW()</f>
        <v>75</v>
      </c>
      <c r="C75" s="616" t="s">
        <v>1037</v>
      </c>
      <c r="E75" s="617" t="s">
        <v>653</v>
      </c>
      <c r="F75" s="618" t="str">
        <f t="shared" si="5"/>
        <v>Ja</v>
      </c>
      <c r="G75" s="615" t="str">
        <f t="shared" si="2"/>
        <v>TO ermöglicht: Tarifwechel; doppelten Kostenabzug;  Verzinsung zwischen EzE und RK geltend machen</v>
      </c>
      <c r="J75" s="760"/>
      <c r="K75" s="1144">
        <v>1</v>
      </c>
      <c r="L75" s="1144">
        <v>2</v>
      </c>
      <c r="M75" s="1144"/>
      <c r="N75" s="1144">
        <v>4</v>
      </c>
      <c r="O75" s="928" t="s">
        <v>1039</v>
      </c>
      <c r="P75" s="140">
        <f t="shared" si="6"/>
        <v>7</v>
      </c>
    </row>
    <row r="76" spans="1:16" ht="90">
      <c r="A76" s="591" t="str">
        <f t="shared" si="0"/>
        <v>Deka-Zukunftsplan und BonusRente v. 01.01.2019</v>
      </c>
      <c r="B76" s="591">
        <f>ROW()</f>
        <v>76</v>
      </c>
      <c r="C76" s="616" t="s">
        <v>1462</v>
      </c>
      <c r="D76" s="1146">
        <v>43466</v>
      </c>
      <c r="E76" s="617" t="s">
        <v>653</v>
      </c>
      <c r="F76" s="618" t="s">
        <v>465</v>
      </c>
      <c r="G76" s="615" t="str">
        <f t="shared" si="2"/>
        <v>TO ermöglicht: Tarifwechel; doppelten Kostenabzug;  Verzinsung zwischen EzE und RK geltend machen</v>
      </c>
      <c r="I76" s="615" t="s">
        <v>1463</v>
      </c>
      <c r="J76" s="760"/>
      <c r="K76" s="1144">
        <v>1</v>
      </c>
      <c r="L76" s="1144">
        <v>2</v>
      </c>
      <c r="M76" s="1144"/>
      <c r="N76" s="1144">
        <v>4</v>
      </c>
      <c r="O76" s="928"/>
      <c r="P76" s="140">
        <f t="shared" si="6"/>
        <v>7</v>
      </c>
    </row>
    <row r="77" spans="1:16" ht="33.75">
      <c r="A77" s="591" t="str">
        <f t="shared" si="0"/>
        <v>Delta Lloyd Lebensversicherung</v>
      </c>
      <c r="B77" s="591">
        <f>ROW()</f>
        <v>77</v>
      </c>
      <c r="C77" s="616" t="s">
        <v>713</v>
      </c>
      <c r="E77" s="617" t="s">
        <v>715</v>
      </c>
      <c r="F77" s="618" t="str">
        <f>IF(K77=1,"Ja","")</f>
        <v>Ja</v>
      </c>
      <c r="G77" s="615" t="str">
        <f t="shared" si="2"/>
        <v xml:space="preserve">TO ermöglicht: Tarifwechel; </v>
      </c>
      <c r="K77" s="1144">
        <v>1</v>
      </c>
      <c r="L77" s="1144"/>
      <c r="M77" s="1144"/>
      <c r="N77" s="1144"/>
      <c r="O77" s="765" t="s">
        <v>716</v>
      </c>
      <c r="P77" s="140">
        <f t="shared" si="6"/>
        <v>1</v>
      </c>
    </row>
    <row r="78" spans="1:16" ht="33.75">
      <c r="A78" s="591" t="str">
        <f t="shared" ref="A78:A146" si="8">C78&amp;IF(D78=0,""," v. "&amp;TEXT(D78,"TT.MM.JJJ"))</f>
        <v>Delta Lloyd Pensionskasse</v>
      </c>
      <c r="B78" s="591">
        <f>ROW()</f>
        <v>78</v>
      </c>
      <c r="C78" s="616" t="s">
        <v>712</v>
      </c>
      <c r="E78" s="617" t="s">
        <v>715</v>
      </c>
      <c r="F78" s="618" t="str">
        <f>IF(K78=1,"Ja","")</f>
        <v>Ja</v>
      </c>
      <c r="G78" s="615" t="str">
        <f t="shared" ref="G78:G146" si="9">IF(SUM(K78:N78)=0,"","TO ermöglicht: "&amp;IF(K78&gt;0,"Tarifwechel; ","")&amp;IF(L78&gt;0,"doppelten Kostenabzug; ","")&amp;IF(M78&gt;0," Abweichungen vom gerichtl. festgelegten Ausgleichswert; ","")&amp;IF(N78&gt;0," Verzinsung zwischen EzE und RK geltend machen",""))</f>
        <v xml:space="preserve">TO ermöglicht: Tarifwechel; </v>
      </c>
      <c r="K78" s="1144">
        <v>1</v>
      </c>
      <c r="L78" s="1144"/>
      <c r="M78" s="1144"/>
      <c r="N78" s="1144"/>
      <c r="O78" s="765" t="s">
        <v>716</v>
      </c>
      <c r="P78" s="140">
        <f t="shared" si="6"/>
        <v>1</v>
      </c>
    </row>
    <row r="79" spans="1:16" ht="22.5">
      <c r="A79" s="591" t="str">
        <f t="shared" si="8"/>
        <v>Deutsche Ärzteversicherung AG v. 01.05.2020</v>
      </c>
      <c r="B79" s="591">
        <f>ROW()</f>
        <v>79</v>
      </c>
      <c r="C79" s="616" t="s">
        <v>1461</v>
      </c>
      <c r="D79" s="1146">
        <v>43952</v>
      </c>
      <c r="E79" s="617">
        <v>5</v>
      </c>
      <c r="F79" s="618" t="s">
        <v>465</v>
      </c>
      <c r="G79" s="615" t="str">
        <f t="shared" si="9"/>
        <v>TO ermöglicht: Tarifwechel; doppelten Kostenabzug;  Verzinsung zwischen EzE und RK geltend machen</v>
      </c>
      <c r="K79" s="1144">
        <v>1</v>
      </c>
      <c r="L79" s="1144">
        <v>2</v>
      </c>
      <c r="M79" s="1144"/>
      <c r="N79" s="1144">
        <v>4</v>
      </c>
      <c r="O79" s="765"/>
      <c r="P79" s="140">
        <f t="shared" si="6"/>
        <v>7</v>
      </c>
    </row>
    <row r="80" spans="1:16">
      <c r="A80" s="591" t="str">
        <f t="shared" si="8"/>
        <v>Deutsche Bank v. 01.04.2016</v>
      </c>
      <c r="B80" s="591">
        <f>ROW()</f>
        <v>80</v>
      </c>
      <c r="C80" s="616" t="s">
        <v>658</v>
      </c>
      <c r="D80" s="1146">
        <v>42461</v>
      </c>
      <c r="E80" s="617" t="s">
        <v>659</v>
      </c>
      <c r="F80" s="618" t="str">
        <f t="shared" ref="F80:F148" si="10">IF(K80=1,"Ja","")</f>
        <v/>
      </c>
      <c r="G80" s="615" t="str">
        <f t="shared" si="9"/>
        <v/>
      </c>
      <c r="K80" s="1144"/>
      <c r="L80" s="1144"/>
      <c r="M80" s="1144"/>
      <c r="N80" s="1144"/>
      <c r="O80" s="615"/>
      <c r="P80" s="140">
        <f t="shared" si="6"/>
        <v>0</v>
      </c>
    </row>
    <row r="81" spans="1:16">
      <c r="A81" s="591" t="str">
        <f t="shared" si="8"/>
        <v>Deutsche Bank v. 01.07.2021</v>
      </c>
      <c r="B81" s="591">
        <f>ROW()</f>
        <v>81</v>
      </c>
      <c r="C81" s="616" t="s">
        <v>658</v>
      </c>
      <c r="D81" s="1146">
        <v>44378</v>
      </c>
      <c r="F81" s="618" t="str">
        <f t="shared" si="10"/>
        <v/>
      </c>
      <c r="G81" s="615" t="str">
        <f t="shared" si="9"/>
        <v xml:space="preserve">TO ermöglicht: doppelten Kostenabzug; </v>
      </c>
      <c r="K81" s="1144"/>
      <c r="L81" s="1144">
        <v>2</v>
      </c>
      <c r="M81" s="1144"/>
      <c r="N81" s="1144"/>
      <c r="P81" s="140">
        <f t="shared" si="6"/>
        <v>2</v>
      </c>
    </row>
    <row r="82" spans="1:16" ht="25.5">
      <c r="A82" s="591" t="str">
        <f t="shared" si="8"/>
        <v>Deutsche Fertighaus Holding UK DFH v. 01.09.2009</v>
      </c>
      <c r="B82" s="591">
        <f>ROW()</f>
        <v>82</v>
      </c>
      <c r="C82" s="616" t="s">
        <v>776</v>
      </c>
      <c r="D82" s="1146">
        <v>40057</v>
      </c>
      <c r="E82" s="617" t="s">
        <v>769</v>
      </c>
      <c r="F82" s="618" t="str">
        <f t="shared" si="10"/>
        <v/>
      </c>
      <c r="G82" s="615" t="str">
        <f t="shared" si="9"/>
        <v xml:space="preserve">TO ermöglicht: doppelten Kostenabzug; </v>
      </c>
      <c r="K82" s="1144"/>
      <c r="L82" s="1144">
        <v>2</v>
      </c>
      <c r="M82" s="1144"/>
      <c r="N82" s="1144"/>
      <c r="O82" s="761" t="s">
        <v>805</v>
      </c>
      <c r="P82" s="140">
        <f t="shared" si="6"/>
        <v>2</v>
      </c>
    </row>
    <row r="83" spans="1:16" ht="22.5">
      <c r="A83" s="591" t="str">
        <f t="shared" si="8"/>
        <v>Deutsche Flugsicherung v. 09.12.2016</v>
      </c>
      <c r="B83" s="591">
        <f>ROW()</f>
        <v>83</v>
      </c>
      <c r="C83" s="616" t="s">
        <v>1260</v>
      </c>
      <c r="D83" s="1146">
        <v>42713</v>
      </c>
      <c r="E83" s="617" t="s">
        <v>196</v>
      </c>
      <c r="F83" s="618" t="str">
        <f t="shared" si="10"/>
        <v/>
      </c>
      <c r="G83" s="615" t="str">
        <f t="shared" si="9"/>
        <v xml:space="preserve">TO ermöglicht:  Abweichungen vom gerichtl. festgelegten Ausgleichswert; </v>
      </c>
      <c r="K83" s="1144"/>
      <c r="L83" s="1144"/>
      <c r="M83" s="1144">
        <v>3</v>
      </c>
      <c r="N83" s="1144"/>
      <c r="O83" s="761"/>
      <c r="P83" s="140">
        <f t="shared" si="6"/>
        <v>3</v>
      </c>
    </row>
    <row r="84" spans="1:16" ht="25.5">
      <c r="A84" s="591" t="str">
        <f t="shared" si="8"/>
        <v>Deutsche See v. 01.09.2009</v>
      </c>
      <c r="B84" s="591">
        <f>ROW()</f>
        <v>84</v>
      </c>
      <c r="C84" s="616" t="s">
        <v>797</v>
      </c>
      <c r="D84" s="1146">
        <v>40057</v>
      </c>
      <c r="E84" s="617" t="s">
        <v>769</v>
      </c>
      <c r="F84" s="618" t="str">
        <f t="shared" si="10"/>
        <v/>
      </c>
      <c r="G84" s="615" t="str">
        <f t="shared" si="9"/>
        <v xml:space="preserve">TO ermöglicht: doppelten Kostenabzug; </v>
      </c>
      <c r="K84" s="1144"/>
      <c r="L84" s="1144">
        <v>2</v>
      </c>
      <c r="M84" s="1144"/>
      <c r="N84" s="1144"/>
      <c r="O84" s="761" t="s">
        <v>805</v>
      </c>
      <c r="P84" s="140">
        <f t="shared" si="6"/>
        <v>2</v>
      </c>
    </row>
    <row r="85" spans="1:16" ht="33.75">
      <c r="A85" s="591" t="str">
        <f t="shared" si="8"/>
        <v>Deutsche Telekom AG v. 01.07.2022</v>
      </c>
      <c r="B85" s="591">
        <f>ROW()</f>
        <v>85</v>
      </c>
      <c r="C85" s="616" t="s">
        <v>1261</v>
      </c>
      <c r="D85" s="1146">
        <v>44743</v>
      </c>
      <c r="F85" s="618" t="str">
        <f t="shared" si="10"/>
        <v/>
      </c>
      <c r="G85" s="615" t="str">
        <f t="shared" si="9"/>
        <v xml:space="preserve">TO ermöglicht: doppelten Kostenabzug;  Abweichungen vom gerichtl. festgelegten Ausgleichswert; </v>
      </c>
      <c r="K85" s="1144"/>
      <c r="L85" s="1144">
        <v>2</v>
      </c>
      <c r="M85" s="1144">
        <v>3</v>
      </c>
      <c r="N85" s="1144"/>
      <c r="P85" s="140">
        <f t="shared" si="6"/>
        <v>5</v>
      </c>
    </row>
    <row r="86" spans="1:16" ht="22.5">
      <c r="A86" s="591" t="str">
        <f t="shared" si="8"/>
        <v>Deutsche Telekom KBV bAV AT v. 19.03.2021</v>
      </c>
      <c r="B86" s="591">
        <f>ROW()</f>
        <v>86</v>
      </c>
      <c r="C86" s="616" t="s">
        <v>1035</v>
      </c>
      <c r="D86" s="1146">
        <v>44274</v>
      </c>
      <c r="F86" s="618" t="str">
        <f t="shared" si="10"/>
        <v/>
      </c>
      <c r="G86" s="615" t="str">
        <f t="shared" si="9"/>
        <v>TO ermöglicht: doppelten Kostenabzug;  Verzinsung zwischen EzE und RK geltend machen</v>
      </c>
      <c r="K86" s="1144"/>
      <c r="L86" s="1144">
        <v>2</v>
      </c>
      <c r="M86" s="1144"/>
      <c r="N86" s="1144">
        <v>4</v>
      </c>
      <c r="P86" s="140">
        <f t="shared" si="6"/>
        <v>6</v>
      </c>
    </row>
    <row r="87" spans="1:16" ht="90">
      <c r="A87" s="591" t="str">
        <f t="shared" si="8"/>
        <v>Deutsche Telekom TV Kapitalkontenplan v. 01.02.2022</v>
      </c>
      <c r="B87" s="591">
        <f>ROW()</f>
        <v>87</v>
      </c>
      <c r="C87" s="616" t="s">
        <v>1034</v>
      </c>
      <c r="D87" s="1146">
        <v>44593</v>
      </c>
      <c r="F87" s="618" t="str">
        <f t="shared" si="10"/>
        <v/>
      </c>
      <c r="G87" s="615" t="str">
        <f t="shared" si="9"/>
        <v/>
      </c>
      <c r="I87" s="615" t="s">
        <v>1036</v>
      </c>
      <c r="K87" s="1144"/>
      <c r="L87" s="1144"/>
      <c r="M87" s="1144"/>
      <c r="N87" s="1144"/>
      <c r="P87" s="140">
        <f t="shared" si="6"/>
        <v>0</v>
      </c>
    </row>
    <row r="88" spans="1:16">
      <c r="A88" s="591" t="str">
        <f t="shared" si="8"/>
        <v>Deutsche Welle Tarifvertrag v. 06.12.2009</v>
      </c>
      <c r="B88" s="591">
        <f>ROW()</f>
        <v>88</v>
      </c>
      <c r="C88" s="616" t="s">
        <v>943</v>
      </c>
      <c r="D88" s="1146">
        <v>40153</v>
      </c>
      <c r="F88" s="618" t="str">
        <f t="shared" si="10"/>
        <v/>
      </c>
      <c r="G88" s="615" t="str">
        <f t="shared" si="9"/>
        <v/>
      </c>
      <c r="K88" s="1144"/>
      <c r="L88" s="1144"/>
      <c r="M88" s="1144"/>
      <c r="N88" s="1144"/>
      <c r="P88" s="140">
        <f t="shared" si="6"/>
        <v>0</v>
      </c>
    </row>
    <row r="89" spans="1:16" ht="22.5">
      <c r="A89" s="591" t="str">
        <f t="shared" si="8"/>
        <v>Deutscher Pensionsfonds AG v. 01.01.2013</v>
      </c>
      <c r="B89" s="591">
        <f>ROW()</f>
        <v>89</v>
      </c>
      <c r="C89" s="616" t="s">
        <v>887</v>
      </c>
      <c r="D89" s="1146">
        <v>41275</v>
      </c>
      <c r="F89" s="618" t="str">
        <f t="shared" si="10"/>
        <v>Ja</v>
      </c>
      <c r="G89" s="615" t="str">
        <f t="shared" si="9"/>
        <v>TO ermöglicht: Tarifwechel;  Verzinsung zwischen EzE und RK geltend machen</v>
      </c>
      <c r="K89" s="1144">
        <v>1</v>
      </c>
      <c r="L89" s="1144"/>
      <c r="M89" s="1144"/>
      <c r="N89" s="1144">
        <v>4</v>
      </c>
      <c r="P89" s="140">
        <f t="shared" si="6"/>
        <v>5</v>
      </c>
    </row>
    <row r="90" spans="1:16" ht="67.5">
      <c r="A90" s="591" t="str">
        <f t="shared" si="8"/>
        <v>Deutscher Pensionsfonds AG v. 06.12.2020</v>
      </c>
      <c r="B90" s="591">
        <f>ROW()</f>
        <v>90</v>
      </c>
      <c r="C90" s="616" t="s">
        <v>887</v>
      </c>
      <c r="D90" s="1146">
        <v>44171</v>
      </c>
      <c r="E90" s="617" t="s">
        <v>1333</v>
      </c>
      <c r="F90" s="618" t="str">
        <f t="shared" si="10"/>
        <v/>
      </c>
      <c r="G90" s="615" t="str">
        <f t="shared" si="9"/>
        <v>TO ermöglicht: doppelten Kostenabzug;  Abweichungen vom gerichtl. festgelegten Ausgleichswert;  Verzinsung zwischen EzE und RK geltend machen</v>
      </c>
      <c r="I90" s="615" t="s">
        <v>1332</v>
      </c>
      <c r="J90" s="760"/>
      <c r="K90" s="1144"/>
      <c r="L90" s="1144">
        <v>2</v>
      </c>
      <c r="M90" s="1144">
        <v>3</v>
      </c>
      <c r="N90" s="1144">
        <v>4</v>
      </c>
      <c r="O90" s="822" t="s">
        <v>888</v>
      </c>
      <c r="P90" s="140">
        <f t="shared" si="6"/>
        <v>9</v>
      </c>
    </row>
    <row r="91" spans="1:16">
      <c r="A91" s="591" t="str">
        <f t="shared" si="8"/>
        <v>Deutschlandradio Tarifvertrag v. 10.12.2009</v>
      </c>
      <c r="B91" s="591">
        <f>ROW()</f>
        <v>91</v>
      </c>
      <c r="C91" s="616" t="s">
        <v>947</v>
      </c>
      <c r="D91" s="1146">
        <v>40157</v>
      </c>
      <c r="F91" s="618" t="str">
        <f t="shared" si="10"/>
        <v/>
      </c>
      <c r="G91" s="615" t="str">
        <f t="shared" si="9"/>
        <v/>
      </c>
      <c r="K91" s="1144"/>
      <c r="L91" s="1144"/>
      <c r="M91" s="1144"/>
      <c r="N91" s="1144"/>
      <c r="P91" s="140">
        <f t="shared" si="6"/>
        <v>0</v>
      </c>
    </row>
    <row r="92" spans="1:16" ht="22.5">
      <c r="A92" s="591" t="str">
        <f t="shared" si="8"/>
        <v>DFS Deutsche Flugsicherung v. 09.12.2016</v>
      </c>
      <c r="B92" s="591">
        <f>ROW()</f>
        <v>92</v>
      </c>
      <c r="C92" s="616" t="s">
        <v>951</v>
      </c>
      <c r="D92" s="1146">
        <v>42713</v>
      </c>
      <c r="E92" s="821" t="s">
        <v>953</v>
      </c>
      <c r="F92" s="618" t="str">
        <f t="shared" si="10"/>
        <v/>
      </c>
      <c r="G92" s="615" t="str">
        <f t="shared" si="9"/>
        <v xml:space="preserve">TO ermöglicht:  Abweichungen vom gerichtl. festgelegten Ausgleichswert; </v>
      </c>
      <c r="J92" s="760"/>
      <c r="K92" s="1144"/>
      <c r="L92" s="1144"/>
      <c r="M92" s="1144">
        <v>3</v>
      </c>
      <c r="N92" s="1144"/>
      <c r="P92" s="140">
        <f t="shared" si="6"/>
        <v>3</v>
      </c>
    </row>
    <row r="93" spans="1:16">
      <c r="A93" s="591" t="str">
        <f t="shared" si="8"/>
        <v>Diamalt v. 01.07.2021</v>
      </c>
      <c r="B93" s="591">
        <f>ROW()</f>
        <v>93</v>
      </c>
      <c r="C93" s="616" t="s">
        <v>1257</v>
      </c>
      <c r="D93" s="1146">
        <v>44378</v>
      </c>
      <c r="E93" s="617" t="s">
        <v>769</v>
      </c>
      <c r="F93" s="618" t="str">
        <f t="shared" si="10"/>
        <v/>
      </c>
      <c r="G93" s="615" t="str">
        <f t="shared" si="9"/>
        <v xml:space="preserve">TO ermöglicht: doppelten Kostenabzug; </v>
      </c>
      <c r="J93" s="760"/>
      <c r="K93" s="1144"/>
      <c r="L93" s="1144">
        <v>2</v>
      </c>
      <c r="M93" s="1144"/>
      <c r="N93" s="1144"/>
      <c r="O93" s="761"/>
      <c r="P93" s="140">
        <f t="shared" si="6"/>
        <v>2</v>
      </c>
    </row>
    <row r="94" spans="1:16" ht="25.5">
      <c r="A94" s="591" t="str">
        <f t="shared" si="8"/>
        <v>DINEA_Gastronomie_GmbH v. 01.07.2012</v>
      </c>
      <c r="B94" s="591">
        <f>ROW()</f>
        <v>94</v>
      </c>
      <c r="C94" s="616" t="s">
        <v>767</v>
      </c>
      <c r="D94" s="1146">
        <v>41091</v>
      </c>
      <c r="E94" s="617" t="s">
        <v>768</v>
      </c>
      <c r="F94" s="618" t="str">
        <f t="shared" si="10"/>
        <v/>
      </c>
      <c r="G94" s="615" t="str">
        <f t="shared" si="9"/>
        <v xml:space="preserve">TO ermöglicht: doppelten Kostenabzug; </v>
      </c>
      <c r="K94" s="1144"/>
      <c r="L94" s="1144">
        <v>2</v>
      </c>
      <c r="M94" s="1144"/>
      <c r="N94" s="1144"/>
      <c r="O94" s="761" t="s">
        <v>805</v>
      </c>
      <c r="P94" s="140">
        <f t="shared" si="6"/>
        <v>2</v>
      </c>
    </row>
    <row r="95" spans="1:16" ht="25.5">
      <c r="A95" s="591" t="str">
        <f t="shared" si="8"/>
        <v>Diversey GmbH &amp; Co. OHG v. 01.01.2010</v>
      </c>
      <c r="B95" s="591">
        <f>ROW()</f>
        <v>95</v>
      </c>
      <c r="C95" s="616" t="s">
        <v>1262</v>
      </c>
      <c r="D95" s="1146">
        <v>40179</v>
      </c>
      <c r="E95" s="617" t="s">
        <v>769</v>
      </c>
      <c r="F95" s="618" t="str">
        <f t="shared" si="10"/>
        <v/>
      </c>
      <c r="G95" s="615" t="str">
        <f t="shared" si="9"/>
        <v xml:space="preserve">TO ermöglicht: doppelten Kostenabzug; </v>
      </c>
      <c r="K95" s="1144"/>
      <c r="L95" s="1144">
        <v>2</v>
      </c>
      <c r="M95" s="1144"/>
      <c r="N95" s="1144"/>
      <c r="O95" s="761" t="s">
        <v>805</v>
      </c>
      <c r="P95" s="140">
        <f t="shared" si="6"/>
        <v>2</v>
      </c>
    </row>
    <row r="96" spans="1:16" ht="56.25">
      <c r="A96" s="591" t="str">
        <f t="shared" si="8"/>
        <v>DWS Investment GmbH Basisrentenverträge AltZertG v. 01.11.2018</v>
      </c>
      <c r="B96" s="591">
        <f>ROW()</f>
        <v>96</v>
      </c>
      <c r="C96" s="616" t="s">
        <v>1318</v>
      </c>
      <c r="D96" s="1146">
        <v>43405</v>
      </c>
      <c r="E96" s="617">
        <v>5</v>
      </c>
      <c r="F96" s="618" t="str">
        <f t="shared" si="10"/>
        <v>Ja</v>
      </c>
      <c r="G96" s="615" t="str">
        <f t="shared" si="9"/>
        <v>TO ermöglicht: Tarifwechel;  Abweichungen vom gerichtl. festgelegten Ausgleichswert;  Verzinsung zwischen EzE und RK geltend machen</v>
      </c>
      <c r="I96" s="615" t="s">
        <v>1319</v>
      </c>
      <c r="K96" s="1144">
        <v>1</v>
      </c>
      <c r="L96" s="1144"/>
      <c r="M96" s="1144">
        <v>3</v>
      </c>
      <c r="N96" s="1144">
        <v>4</v>
      </c>
      <c r="P96" s="140">
        <f t="shared" si="6"/>
        <v>8</v>
      </c>
    </row>
    <row r="97" spans="1:16" ht="38.25">
      <c r="A97" s="591" t="str">
        <f t="shared" si="8"/>
        <v>DWS Investment v. 01.06.2022</v>
      </c>
      <c r="B97" s="591">
        <f>ROW()</f>
        <v>97</v>
      </c>
      <c r="C97" s="616" t="s">
        <v>748</v>
      </c>
      <c r="D97" s="1146">
        <v>44713</v>
      </c>
      <c r="E97" s="617" t="s">
        <v>749</v>
      </c>
      <c r="F97" s="618" t="str">
        <f t="shared" si="10"/>
        <v>Ja</v>
      </c>
      <c r="G97" s="615" t="str">
        <f t="shared" si="9"/>
        <v xml:space="preserve">TO ermöglicht: Tarifwechel; </v>
      </c>
      <c r="K97" s="1144">
        <v>1</v>
      </c>
      <c r="L97" s="1144"/>
      <c r="M97" s="1144"/>
      <c r="N97" s="1144"/>
      <c r="O97" s="761" t="s">
        <v>750</v>
      </c>
      <c r="P97" s="140">
        <f t="shared" si="6"/>
        <v>1</v>
      </c>
    </row>
    <row r="98" spans="1:16" ht="25.5">
      <c r="A98" s="591" t="str">
        <f t="shared" si="8"/>
        <v>EDEKA Handelsgesellschaft Nordbayern-Sachsen-Thüringen mbH v. 01.09.2009</v>
      </c>
      <c r="B98" s="591">
        <f>ROW()</f>
        <v>98</v>
      </c>
      <c r="C98" s="616" t="s">
        <v>800</v>
      </c>
      <c r="D98" s="1146">
        <v>40057</v>
      </c>
      <c r="F98" s="618" t="str">
        <f t="shared" si="10"/>
        <v/>
      </c>
      <c r="G98" s="615" t="str">
        <f t="shared" si="9"/>
        <v xml:space="preserve">TO ermöglicht: doppelten Kostenabzug; </v>
      </c>
      <c r="K98" s="1144"/>
      <c r="L98" s="1144">
        <v>2</v>
      </c>
      <c r="M98" s="1144"/>
      <c r="N98" s="1144"/>
      <c r="O98" s="761" t="s">
        <v>805</v>
      </c>
      <c r="P98" s="140">
        <f t="shared" ref="P98:P168" si="11">SUM(K98:N98)</f>
        <v>2</v>
      </c>
    </row>
    <row r="99" spans="1:16" ht="25.5">
      <c r="A99" s="591" t="str">
        <f t="shared" si="8"/>
        <v>EDEKA Nordbayern-Schsen-Thüringen GmbH v. 01.09.2009</v>
      </c>
      <c r="B99" s="591">
        <f>ROW()</f>
        <v>99</v>
      </c>
      <c r="C99" s="616" t="s">
        <v>1263</v>
      </c>
      <c r="D99" s="1146">
        <v>40057</v>
      </c>
      <c r="E99" s="617" t="s">
        <v>769</v>
      </c>
      <c r="F99" s="618" t="str">
        <f t="shared" si="10"/>
        <v/>
      </c>
      <c r="G99" s="615" t="str">
        <f t="shared" si="9"/>
        <v xml:space="preserve">TO ermöglicht: doppelten Kostenabzug; </v>
      </c>
      <c r="K99" s="1144"/>
      <c r="L99" s="1144">
        <v>2</v>
      </c>
      <c r="M99" s="1144"/>
      <c r="N99" s="1144"/>
      <c r="O99" s="761"/>
      <c r="P99" s="140">
        <f t="shared" si="11"/>
        <v>2</v>
      </c>
    </row>
    <row r="100" spans="1:16" ht="25.5">
      <c r="A100" s="591" t="str">
        <f t="shared" si="8"/>
        <v>EDEKA Rhein-Ruhr R11 R12 v. 01.09.2018</v>
      </c>
      <c r="B100" s="591">
        <f>ROW()</f>
        <v>100</v>
      </c>
      <c r="C100" s="616" t="s">
        <v>802</v>
      </c>
      <c r="D100" s="1146">
        <v>43344</v>
      </c>
      <c r="E100" s="617" t="s">
        <v>769</v>
      </c>
      <c r="F100" s="618" t="str">
        <f t="shared" si="10"/>
        <v/>
      </c>
      <c r="G100" s="615" t="str">
        <f t="shared" si="9"/>
        <v xml:space="preserve">TO ermöglicht: doppelten Kostenabzug; </v>
      </c>
      <c r="K100" s="1144"/>
      <c r="L100" s="1144">
        <v>2</v>
      </c>
      <c r="M100" s="1144"/>
      <c r="N100" s="1144"/>
      <c r="O100" s="761" t="s">
        <v>805</v>
      </c>
      <c r="P100" s="140">
        <f t="shared" si="11"/>
        <v>2</v>
      </c>
    </row>
    <row r="101" spans="1:16" ht="25.5">
      <c r="A101" s="591" t="str">
        <f t="shared" si="8"/>
        <v>EDEKA Süd v. 01.09.2009</v>
      </c>
      <c r="B101" s="591">
        <f>ROW()</f>
        <v>101</v>
      </c>
      <c r="C101" s="616" t="s">
        <v>790</v>
      </c>
      <c r="D101" s="1146">
        <v>40057</v>
      </c>
      <c r="E101" s="617" t="s">
        <v>769</v>
      </c>
      <c r="F101" s="618" t="str">
        <f t="shared" si="10"/>
        <v/>
      </c>
      <c r="G101" s="615" t="str">
        <f t="shared" si="9"/>
        <v xml:space="preserve">TO ermöglicht: doppelten Kostenabzug; </v>
      </c>
      <c r="K101" s="1144"/>
      <c r="L101" s="1144">
        <v>2</v>
      </c>
      <c r="M101" s="1144"/>
      <c r="N101" s="1144"/>
      <c r="O101" s="761" t="s">
        <v>805</v>
      </c>
      <c r="P101" s="140">
        <f t="shared" si="11"/>
        <v>2</v>
      </c>
    </row>
    <row r="102" spans="1:16" ht="25.5">
      <c r="A102" s="591" t="str">
        <f t="shared" si="8"/>
        <v>EDEKA Südwest v. 01.09.2009</v>
      </c>
      <c r="B102" s="591">
        <f>ROW()</f>
        <v>102</v>
      </c>
      <c r="C102" s="616" t="s">
        <v>791</v>
      </c>
      <c r="D102" s="1146">
        <v>40057</v>
      </c>
      <c r="E102" s="617" t="s">
        <v>769</v>
      </c>
      <c r="F102" s="618" t="str">
        <f t="shared" si="10"/>
        <v/>
      </c>
      <c r="G102" s="615" t="str">
        <f t="shared" si="9"/>
        <v xml:space="preserve">TO ermöglicht: doppelten Kostenabzug; </v>
      </c>
      <c r="K102" s="1144"/>
      <c r="L102" s="1144">
        <v>2</v>
      </c>
      <c r="M102" s="1144"/>
      <c r="N102" s="1144"/>
      <c r="O102" s="761" t="s">
        <v>805</v>
      </c>
      <c r="P102" s="140">
        <f t="shared" si="11"/>
        <v>2</v>
      </c>
    </row>
    <row r="103" spans="1:16" ht="25.5">
      <c r="A103" s="591" t="str">
        <f t="shared" si="8"/>
        <v>EDEKA Zentrale Handel und Produktion GmbH v. 01.07.2016</v>
      </c>
      <c r="B103" s="591">
        <f>ROW()</f>
        <v>103</v>
      </c>
      <c r="C103" s="616" t="s">
        <v>799</v>
      </c>
      <c r="D103" s="1146">
        <v>42552</v>
      </c>
      <c r="E103" s="617" t="s">
        <v>769</v>
      </c>
      <c r="F103" s="618" t="str">
        <f t="shared" si="10"/>
        <v/>
      </c>
      <c r="G103" s="615" t="str">
        <f t="shared" si="9"/>
        <v xml:space="preserve">TO ermöglicht: doppelten Kostenabzug; </v>
      </c>
      <c r="K103" s="1144"/>
      <c r="L103" s="1144">
        <v>2</v>
      </c>
      <c r="M103" s="1144"/>
      <c r="N103" s="1144"/>
      <c r="O103" s="761" t="s">
        <v>805</v>
      </c>
      <c r="P103" s="140">
        <f t="shared" si="11"/>
        <v>2</v>
      </c>
    </row>
    <row r="104" spans="1:16" ht="25.5">
      <c r="A104" s="591" t="str">
        <f t="shared" si="8"/>
        <v>Edelweiss GmbH &amp; Co KG (EVO I und II) v. 01.07.2011</v>
      </c>
      <c r="B104" s="591">
        <f>ROW()</f>
        <v>104</v>
      </c>
      <c r="C104" s="616" t="s">
        <v>1264</v>
      </c>
      <c r="D104" s="1146">
        <v>40725</v>
      </c>
      <c r="E104" s="617">
        <v>5</v>
      </c>
      <c r="F104" s="618" t="str">
        <f t="shared" si="10"/>
        <v/>
      </c>
      <c r="G104" s="615" t="str">
        <f t="shared" si="9"/>
        <v xml:space="preserve">TO ermöglicht: doppelten Kostenabzug; </v>
      </c>
      <c r="K104" s="1144"/>
      <c r="L104" s="1144">
        <v>2</v>
      </c>
      <c r="M104" s="1144"/>
      <c r="N104" s="1144"/>
      <c r="O104" s="761"/>
      <c r="P104" s="140">
        <f t="shared" si="11"/>
        <v>2</v>
      </c>
    </row>
    <row r="105" spans="1:16" ht="25.5">
      <c r="A105" s="591" t="str">
        <f t="shared" si="8"/>
        <v>Edelweiss GmbH &amp; Co KG (EVO) v. 22.12.2012</v>
      </c>
      <c r="B105" s="591">
        <f>ROW()</f>
        <v>105</v>
      </c>
      <c r="C105" s="616" t="s">
        <v>795</v>
      </c>
      <c r="D105" s="1146">
        <v>41265</v>
      </c>
      <c r="E105" s="617" t="s">
        <v>769</v>
      </c>
      <c r="F105" s="618" t="str">
        <f t="shared" si="10"/>
        <v/>
      </c>
      <c r="G105" s="615" t="str">
        <f t="shared" si="9"/>
        <v xml:space="preserve">TO ermöglicht: doppelten Kostenabzug; </v>
      </c>
      <c r="J105" s="760"/>
      <c r="K105" s="1144"/>
      <c r="L105" s="1144">
        <v>2</v>
      </c>
      <c r="M105" s="1144"/>
      <c r="N105" s="1144"/>
      <c r="O105" s="761" t="s">
        <v>805</v>
      </c>
      <c r="P105" s="140">
        <f t="shared" si="11"/>
        <v>2</v>
      </c>
    </row>
    <row r="106" spans="1:16" ht="25.5">
      <c r="A106" s="591" t="str">
        <f t="shared" si="8"/>
        <v>Edelweiss GmbH &amp; Co KG (UVO) v. 01.09.2009</v>
      </c>
      <c r="B106" s="591">
        <f>ROW()</f>
        <v>106</v>
      </c>
      <c r="C106" s="616" t="s">
        <v>796</v>
      </c>
      <c r="D106" s="1146">
        <v>40057</v>
      </c>
      <c r="E106" s="617" t="s">
        <v>769</v>
      </c>
      <c r="F106" s="618" t="str">
        <f t="shared" si="10"/>
        <v/>
      </c>
      <c r="G106" s="615" t="str">
        <f t="shared" si="9"/>
        <v xml:space="preserve">TO ermöglicht: doppelten Kostenabzug; </v>
      </c>
      <c r="K106" s="1144"/>
      <c r="L106" s="1144">
        <v>2</v>
      </c>
      <c r="M106" s="1144"/>
      <c r="N106" s="1144"/>
      <c r="O106" s="761" t="s">
        <v>805</v>
      </c>
      <c r="P106" s="140">
        <f t="shared" si="11"/>
        <v>2</v>
      </c>
    </row>
    <row r="107" spans="1:16" ht="33.75">
      <c r="A107" s="591" t="str">
        <f t="shared" si="8"/>
        <v>EGU Ergo Gruppenunterstützungskasse e.V.  v. 12.01.2011</v>
      </c>
      <c r="B107" s="591">
        <f>ROW()</f>
        <v>107</v>
      </c>
      <c r="C107" s="616" t="s">
        <v>1895</v>
      </c>
      <c r="D107" s="1146">
        <v>40555</v>
      </c>
      <c r="E107" s="617" t="s">
        <v>720</v>
      </c>
      <c r="F107" s="618"/>
      <c r="G107" s="615" t="str">
        <f t="shared" si="9"/>
        <v>TO ermöglicht: Tarifwechel;  Verzinsung zwischen EzE und RK geltend machen</v>
      </c>
      <c r="I107" s="615" t="s">
        <v>1896</v>
      </c>
      <c r="K107" s="1144">
        <v>1</v>
      </c>
      <c r="L107" s="1144"/>
      <c r="M107" s="1144"/>
      <c r="N107" s="1144">
        <v>4</v>
      </c>
      <c r="O107" s="761"/>
      <c r="P107" s="140">
        <f t="shared" si="11"/>
        <v>5</v>
      </c>
    </row>
    <row r="108" spans="1:16" ht="25.5">
      <c r="A108" s="591" t="str">
        <f t="shared" si="8"/>
        <v>EKN Betriebs AG &amp; Co. oHG: Direktzusagen v. 01.04.2017</v>
      </c>
      <c r="B108" s="591">
        <f>ROW()</f>
        <v>108</v>
      </c>
      <c r="C108" s="616" t="s">
        <v>801</v>
      </c>
      <c r="D108" s="1146">
        <v>42826</v>
      </c>
      <c r="E108" s="617" t="s">
        <v>195</v>
      </c>
      <c r="F108" s="618" t="str">
        <f t="shared" si="10"/>
        <v/>
      </c>
      <c r="G108" s="615" t="str">
        <f t="shared" si="9"/>
        <v/>
      </c>
      <c r="K108" s="1144"/>
      <c r="L108" s="1144"/>
      <c r="M108" s="1144"/>
      <c r="N108" s="1144"/>
      <c r="O108" s="761" t="s">
        <v>805</v>
      </c>
      <c r="P108" s="140">
        <f t="shared" si="11"/>
        <v>0</v>
      </c>
    </row>
    <row r="109" spans="1:16" ht="56.25">
      <c r="A109" s="591" t="str">
        <f t="shared" si="8"/>
        <v>ERGO Unterstützungskasse v. 01.03.2010</v>
      </c>
      <c r="B109" s="591">
        <f>ROW()</f>
        <v>109</v>
      </c>
      <c r="C109" s="616" t="s">
        <v>1209</v>
      </c>
      <c r="D109" s="1146">
        <v>40238</v>
      </c>
      <c r="E109" s="617">
        <v>5</v>
      </c>
      <c r="F109" s="618" t="str">
        <f t="shared" si="10"/>
        <v/>
      </c>
      <c r="G109" s="615" t="str">
        <f t="shared" si="9"/>
        <v/>
      </c>
      <c r="I109" s="615" t="s">
        <v>1210</v>
      </c>
      <c r="K109" s="1144"/>
      <c r="L109" s="1144"/>
      <c r="M109" s="1144"/>
      <c r="N109" s="1144"/>
      <c r="P109" s="140">
        <f t="shared" si="11"/>
        <v>0</v>
      </c>
    </row>
    <row r="110" spans="1:16">
      <c r="A110" s="591" t="str">
        <f t="shared" si="8"/>
        <v>ERGO v. 16.01.2020</v>
      </c>
      <c r="B110" s="591">
        <f>ROW()</f>
        <v>110</v>
      </c>
      <c r="C110" s="616" t="s">
        <v>652</v>
      </c>
      <c r="D110" s="1146">
        <v>43846</v>
      </c>
      <c r="E110" s="617" t="s">
        <v>653</v>
      </c>
      <c r="F110" s="618" t="str">
        <f t="shared" si="10"/>
        <v>Ja</v>
      </c>
      <c r="G110" s="615" t="str">
        <f t="shared" si="9"/>
        <v xml:space="preserve">TO ermöglicht: Tarifwechel; </v>
      </c>
      <c r="K110" s="1144">
        <v>1</v>
      </c>
      <c r="L110" s="1144"/>
      <c r="M110" s="1144"/>
      <c r="N110" s="1144"/>
      <c r="O110" s="615"/>
      <c r="P110" s="140">
        <f t="shared" si="11"/>
        <v>1</v>
      </c>
    </row>
    <row r="111" spans="1:16" ht="45">
      <c r="A111" s="591" t="str">
        <f t="shared" si="8"/>
        <v>ERGO v. 25.02.2020</v>
      </c>
      <c r="B111" s="591">
        <f>ROW()</f>
        <v>111</v>
      </c>
      <c r="C111" s="616" t="s">
        <v>652</v>
      </c>
      <c r="D111" s="1146">
        <v>43886</v>
      </c>
      <c r="F111" s="618" t="str">
        <f t="shared" si="10"/>
        <v/>
      </c>
      <c r="G111" s="615" t="str">
        <f t="shared" si="9"/>
        <v>TO ermöglicht: doppelten Kostenabzug;  Abweichungen vom gerichtl. festgelegten Ausgleichswert;  Verzinsung zwischen EzE und RK geltend machen</v>
      </c>
      <c r="K111" s="1144"/>
      <c r="L111" s="1144">
        <v>2</v>
      </c>
      <c r="M111" s="1144">
        <v>3</v>
      </c>
      <c r="N111" s="1144">
        <v>4</v>
      </c>
      <c r="P111" s="140">
        <f t="shared" si="11"/>
        <v>9</v>
      </c>
    </row>
    <row r="112" spans="1:16" ht="56.25">
      <c r="A112" s="591" t="str">
        <f t="shared" si="8"/>
        <v>ERGO Pensionsfonds AG v. 18.08.2021</v>
      </c>
      <c r="B112" s="591">
        <f>ROW()</f>
        <v>112</v>
      </c>
      <c r="C112" s="616" t="s">
        <v>1597</v>
      </c>
      <c r="D112" s="1146">
        <v>44426</v>
      </c>
      <c r="E112" s="617" t="s">
        <v>720</v>
      </c>
      <c r="F112" s="618" t="str">
        <f t="shared" si="10"/>
        <v>Ja</v>
      </c>
      <c r="G112" s="615" t="str">
        <f t="shared" si="9"/>
        <v>TO ermöglicht: Tarifwechel; doppelten Kostenabzug;  Verzinsung zwischen EzE und RK geltend machen</v>
      </c>
      <c r="I112" s="615" t="s">
        <v>1598</v>
      </c>
      <c r="K112" s="1144">
        <v>1</v>
      </c>
      <c r="L112" s="1144">
        <v>2</v>
      </c>
      <c r="M112" s="1144"/>
      <c r="N112" s="1144">
        <v>4</v>
      </c>
      <c r="P112" s="140"/>
    </row>
    <row r="113" spans="1:16" ht="22.5">
      <c r="A113" s="591" t="str">
        <f>C113&amp;IF(D113=0,""," v. "&amp;TEXT(D113,"TT.MM.JJJ"))</f>
        <v>ERGO Lebensversicherung AG v. 12.01.2012</v>
      </c>
      <c r="B113" s="591">
        <f>ROW()</f>
        <v>113</v>
      </c>
      <c r="C113" s="616" t="s">
        <v>1599</v>
      </c>
      <c r="D113" s="1146">
        <v>40920</v>
      </c>
      <c r="F113" s="618" t="str">
        <f t="shared" si="10"/>
        <v>Ja</v>
      </c>
      <c r="G113" s="615" t="str">
        <f t="shared" si="9"/>
        <v>TO ermöglicht: Tarifwechel; doppelten Kostenabzug;  Verzinsung zwischen EzE und RK geltend machen</v>
      </c>
      <c r="K113" s="1144">
        <v>1</v>
      </c>
      <c r="L113" s="1144">
        <v>2</v>
      </c>
      <c r="M113" s="1144"/>
      <c r="N113" s="1144">
        <v>4</v>
      </c>
      <c r="P113" s="140"/>
    </row>
    <row r="114" spans="1:16" ht="45">
      <c r="A114" s="591" t="str">
        <f t="shared" si="8"/>
        <v>Ernest &amp; Young v. 12.04.2010</v>
      </c>
      <c r="B114" s="591">
        <f>ROW()</f>
        <v>114</v>
      </c>
      <c r="C114" s="616" t="s">
        <v>1060</v>
      </c>
      <c r="D114" s="1146">
        <v>40280</v>
      </c>
      <c r="E114" s="617" t="s">
        <v>1061</v>
      </c>
      <c r="F114" s="618" t="str">
        <f t="shared" si="10"/>
        <v/>
      </c>
      <c r="G114" s="615" t="str">
        <f t="shared" si="9"/>
        <v>TO ermöglicht: doppelten Kostenabzug;  Abweichungen vom gerichtl. festgelegten Ausgleichswert;  Verzinsung zwischen EzE und RK geltend machen</v>
      </c>
      <c r="K114" s="1144"/>
      <c r="L114" s="1144">
        <v>2</v>
      </c>
      <c r="M114" s="1144">
        <v>3</v>
      </c>
      <c r="N114" s="1144">
        <v>4</v>
      </c>
      <c r="P114" s="140">
        <f t="shared" si="11"/>
        <v>9</v>
      </c>
    </row>
    <row r="115" spans="1:16" ht="22.5">
      <c r="A115" s="591" t="str">
        <f t="shared" si="8"/>
        <v>Ernest &amp; Young v. 22.07.2016</v>
      </c>
      <c r="B115" s="591">
        <f>ROW()</f>
        <v>115</v>
      </c>
      <c r="C115" s="616" t="s">
        <v>1060</v>
      </c>
      <c r="D115" s="1146">
        <v>42573</v>
      </c>
      <c r="E115" s="617" t="s">
        <v>720</v>
      </c>
      <c r="F115" s="618" t="str">
        <f t="shared" si="10"/>
        <v/>
      </c>
      <c r="G115" s="615" t="str">
        <f t="shared" si="9"/>
        <v>TO ermöglicht: doppelten Kostenabzug;  Verzinsung zwischen EzE und RK geltend machen</v>
      </c>
      <c r="K115" s="1144"/>
      <c r="L115" s="1144">
        <v>2</v>
      </c>
      <c r="M115" s="1144"/>
      <c r="N115" s="1144">
        <v>4</v>
      </c>
      <c r="P115" s="140">
        <f t="shared" si="11"/>
        <v>6</v>
      </c>
    </row>
    <row r="116" spans="1:16" ht="22.5">
      <c r="A116" s="591" t="str">
        <f t="shared" si="8"/>
        <v>Essener Verband  v. 10.11.2009</v>
      </c>
      <c r="B116" s="591">
        <f>ROW()</f>
        <v>116</v>
      </c>
      <c r="C116" s="616" t="s">
        <v>1062</v>
      </c>
      <c r="D116" s="1146">
        <v>40127</v>
      </c>
      <c r="E116" s="617" t="s">
        <v>1063</v>
      </c>
      <c r="F116" s="618" t="str">
        <f t="shared" si="10"/>
        <v/>
      </c>
      <c r="G116" s="615" t="str">
        <f t="shared" si="9"/>
        <v>TO ermöglicht:  Verzinsung zwischen EzE und RK geltend machen</v>
      </c>
      <c r="K116" s="1144"/>
      <c r="L116" s="1144"/>
      <c r="M116" s="1144"/>
      <c r="N116" s="1144">
        <v>4</v>
      </c>
      <c r="P116" s="140">
        <f t="shared" si="11"/>
        <v>4</v>
      </c>
    </row>
    <row r="117" spans="1:16" ht="45">
      <c r="A117" s="591" t="str">
        <f t="shared" si="8"/>
        <v>Essener Verband Leistungsordnung "A" v. 01.01.2012</v>
      </c>
      <c r="B117" s="591">
        <f>ROW()</f>
        <v>117</v>
      </c>
      <c r="C117" s="616" t="s">
        <v>1166</v>
      </c>
      <c r="D117" s="1146">
        <v>40909</v>
      </c>
      <c r="E117" s="617" t="s">
        <v>197</v>
      </c>
      <c r="F117" s="618" t="str">
        <f t="shared" si="10"/>
        <v/>
      </c>
      <c r="G117" s="615" t="str">
        <f t="shared" si="9"/>
        <v>TO ermöglicht: doppelten Kostenabzug;  Abweichungen vom gerichtl. festgelegten Ausgleichswert;  Verzinsung zwischen EzE und RK geltend machen</v>
      </c>
      <c r="K117" s="1144"/>
      <c r="L117" s="1144">
        <v>2</v>
      </c>
      <c r="M117" s="1144">
        <v>3</v>
      </c>
      <c r="N117" s="1144">
        <v>4</v>
      </c>
      <c r="P117" s="140">
        <f t="shared" si="11"/>
        <v>9</v>
      </c>
    </row>
    <row r="118" spans="1:16" ht="45">
      <c r="A118" s="591" t="str">
        <f t="shared" si="8"/>
        <v>Esso Deutschland GmbH v. 09.02.2010</v>
      </c>
      <c r="B118" s="591">
        <f>ROW()</f>
        <v>118</v>
      </c>
      <c r="C118" s="616" t="s">
        <v>1248</v>
      </c>
      <c r="D118" s="1146">
        <v>40218</v>
      </c>
      <c r="E118" s="617" t="s">
        <v>1074</v>
      </c>
      <c r="F118" s="618" t="str">
        <f t="shared" si="10"/>
        <v/>
      </c>
      <c r="G118" s="615" t="str">
        <f t="shared" si="9"/>
        <v xml:space="preserve">TO ermöglicht: doppelten Kostenabzug;  Abweichungen vom gerichtl. festgelegten Ausgleichswert; </v>
      </c>
      <c r="I118" s="615" t="s">
        <v>1252</v>
      </c>
      <c r="K118" s="1144"/>
      <c r="L118" s="1144">
        <v>2</v>
      </c>
      <c r="M118" s="1144">
        <v>3</v>
      </c>
      <c r="N118" s="1144"/>
      <c r="P118" s="140">
        <f t="shared" si="11"/>
        <v>5</v>
      </c>
    </row>
    <row r="119" spans="1:16" ht="22.5">
      <c r="A119" s="591" t="str">
        <f t="shared" si="8"/>
        <v>Evonik v. 04.12.2009</v>
      </c>
      <c r="B119" s="591">
        <f>ROW()</f>
        <v>119</v>
      </c>
      <c r="C119" s="616" t="s">
        <v>1000</v>
      </c>
      <c r="D119" s="1146">
        <v>40151</v>
      </c>
      <c r="E119" s="617" t="s">
        <v>1001</v>
      </c>
      <c r="F119" s="618" t="str">
        <f t="shared" si="10"/>
        <v/>
      </c>
      <c r="G119" s="615" t="str">
        <f t="shared" si="9"/>
        <v>TO ermöglicht:  Verzinsung zwischen EzE und RK geltend machen</v>
      </c>
      <c r="K119" s="1144"/>
      <c r="L119" s="1144"/>
      <c r="M119" s="1144"/>
      <c r="N119" s="1144">
        <v>4</v>
      </c>
      <c r="P119" s="140">
        <f t="shared" si="11"/>
        <v>4</v>
      </c>
    </row>
    <row r="120" spans="1:16">
      <c r="A120" s="591" t="str">
        <f t="shared" si="8"/>
        <v>Evonik v. 15.05.2015</v>
      </c>
      <c r="B120" s="591">
        <f>ROW()</f>
        <v>120</v>
      </c>
      <c r="C120" s="616" t="s">
        <v>1000</v>
      </c>
      <c r="D120" s="1146">
        <v>42139</v>
      </c>
      <c r="E120" s="617" t="s">
        <v>1001</v>
      </c>
      <c r="F120" s="618" t="str">
        <f t="shared" si="10"/>
        <v/>
      </c>
      <c r="G120" s="615" t="str">
        <f t="shared" si="9"/>
        <v/>
      </c>
      <c r="J120" s="760"/>
      <c r="K120" s="1144"/>
      <c r="L120" s="1144"/>
      <c r="M120" s="1144"/>
      <c r="N120" s="1144"/>
      <c r="P120" s="140">
        <f t="shared" si="11"/>
        <v>0</v>
      </c>
    </row>
    <row r="121" spans="1:16" ht="45">
      <c r="A121" s="591" t="str">
        <f t="shared" si="8"/>
        <v>ExxonMobil Central Europe Holding GmbH v. 09.02.2010</v>
      </c>
      <c r="B121" s="591">
        <f>ROW()</f>
        <v>121</v>
      </c>
      <c r="C121" s="616" t="s">
        <v>1247</v>
      </c>
      <c r="D121" s="1146">
        <v>40218</v>
      </c>
      <c r="E121" s="617" t="s">
        <v>1074</v>
      </c>
      <c r="F121" s="618" t="str">
        <f t="shared" si="10"/>
        <v/>
      </c>
      <c r="G121" s="615" t="str">
        <f t="shared" si="9"/>
        <v xml:space="preserve">TO ermöglicht: doppelten Kostenabzug;  Abweichungen vom gerichtl. festgelegten Ausgleichswert; </v>
      </c>
      <c r="I121" s="615" t="s">
        <v>1252</v>
      </c>
      <c r="K121" s="1144"/>
      <c r="L121" s="1144">
        <v>2</v>
      </c>
      <c r="M121" s="1144">
        <v>3</v>
      </c>
      <c r="N121" s="1144"/>
      <c r="P121" s="140">
        <f t="shared" si="11"/>
        <v>5</v>
      </c>
    </row>
    <row r="122" spans="1:16" ht="45">
      <c r="A122" s="591" t="str">
        <f t="shared" si="8"/>
        <v>ExxonMobil Gas Marketing Deuschland GmbH v. 09.02.2010</v>
      </c>
      <c r="B122" s="591">
        <f>ROW()</f>
        <v>122</v>
      </c>
      <c r="C122" s="616" t="s">
        <v>1251</v>
      </c>
      <c r="D122" s="1146">
        <v>40218</v>
      </c>
      <c r="E122" s="617" t="s">
        <v>1074</v>
      </c>
      <c r="F122" s="618" t="str">
        <f t="shared" si="10"/>
        <v/>
      </c>
      <c r="G122" s="615" t="str">
        <f t="shared" si="9"/>
        <v xml:space="preserve">TO ermöglicht: doppelten Kostenabzug;  Abweichungen vom gerichtl. festgelegten Ausgleichswert; </v>
      </c>
      <c r="I122" s="615" t="s">
        <v>1252</v>
      </c>
      <c r="K122" s="1144"/>
      <c r="L122" s="1144">
        <v>2</v>
      </c>
      <c r="M122" s="1144">
        <v>3</v>
      </c>
      <c r="N122" s="1144"/>
      <c r="P122" s="140">
        <f t="shared" si="11"/>
        <v>5</v>
      </c>
    </row>
    <row r="123" spans="1:16" ht="45">
      <c r="A123" s="591" t="str">
        <f t="shared" si="8"/>
        <v>ExxonMobil Pensions-Verwaltungsgesellschaft mbH v. 09.02.2010</v>
      </c>
      <c r="B123" s="591">
        <f>ROW()</f>
        <v>123</v>
      </c>
      <c r="C123" s="616" t="s">
        <v>1249</v>
      </c>
      <c r="D123" s="1146">
        <v>40218</v>
      </c>
      <c r="E123" s="617" t="s">
        <v>1074</v>
      </c>
      <c r="F123" s="618" t="str">
        <f t="shared" si="10"/>
        <v/>
      </c>
      <c r="G123" s="615" t="str">
        <f t="shared" si="9"/>
        <v xml:space="preserve">TO ermöglicht: doppelten Kostenabzug;  Abweichungen vom gerichtl. festgelegten Ausgleichswert; </v>
      </c>
      <c r="I123" s="615" t="s">
        <v>1252</v>
      </c>
      <c r="K123" s="1144"/>
      <c r="L123" s="1144">
        <v>2</v>
      </c>
      <c r="M123" s="1144">
        <v>3</v>
      </c>
      <c r="N123" s="1144"/>
      <c r="P123" s="140">
        <f t="shared" si="11"/>
        <v>5</v>
      </c>
    </row>
    <row r="124" spans="1:16" ht="45">
      <c r="A124" s="591" t="str">
        <f t="shared" si="8"/>
        <v>ExxonMobil Production Deutschland GmbH v. 09.02.2010</v>
      </c>
      <c r="B124" s="591">
        <f>ROW()</f>
        <v>124</v>
      </c>
      <c r="C124" s="616" t="s">
        <v>1250</v>
      </c>
      <c r="D124" s="1146">
        <v>40218</v>
      </c>
      <c r="E124" s="617" t="s">
        <v>1074</v>
      </c>
      <c r="F124" s="618" t="str">
        <f t="shared" si="10"/>
        <v/>
      </c>
      <c r="G124" s="615" t="str">
        <f t="shared" si="9"/>
        <v xml:space="preserve">TO ermöglicht: doppelten Kostenabzug;  Abweichungen vom gerichtl. festgelegten Ausgleichswert; </v>
      </c>
      <c r="I124" s="615" t="s">
        <v>1252</v>
      </c>
      <c r="K124" s="1144"/>
      <c r="L124" s="1144">
        <v>2</v>
      </c>
      <c r="M124" s="1144">
        <v>3</v>
      </c>
      <c r="N124" s="1144"/>
      <c r="P124" s="140">
        <f t="shared" si="11"/>
        <v>5</v>
      </c>
    </row>
    <row r="125" spans="1:16" ht="22.5">
      <c r="A125" s="591" t="str">
        <f t="shared" si="8"/>
        <v>EY Ernest &amp; Young GmbH v. 22.07.2016</v>
      </c>
      <c r="B125" s="591">
        <f>ROW()</f>
        <v>125</v>
      </c>
      <c r="C125" s="616" t="s">
        <v>956</v>
      </c>
      <c r="D125" s="1146">
        <v>42573</v>
      </c>
      <c r="E125" s="617" t="s">
        <v>760</v>
      </c>
      <c r="F125" s="618" t="str">
        <f t="shared" si="10"/>
        <v/>
      </c>
      <c r="G125" s="615" t="str">
        <f t="shared" si="9"/>
        <v>TO ermöglicht: doppelten Kostenabzug;  Verzinsung zwischen EzE und RK geltend machen</v>
      </c>
      <c r="K125" s="1144"/>
      <c r="L125" s="1144">
        <v>2</v>
      </c>
      <c r="M125" s="1144"/>
      <c r="N125" s="1144">
        <v>4</v>
      </c>
      <c r="P125" s="140">
        <f t="shared" si="11"/>
        <v>6</v>
      </c>
    </row>
    <row r="126" spans="1:16" ht="45">
      <c r="A126" s="591" t="str">
        <f t="shared" si="8"/>
        <v>Familienfürsorge UK v. 01.01.2011</v>
      </c>
      <c r="B126" s="591">
        <f>ROW()</f>
        <v>126</v>
      </c>
      <c r="C126" s="616" t="s">
        <v>1064</v>
      </c>
      <c r="D126" s="1146">
        <v>40544</v>
      </c>
      <c r="E126" s="617" t="s">
        <v>1065</v>
      </c>
      <c r="F126" s="618" t="str">
        <f t="shared" si="10"/>
        <v/>
      </c>
      <c r="G126" s="615" t="str">
        <f t="shared" si="9"/>
        <v>TO ermöglicht: doppelten Kostenabzug;  Abweichungen vom gerichtl. festgelegten Ausgleichswert;  Verzinsung zwischen EzE und RK geltend machen</v>
      </c>
      <c r="K126" s="1144"/>
      <c r="L126" s="1144">
        <v>2</v>
      </c>
      <c r="M126" s="1144">
        <v>3</v>
      </c>
      <c r="N126" s="1144">
        <v>4</v>
      </c>
      <c r="P126" s="140">
        <f t="shared" si="11"/>
        <v>9</v>
      </c>
    </row>
    <row r="127" spans="1:16">
      <c r="A127" s="591" t="str">
        <f t="shared" si="8"/>
        <v>Feuersozietät Berlin Brandenburg AG v. 01.09.2009</v>
      </c>
      <c r="B127" s="591">
        <f>ROW()</f>
        <v>127</v>
      </c>
      <c r="C127" s="616" t="s">
        <v>1066</v>
      </c>
      <c r="D127" s="1146">
        <v>40057</v>
      </c>
      <c r="E127" s="617" t="s">
        <v>1067</v>
      </c>
      <c r="F127" s="618" t="str">
        <f t="shared" si="10"/>
        <v>Ja</v>
      </c>
      <c r="G127" s="615" t="str">
        <f t="shared" si="9"/>
        <v xml:space="preserve">TO ermöglicht: Tarifwechel; </v>
      </c>
      <c r="J127" s="760"/>
      <c r="K127" s="1144">
        <v>1</v>
      </c>
      <c r="L127" s="1144"/>
      <c r="M127" s="1144"/>
      <c r="N127" s="1144"/>
      <c r="P127" s="140">
        <f t="shared" si="11"/>
        <v>1</v>
      </c>
    </row>
    <row r="128" spans="1:16">
      <c r="A128" s="591" t="str">
        <f t="shared" si="8"/>
        <v>FOVERUKA v. 13.12.2016</v>
      </c>
      <c r="B128" s="591">
        <f>ROW()</f>
        <v>128</v>
      </c>
      <c r="C128" s="616" t="s">
        <v>950</v>
      </c>
      <c r="D128" s="1146">
        <v>42717</v>
      </c>
      <c r="F128" s="618" t="str">
        <f t="shared" si="10"/>
        <v/>
      </c>
      <c r="G128" s="615" t="str">
        <f t="shared" si="9"/>
        <v xml:space="preserve">TO ermöglicht: doppelten Kostenabzug; </v>
      </c>
      <c r="K128" s="1144"/>
      <c r="L128" s="1144">
        <v>2</v>
      </c>
      <c r="M128" s="1144"/>
      <c r="N128" s="1144"/>
      <c r="P128" s="140">
        <f t="shared" si="11"/>
        <v>2</v>
      </c>
    </row>
    <row r="129" spans="1:16" ht="22.5">
      <c r="A129" s="591" t="str">
        <f t="shared" si="8"/>
        <v>Frankfurt Münchener Lebensversicherung AG v. 15.7.2017?</v>
      </c>
      <c r="B129" s="591">
        <f>ROW()</f>
        <v>129</v>
      </c>
      <c r="C129" s="591" t="s">
        <v>1610</v>
      </c>
      <c r="D129" s="1146" t="s">
        <v>1611</v>
      </c>
      <c r="E129" s="617" t="s">
        <v>653</v>
      </c>
      <c r="F129" s="618" t="str">
        <f>IF(K129=1,"Ja","")</f>
        <v>Ja</v>
      </c>
      <c r="G129" s="615" t="str">
        <f>IF(SUM(K129:N129)=0,"","TO ermöglicht: "&amp;IF(K129&gt;0,"Tarifwechel; ","")&amp;IF(L129&gt;0,"doppelten Kostenabzug; ","")&amp;IF(M129&gt;0," Abweichungen vom gerichtl. festgelegten Ausgleichswert; ","")&amp;IF(N129&gt;0," Verzinsung zwischen EzE und RK geltend machen",""))</f>
        <v>TO ermöglicht: Tarifwechel; doppelten Kostenabzug;  Verzinsung zwischen EzE und RK geltend machen</v>
      </c>
      <c r="K129" s="1144">
        <v>1</v>
      </c>
      <c r="L129" s="1144">
        <v>2</v>
      </c>
      <c r="M129" s="1144"/>
      <c r="N129" s="1144">
        <v>4</v>
      </c>
      <c r="P129" s="140"/>
    </row>
    <row r="130" spans="1:16" ht="25.5">
      <c r="A130" s="591" t="str">
        <f t="shared" si="8"/>
        <v>Freies Versorgungswerk e.V. v. 01.02.2012</v>
      </c>
      <c r="B130" s="591">
        <f>ROW()</f>
        <v>130</v>
      </c>
      <c r="C130" s="616" t="s">
        <v>736</v>
      </c>
      <c r="D130" s="1146">
        <v>40940</v>
      </c>
      <c r="E130" s="617" t="s">
        <v>737</v>
      </c>
      <c r="F130" s="618" t="str">
        <f t="shared" si="10"/>
        <v/>
      </c>
      <c r="G130" s="615" t="str">
        <f t="shared" si="9"/>
        <v/>
      </c>
      <c r="J130" s="760"/>
      <c r="K130" s="1144"/>
      <c r="L130" s="1144"/>
      <c r="M130" s="1144"/>
      <c r="N130" s="1144"/>
      <c r="O130" s="765" t="s">
        <v>738</v>
      </c>
      <c r="P130" s="140">
        <f t="shared" si="11"/>
        <v>0</v>
      </c>
    </row>
    <row r="131" spans="1:16">
      <c r="A131" s="591" t="str">
        <f t="shared" si="8"/>
        <v>Fresenius v. 01.03.2017</v>
      </c>
      <c r="B131" s="591">
        <f>ROW()</f>
        <v>131</v>
      </c>
      <c r="C131" s="616" t="s">
        <v>1342</v>
      </c>
      <c r="D131" s="1146">
        <v>42795</v>
      </c>
      <c r="F131" s="618" t="str">
        <f t="shared" si="10"/>
        <v/>
      </c>
      <c r="G131" s="615" t="str">
        <f t="shared" si="9"/>
        <v/>
      </c>
      <c r="K131" s="1144"/>
      <c r="L131" s="1144"/>
      <c r="M131" s="1144"/>
      <c r="N131" s="1144"/>
      <c r="P131" s="140">
        <f t="shared" si="11"/>
        <v>0</v>
      </c>
    </row>
    <row r="132" spans="1:16" ht="25.5">
      <c r="A132" s="591" t="str">
        <f t="shared" si="8"/>
        <v>GALERIA Logisitik GmbH v. 01.07.2012</v>
      </c>
      <c r="B132" s="591">
        <f>ROW()</f>
        <v>132</v>
      </c>
      <c r="C132" s="616" t="s">
        <v>1121</v>
      </c>
      <c r="D132" s="1146">
        <v>41091</v>
      </c>
      <c r="E132" s="617" t="s">
        <v>769</v>
      </c>
      <c r="F132" s="618" t="str">
        <f t="shared" si="10"/>
        <v/>
      </c>
      <c r="G132" s="615" t="str">
        <f t="shared" si="9"/>
        <v xml:space="preserve">TO ermöglicht: doppelten Kostenabzug; </v>
      </c>
      <c r="K132" s="1144"/>
      <c r="L132" s="1144">
        <v>2</v>
      </c>
      <c r="M132" s="1144"/>
      <c r="N132" s="1144"/>
      <c r="O132" s="761" t="s">
        <v>805</v>
      </c>
      <c r="P132" s="140">
        <f t="shared" si="11"/>
        <v>2</v>
      </c>
    </row>
    <row r="133" spans="1:16">
      <c r="A133" s="591" t="str">
        <f t="shared" si="8"/>
        <v>GALERIA Personalservice GmbH TO v. 01.07.2012</v>
      </c>
      <c r="B133" s="591">
        <f>ROW()</f>
        <v>133</v>
      </c>
      <c r="C133" s="616" t="s">
        <v>1122</v>
      </c>
      <c r="D133" s="1146">
        <v>41091</v>
      </c>
      <c r="F133" s="618" t="str">
        <f t="shared" si="10"/>
        <v/>
      </c>
      <c r="G133" s="615" t="str">
        <f t="shared" si="9"/>
        <v xml:space="preserve">TO ermöglicht: doppelten Kostenabzug; </v>
      </c>
      <c r="J133" s="760"/>
      <c r="K133" s="1144"/>
      <c r="L133" s="1144">
        <v>2</v>
      </c>
      <c r="M133" s="1144"/>
      <c r="N133" s="1144"/>
      <c r="O133" s="765"/>
      <c r="P133" s="140">
        <f t="shared" si="11"/>
        <v>2</v>
      </c>
    </row>
    <row r="134" spans="1:16" ht="45">
      <c r="A134" s="591" t="str">
        <f t="shared" si="8"/>
        <v>Generali Lebensversicherung AG v. 01.12.2009</v>
      </c>
      <c r="B134" s="591">
        <f>ROW()</f>
        <v>134</v>
      </c>
      <c r="C134" s="616" t="s">
        <v>1069</v>
      </c>
      <c r="D134" s="1146">
        <v>40148</v>
      </c>
      <c r="F134" s="618" t="str">
        <f t="shared" si="10"/>
        <v>Ja</v>
      </c>
      <c r="G134" s="615" t="str">
        <f t="shared" si="9"/>
        <v>TO ermöglicht: Tarifwechel; doppelten Kostenabzug;  Abweichungen vom gerichtl. festgelegten Ausgleichswert;  Verzinsung zwischen EzE und RK geltend machen</v>
      </c>
      <c r="J134" s="760" t="s">
        <v>1070</v>
      </c>
      <c r="K134" s="1144">
        <v>1</v>
      </c>
      <c r="L134" s="1144">
        <v>2</v>
      </c>
      <c r="M134" s="1144">
        <v>3</v>
      </c>
      <c r="N134" s="1144">
        <v>4</v>
      </c>
      <c r="P134" s="140">
        <f t="shared" si="11"/>
        <v>10</v>
      </c>
    </row>
    <row r="135" spans="1:16" ht="22.5">
      <c r="A135" s="591" t="str">
        <f>C135&amp;IF(D135=0,""," v. "&amp;TEXT(D135,"TT.MM.JJJ"))</f>
        <v>Generali Pensionsfonds AG v. 07.07.2016</v>
      </c>
      <c r="B135" s="591">
        <f>ROW()</f>
        <v>135</v>
      </c>
      <c r="C135" s="616" t="s">
        <v>1626</v>
      </c>
      <c r="D135" s="1146">
        <v>42558</v>
      </c>
      <c r="E135" s="617" t="s">
        <v>720</v>
      </c>
      <c r="F135" s="618"/>
      <c r="G135" s="615" t="str">
        <f t="shared" si="9"/>
        <v>TO ermöglicht: doppelten Kostenabzug;  Verzinsung zwischen EzE und RK geltend machen</v>
      </c>
      <c r="J135" s="760"/>
      <c r="K135" s="1144"/>
      <c r="L135" s="1144">
        <v>2</v>
      </c>
      <c r="M135" s="1144"/>
      <c r="N135" s="1144">
        <v>4</v>
      </c>
      <c r="P135" s="140"/>
    </row>
    <row r="136" spans="1:16" ht="45">
      <c r="A136" s="591" t="str">
        <f t="shared" si="8"/>
        <v>Generali v. 01.07.2020</v>
      </c>
      <c r="B136" s="591">
        <f>ROW()</f>
        <v>136</v>
      </c>
      <c r="C136" s="616" t="s">
        <v>1068</v>
      </c>
      <c r="D136" s="1146">
        <v>44013</v>
      </c>
      <c r="E136" s="1973" t="s">
        <v>1886</v>
      </c>
      <c r="F136" s="618" t="str">
        <f t="shared" si="10"/>
        <v>Ja</v>
      </c>
      <c r="G136" s="615" t="str">
        <f t="shared" si="9"/>
        <v>TO ermöglicht: Tarifwechel; doppelten Kostenabzug;  Abweichungen vom gerichtl. festgelegten Ausgleichswert;  Verzinsung zwischen EzE und RK geltend machen</v>
      </c>
      <c r="I136" s="615" t="s">
        <v>1860</v>
      </c>
      <c r="K136" s="1144">
        <v>1</v>
      </c>
      <c r="L136" s="1144">
        <v>2</v>
      </c>
      <c r="M136" s="1144">
        <v>3</v>
      </c>
      <c r="N136" s="1144">
        <v>4</v>
      </c>
      <c r="P136" s="140">
        <f t="shared" si="11"/>
        <v>10</v>
      </c>
    </row>
    <row r="137" spans="1:16" ht="22.5">
      <c r="A137" s="591" t="str">
        <f t="shared" si="8"/>
        <v>Geno Pensionskasse VVaG, Karlsruhe v. 31.12.2020</v>
      </c>
      <c r="B137" s="591">
        <f>ROW()</f>
        <v>137</v>
      </c>
      <c r="C137" s="616" t="s">
        <v>1024</v>
      </c>
      <c r="D137" s="1146">
        <v>44196</v>
      </c>
      <c r="F137" s="618" t="str">
        <f t="shared" si="10"/>
        <v/>
      </c>
      <c r="G137" s="615" t="str">
        <f t="shared" si="9"/>
        <v xml:space="preserve">TO ermöglicht: doppelten Kostenabzug; </v>
      </c>
      <c r="K137" s="1144"/>
      <c r="L137" s="1144">
        <v>2</v>
      </c>
      <c r="M137" s="1144"/>
      <c r="N137" s="1144"/>
      <c r="P137" s="140">
        <f t="shared" si="11"/>
        <v>2</v>
      </c>
    </row>
    <row r="138" spans="1:16" ht="22.5">
      <c r="A138" s="591" t="str">
        <f t="shared" si="8"/>
        <v>GlaxoSmithKline GmbH &amp; Co KG v. 01.09.2009</v>
      </c>
      <c r="B138" s="591">
        <f>ROW()</f>
        <v>138</v>
      </c>
      <c r="C138" s="616" t="s">
        <v>1071</v>
      </c>
      <c r="D138" s="1146">
        <v>40057</v>
      </c>
      <c r="E138" s="617" t="s">
        <v>1072</v>
      </c>
      <c r="F138" s="618" t="str">
        <f t="shared" si="10"/>
        <v/>
      </c>
      <c r="G138" s="615" t="str">
        <f t="shared" si="9"/>
        <v>TO ermöglicht: doppelten Kostenabzug;  Verzinsung zwischen EzE und RK geltend machen</v>
      </c>
      <c r="K138" s="1144"/>
      <c r="L138" s="1144">
        <v>2</v>
      </c>
      <c r="M138" s="1144"/>
      <c r="N138" s="1144">
        <v>4</v>
      </c>
      <c r="O138" s="996"/>
      <c r="P138" s="140">
        <f t="shared" si="11"/>
        <v>6</v>
      </c>
    </row>
    <row r="139" spans="1:16" ht="45">
      <c r="A139" s="591" t="str">
        <f t="shared" si="8"/>
        <v>Gothaer Lebensversicherung AG  v. 19.02.2010</v>
      </c>
      <c r="B139" s="591">
        <f>ROW()</f>
        <v>139</v>
      </c>
      <c r="C139" s="616" t="s">
        <v>818</v>
      </c>
      <c r="D139" s="1146">
        <v>40228</v>
      </c>
      <c r="E139" s="617" t="s">
        <v>819</v>
      </c>
      <c r="F139" s="618" t="str">
        <f t="shared" si="10"/>
        <v>Ja</v>
      </c>
      <c r="G139" s="615" t="str">
        <f t="shared" si="9"/>
        <v>TO ermöglicht: Tarifwechel; doppelten Kostenabzug;  Abweichungen vom gerichtl. festgelegten Ausgleichswert;  Verzinsung zwischen EzE und RK geltend machen</v>
      </c>
      <c r="K139" s="1144">
        <v>1</v>
      </c>
      <c r="L139" s="1144">
        <v>2</v>
      </c>
      <c r="M139" s="1144">
        <v>3</v>
      </c>
      <c r="N139" s="1144">
        <v>4</v>
      </c>
      <c r="P139" s="140">
        <f t="shared" si="11"/>
        <v>10</v>
      </c>
    </row>
    <row r="140" spans="1:16" ht="45">
      <c r="A140" s="591" t="str">
        <f t="shared" si="8"/>
        <v>Gothaer Pensionskasse AG v. 10.01.2013</v>
      </c>
      <c r="B140" s="591">
        <f>ROW()</f>
        <v>140</v>
      </c>
      <c r="C140" s="616" t="s">
        <v>1123</v>
      </c>
      <c r="D140" s="1146">
        <v>41284</v>
      </c>
      <c r="E140" s="617">
        <v>5</v>
      </c>
      <c r="F140" s="618" t="str">
        <f t="shared" si="10"/>
        <v>Ja</v>
      </c>
      <c r="G140" s="615" t="str">
        <f t="shared" si="9"/>
        <v>TO ermöglicht: Tarifwechel; doppelten Kostenabzug;  Abweichungen vom gerichtl. festgelegten Ausgleichswert;  Verzinsung zwischen EzE und RK geltend machen</v>
      </c>
      <c r="K140" s="1144">
        <v>1</v>
      </c>
      <c r="L140" s="1144">
        <v>2</v>
      </c>
      <c r="M140" s="1144">
        <v>3</v>
      </c>
      <c r="N140" s="1144">
        <v>4</v>
      </c>
      <c r="P140" s="140">
        <f t="shared" si="11"/>
        <v>10</v>
      </c>
    </row>
    <row r="141" spans="1:16" ht="33.75">
      <c r="A141" s="591" t="str">
        <f t="shared" si="8"/>
        <v>Gothaer Pensionskasse AG v. 19.02.2010</v>
      </c>
      <c r="B141" s="591">
        <f>ROW()</f>
        <v>141</v>
      </c>
      <c r="C141" s="616" t="s">
        <v>1123</v>
      </c>
      <c r="D141" s="1146">
        <v>40228</v>
      </c>
      <c r="E141" s="617" t="s">
        <v>134</v>
      </c>
      <c r="F141" s="618" t="str">
        <f t="shared" si="10"/>
        <v/>
      </c>
      <c r="G141" s="615" t="str">
        <f t="shared" si="9"/>
        <v>TO ermöglicht:  Abweichungen vom gerichtl. festgelegten Ausgleichswert;  Verzinsung zwischen EzE und RK geltend machen</v>
      </c>
      <c r="K141" s="1144"/>
      <c r="L141" s="1144"/>
      <c r="M141" s="1144">
        <v>3</v>
      </c>
      <c r="N141" s="1144">
        <v>4</v>
      </c>
      <c r="O141" s="996"/>
      <c r="P141" s="140">
        <f t="shared" si="11"/>
        <v>7</v>
      </c>
    </row>
    <row r="142" spans="1:16" ht="33.75">
      <c r="A142" s="591" t="str">
        <f t="shared" si="8"/>
        <v>Hamburger Lebensversicherung AG</v>
      </c>
      <c r="B142" s="591">
        <f>ROW()</f>
        <v>142</v>
      </c>
      <c r="C142" s="616" t="s">
        <v>714</v>
      </c>
      <c r="E142" s="617" t="s">
        <v>715</v>
      </c>
      <c r="F142" s="618" t="str">
        <f t="shared" si="10"/>
        <v>Ja</v>
      </c>
      <c r="G142" s="615" t="str">
        <f t="shared" si="9"/>
        <v xml:space="preserve">TO ermöglicht: Tarifwechel; </v>
      </c>
      <c r="K142" s="1144">
        <v>1</v>
      </c>
      <c r="L142" s="1144"/>
      <c r="M142" s="1144"/>
      <c r="N142" s="1144"/>
      <c r="O142" s="1166" t="s">
        <v>716</v>
      </c>
      <c r="P142" s="140">
        <f t="shared" si="11"/>
        <v>1</v>
      </c>
    </row>
    <row r="143" spans="1:16" ht="45">
      <c r="A143" s="591" t="str">
        <f t="shared" si="8"/>
        <v>Hamburger Pensionskasse v. 01.08.2011</v>
      </c>
      <c r="B143" s="591">
        <f>ROW()</f>
        <v>143</v>
      </c>
      <c r="C143" s="616" t="s">
        <v>647</v>
      </c>
      <c r="D143" s="1146">
        <v>40756</v>
      </c>
      <c r="E143" s="617" t="s">
        <v>1124</v>
      </c>
      <c r="F143" s="618" t="str">
        <f t="shared" si="10"/>
        <v>Ja</v>
      </c>
      <c r="G143" s="615" t="str">
        <f t="shared" si="9"/>
        <v>TO ermöglicht: Tarifwechel; doppelten Kostenabzug;  Abweichungen vom gerichtl. festgelegten Ausgleichswert;  Verzinsung zwischen EzE und RK geltend machen</v>
      </c>
      <c r="K143" s="1144">
        <v>1</v>
      </c>
      <c r="L143" s="1144">
        <v>2</v>
      </c>
      <c r="M143" s="1144">
        <v>3</v>
      </c>
      <c r="N143" s="1144">
        <v>4</v>
      </c>
      <c r="O143" s="1166"/>
      <c r="P143" s="140">
        <f t="shared" si="11"/>
        <v>10</v>
      </c>
    </row>
    <row r="144" spans="1:16">
      <c r="A144" s="591" t="str">
        <f t="shared" si="8"/>
        <v>Hamburger Pensionskasse v. 29.04.2021</v>
      </c>
      <c r="B144" s="591">
        <f>ROW()</f>
        <v>144</v>
      </c>
      <c r="C144" s="616" t="s">
        <v>647</v>
      </c>
      <c r="D144" s="1146">
        <v>44315</v>
      </c>
      <c r="E144" s="617" t="s">
        <v>648</v>
      </c>
      <c r="F144" s="618" t="str">
        <f t="shared" si="10"/>
        <v/>
      </c>
      <c r="G144" s="615" t="str">
        <f t="shared" si="9"/>
        <v xml:space="preserve">TO ermöglicht: doppelten Kostenabzug; </v>
      </c>
      <c r="K144" s="1144"/>
      <c r="L144" s="1144">
        <v>2</v>
      </c>
      <c r="M144" s="1144"/>
      <c r="N144" s="1144"/>
      <c r="O144" s="763" t="s">
        <v>655</v>
      </c>
      <c r="P144" s="140">
        <f t="shared" si="11"/>
        <v>2</v>
      </c>
    </row>
    <row r="145" spans="1:16" ht="25.5">
      <c r="A145" s="591" t="str">
        <f t="shared" si="8"/>
        <v>Hamburger Pensionsunterstützungskasse e.V. v. 01.01.2018</v>
      </c>
      <c r="B145" s="591">
        <f>ROW()</f>
        <v>145</v>
      </c>
      <c r="C145" s="616" t="s">
        <v>778</v>
      </c>
      <c r="D145" s="1146">
        <v>43101</v>
      </c>
      <c r="E145" s="617" t="s">
        <v>769</v>
      </c>
      <c r="F145" s="618" t="str">
        <f t="shared" si="10"/>
        <v/>
      </c>
      <c r="G145" s="615" t="str">
        <f t="shared" si="9"/>
        <v xml:space="preserve">TO ermöglicht: doppelten Kostenabzug; </v>
      </c>
      <c r="K145" s="1144"/>
      <c r="L145" s="1144">
        <v>2</v>
      </c>
      <c r="M145" s="1144"/>
      <c r="N145" s="1144"/>
      <c r="O145" s="761" t="s">
        <v>805</v>
      </c>
      <c r="P145" s="140">
        <f t="shared" si="11"/>
        <v>2</v>
      </c>
    </row>
    <row r="146" spans="1:16" ht="28.5">
      <c r="A146" s="591" t="str">
        <f t="shared" si="8"/>
        <v>Hamburger Pensionsunterstützungskasse e.V. v. 01.06.2010</v>
      </c>
      <c r="B146" s="591">
        <f>ROW()</f>
        <v>146</v>
      </c>
      <c r="C146" s="616" t="s">
        <v>778</v>
      </c>
      <c r="D146" s="1146">
        <v>40330</v>
      </c>
      <c r="E146" s="617" t="s">
        <v>769</v>
      </c>
      <c r="F146" s="618" t="str">
        <f t="shared" si="10"/>
        <v/>
      </c>
      <c r="G146" s="615" t="str">
        <f t="shared" si="9"/>
        <v xml:space="preserve">TO ermöglicht: doppelten Kostenabzug; </v>
      </c>
      <c r="J146" s="756" t="s">
        <v>1025</v>
      </c>
      <c r="K146" s="1144"/>
      <c r="L146" s="1144">
        <v>2</v>
      </c>
      <c r="M146" s="1144"/>
      <c r="N146" s="1144"/>
      <c r="O146" s="761" t="s">
        <v>805</v>
      </c>
      <c r="P146" s="140">
        <f t="shared" si="11"/>
        <v>2</v>
      </c>
    </row>
    <row r="147" spans="1:16" ht="25.5">
      <c r="A147" s="591" t="str">
        <f t="shared" ref="A147:A218" si="12">C147&amp;IF(D147=0,""," v. "&amp;TEXT(D147,"TT.MM.JJJ"))</f>
        <v>Hamburger Unterstützungskasse HUK Nr. 1 v. 01.09.2009</v>
      </c>
      <c r="B147" s="591">
        <f>ROW()</f>
        <v>147</v>
      </c>
      <c r="C147" s="1334" t="s">
        <v>774</v>
      </c>
      <c r="D147" s="1146">
        <v>40057</v>
      </c>
      <c r="E147" s="617" t="s">
        <v>769</v>
      </c>
      <c r="F147" s="618" t="str">
        <f t="shared" si="10"/>
        <v/>
      </c>
      <c r="G147" s="615" t="str">
        <f t="shared" ref="G147:G218" si="13">IF(SUM(K147:N147)=0,"","TO ermöglicht: "&amp;IF(K147&gt;0,"Tarifwechel; ","")&amp;IF(L147&gt;0,"doppelten Kostenabzug; ","")&amp;IF(M147&gt;0," Abweichungen vom gerichtl. festgelegten Ausgleichswert; ","")&amp;IF(N147&gt;0," Verzinsung zwischen EzE und RK geltend machen",""))</f>
        <v xml:space="preserve">TO ermöglicht: doppelten Kostenabzug; </v>
      </c>
      <c r="J147" s="760"/>
      <c r="K147" s="1144"/>
      <c r="L147" s="1144">
        <v>2</v>
      </c>
      <c r="M147" s="1144"/>
      <c r="N147" s="1144"/>
      <c r="O147" s="761" t="s">
        <v>805</v>
      </c>
      <c r="P147" s="140">
        <f t="shared" si="11"/>
        <v>2</v>
      </c>
    </row>
    <row r="148" spans="1:16" ht="25.5">
      <c r="A148" s="591" t="str">
        <f t="shared" si="12"/>
        <v>Hamburger Unterstützungskasse HUK Nr. 2 v. 01.01.2018</v>
      </c>
      <c r="B148" s="591">
        <f>ROW()</f>
        <v>148</v>
      </c>
      <c r="C148" s="616" t="s">
        <v>775</v>
      </c>
      <c r="D148" s="1146">
        <v>43101</v>
      </c>
      <c r="E148" s="617">
        <v>5.3</v>
      </c>
      <c r="F148" s="618" t="str">
        <f t="shared" si="10"/>
        <v/>
      </c>
      <c r="G148" s="615" t="str">
        <f t="shared" si="13"/>
        <v xml:space="preserve">TO ermöglicht: doppelten Kostenabzug; </v>
      </c>
      <c r="K148" s="1144"/>
      <c r="L148" s="1144">
        <v>2</v>
      </c>
      <c r="M148" s="1144"/>
      <c r="N148" s="1144"/>
      <c r="O148" s="761" t="s">
        <v>805</v>
      </c>
      <c r="P148" s="140">
        <f t="shared" si="11"/>
        <v>2</v>
      </c>
    </row>
    <row r="149" spans="1:16" ht="25.5">
      <c r="A149" s="591" t="str">
        <f t="shared" si="12"/>
        <v>Hamburger Unterstützungskasse HUK v. 01.06.2015</v>
      </c>
      <c r="B149" s="591">
        <f>ROW()</f>
        <v>149</v>
      </c>
      <c r="C149" s="616" t="s">
        <v>773</v>
      </c>
      <c r="D149" s="1146">
        <v>42156</v>
      </c>
      <c r="E149" s="617" t="s">
        <v>769</v>
      </c>
      <c r="F149" s="618" t="str">
        <f t="shared" ref="F149:F220" si="14">IF(K149=1,"Ja","")</f>
        <v/>
      </c>
      <c r="G149" s="615" t="str">
        <f t="shared" si="13"/>
        <v xml:space="preserve">TO ermöglicht: doppelten Kostenabzug; </v>
      </c>
      <c r="K149" s="1144"/>
      <c r="L149" s="1144">
        <v>2</v>
      </c>
      <c r="M149" s="1144"/>
      <c r="N149" s="1144"/>
      <c r="O149" s="761" t="s">
        <v>805</v>
      </c>
      <c r="P149" s="140">
        <f t="shared" si="11"/>
        <v>2</v>
      </c>
    </row>
    <row r="150" spans="1:16">
      <c r="A150" s="591" t="str">
        <f t="shared" si="12"/>
        <v>Hamburger Wasserwerke GmbH v. 01.09.2009</v>
      </c>
      <c r="B150" s="591">
        <f>ROW()</f>
        <v>150</v>
      </c>
      <c r="C150" s="616" t="s">
        <v>1073</v>
      </c>
      <c r="D150" s="1146">
        <v>40057</v>
      </c>
      <c r="E150" s="617" t="s">
        <v>1074</v>
      </c>
      <c r="F150" s="618" t="str">
        <f t="shared" si="14"/>
        <v/>
      </c>
      <c r="G150" s="615" t="str">
        <f t="shared" si="13"/>
        <v xml:space="preserve">TO ermöglicht: doppelten Kostenabzug; </v>
      </c>
      <c r="K150" s="1144"/>
      <c r="L150" s="1144">
        <v>2</v>
      </c>
      <c r="M150" s="1144"/>
      <c r="N150" s="1144"/>
      <c r="P150" s="140">
        <f t="shared" si="11"/>
        <v>2</v>
      </c>
    </row>
    <row r="151" spans="1:16" ht="45">
      <c r="A151" s="591" t="str">
        <f t="shared" si="12"/>
        <v>Hannoversche Lebensversicherung AG v. 01.02.2022</v>
      </c>
      <c r="B151" s="591">
        <f>ROW()</f>
        <v>151</v>
      </c>
      <c r="C151" s="616" t="s">
        <v>1075</v>
      </c>
      <c r="D151" s="1146">
        <v>44593</v>
      </c>
      <c r="E151" s="617" t="s">
        <v>195</v>
      </c>
      <c r="F151" s="618" t="str">
        <f t="shared" si="14"/>
        <v/>
      </c>
      <c r="G151" s="615" t="str">
        <f t="shared" si="13"/>
        <v>TO ermöglicht: doppelten Kostenabzug;  Abweichungen vom gerichtl. festgelegten Ausgleichswert;  Verzinsung zwischen EzE und RK geltend machen</v>
      </c>
      <c r="I151" s="760"/>
      <c r="K151" s="1144"/>
      <c r="L151" s="1144">
        <v>2</v>
      </c>
      <c r="M151" s="1144">
        <v>3</v>
      </c>
      <c r="N151" s="1144">
        <v>4</v>
      </c>
      <c r="P151" s="140">
        <f t="shared" si="11"/>
        <v>9</v>
      </c>
    </row>
    <row r="152" spans="1:16" ht="22.5">
      <c r="A152" s="591" t="str">
        <f t="shared" ref="A152" si="15">C152&amp;IF(D152=0,""," v. "&amp;TEXT(D152,"TT.MM.JJJ"))</f>
        <v>HanseMerkur Lebensversicherung AG v. 01.04.2017</v>
      </c>
      <c r="B152" s="591">
        <f>ROW()</f>
        <v>152</v>
      </c>
      <c r="C152" s="616" t="s">
        <v>1856</v>
      </c>
      <c r="D152" s="1146">
        <v>42826</v>
      </c>
      <c r="E152" s="617" t="s">
        <v>729</v>
      </c>
      <c r="F152" s="618" t="s">
        <v>465</v>
      </c>
      <c r="G152" s="615" t="str">
        <f t="shared" si="13"/>
        <v>TO ermöglicht: Tarifwechel;  Verzinsung zwischen EzE und RK geltend machen</v>
      </c>
      <c r="I152" s="760"/>
      <c r="K152" s="1144">
        <v>1</v>
      </c>
      <c r="L152" s="1144"/>
      <c r="M152" s="1144"/>
      <c r="N152" s="1144">
        <v>4</v>
      </c>
      <c r="P152" s="140">
        <f t="shared" si="11"/>
        <v>5</v>
      </c>
    </row>
    <row r="153" spans="1:16" ht="45">
      <c r="A153" s="591" t="str">
        <f t="shared" si="12"/>
        <v>HDI Lebensversicherung AG v. 02.01.2020</v>
      </c>
      <c r="B153" s="591">
        <f>ROW()</f>
        <v>153</v>
      </c>
      <c r="C153" s="616" t="s">
        <v>864</v>
      </c>
      <c r="D153" s="1146">
        <v>43832</v>
      </c>
      <c r="E153" s="617" t="s">
        <v>862</v>
      </c>
      <c r="F153" s="618" t="str">
        <f t="shared" si="14"/>
        <v>Ja</v>
      </c>
      <c r="G153" s="615" t="str">
        <f t="shared" si="13"/>
        <v>TO ermöglicht: Tarifwechel; doppelten Kostenabzug;  Abweichungen vom gerichtl. festgelegten Ausgleichswert;  Verzinsung zwischen EzE und RK geltend machen</v>
      </c>
      <c r="K153" s="1144">
        <v>1</v>
      </c>
      <c r="L153" s="1144">
        <v>2</v>
      </c>
      <c r="M153" s="1144">
        <v>3</v>
      </c>
      <c r="N153" s="1144">
        <v>4</v>
      </c>
      <c r="O153" s="761" t="s">
        <v>863</v>
      </c>
      <c r="P153" s="140">
        <f t="shared" si="11"/>
        <v>10</v>
      </c>
    </row>
    <row r="154" spans="1:16" ht="45">
      <c r="A154" s="591" t="str">
        <f t="shared" si="12"/>
        <v>HDI Lebensversicherung AG v. 14.01.2013</v>
      </c>
      <c r="B154" s="591">
        <f>ROW()</f>
        <v>154</v>
      </c>
      <c r="C154" s="616" t="s">
        <v>864</v>
      </c>
      <c r="D154" s="1146">
        <v>41288</v>
      </c>
      <c r="E154" s="617" t="s">
        <v>862</v>
      </c>
      <c r="F154" s="618" t="str">
        <f t="shared" si="14"/>
        <v>Ja</v>
      </c>
      <c r="G154" s="615" t="str">
        <f t="shared" si="13"/>
        <v>TO ermöglicht: Tarifwechel; doppelten Kostenabzug;  Abweichungen vom gerichtl. festgelegten Ausgleichswert;  Verzinsung zwischen EzE und RK geltend machen</v>
      </c>
      <c r="K154" s="1144">
        <v>1</v>
      </c>
      <c r="L154" s="1144">
        <v>2</v>
      </c>
      <c r="M154" s="1144">
        <v>3</v>
      </c>
      <c r="N154" s="1144">
        <v>4</v>
      </c>
      <c r="O154" s="761" t="s">
        <v>865</v>
      </c>
      <c r="P154" s="140">
        <f t="shared" si="11"/>
        <v>10</v>
      </c>
    </row>
    <row r="155" spans="1:16" ht="56.25">
      <c r="A155" s="591" t="str">
        <f t="shared" si="12"/>
        <v>HDI Lebensversicherung AG v. ohne Datum</v>
      </c>
      <c r="B155" s="591">
        <f>ROW()</f>
        <v>155</v>
      </c>
      <c r="C155" s="616" t="s">
        <v>864</v>
      </c>
      <c r="D155" s="1146" t="s">
        <v>1076</v>
      </c>
      <c r="E155" s="617" t="s">
        <v>729</v>
      </c>
      <c r="F155" s="618" t="str">
        <f t="shared" si="14"/>
        <v>Ja</v>
      </c>
      <c r="G155" s="615" t="str">
        <f t="shared" si="13"/>
        <v>TO ermöglicht: Tarifwechel; doppelten Kostenabzug;  Abweichungen vom gerichtl. festgelegten Ausgleichswert;  Verzinsung zwischen EzE und RK geltend machen</v>
      </c>
      <c r="I155" s="615" t="s">
        <v>1357</v>
      </c>
      <c r="K155" s="1144">
        <v>1</v>
      </c>
      <c r="L155" s="1144">
        <v>2</v>
      </c>
      <c r="M155" s="1144">
        <v>3</v>
      </c>
      <c r="N155" s="1144">
        <v>4</v>
      </c>
      <c r="P155" s="140">
        <f t="shared" si="11"/>
        <v>10</v>
      </c>
    </row>
    <row r="156" spans="1:16">
      <c r="A156" s="591" t="str">
        <f t="shared" si="12"/>
        <v>HDI Pensionskasse v. 01.04.2015</v>
      </c>
      <c r="B156" s="591">
        <f>ROW()</f>
        <v>156</v>
      </c>
      <c r="C156" s="616" t="s">
        <v>728</v>
      </c>
      <c r="D156" s="1146">
        <v>42095</v>
      </c>
      <c r="E156" s="617" t="s">
        <v>729</v>
      </c>
      <c r="F156" s="618" t="str">
        <f t="shared" si="14"/>
        <v>Ja</v>
      </c>
      <c r="G156" s="615" t="str">
        <f t="shared" si="13"/>
        <v xml:space="preserve">TO ermöglicht: Tarifwechel; </v>
      </c>
      <c r="J156" s="760"/>
      <c r="K156" s="1144">
        <v>1</v>
      </c>
      <c r="L156" s="1144"/>
      <c r="M156" s="1144"/>
      <c r="N156" s="1144"/>
      <c r="O156" s="765" t="s">
        <v>730</v>
      </c>
      <c r="P156" s="140">
        <f t="shared" si="11"/>
        <v>1</v>
      </c>
    </row>
    <row r="157" spans="1:16">
      <c r="A157" s="591" t="str">
        <f t="shared" si="12"/>
        <v>HDI Pensionskasse v. 14.01.2013</v>
      </c>
      <c r="B157" s="591">
        <f>ROW()</f>
        <v>157</v>
      </c>
      <c r="C157" s="616" t="s">
        <v>728</v>
      </c>
      <c r="D157" s="1146">
        <v>41288</v>
      </c>
      <c r="E157" s="617" t="s">
        <v>729</v>
      </c>
      <c r="F157" s="618" t="str">
        <f t="shared" si="14"/>
        <v>Ja</v>
      </c>
      <c r="G157" s="615" t="str">
        <f t="shared" si="13"/>
        <v xml:space="preserve">TO ermöglicht: Tarifwechel; doppelten Kostenabzug; </v>
      </c>
      <c r="K157" s="1144">
        <v>1</v>
      </c>
      <c r="L157" s="1144">
        <v>2</v>
      </c>
      <c r="M157" s="1144"/>
      <c r="N157" s="1144"/>
      <c r="O157" s="765" t="s">
        <v>730</v>
      </c>
      <c r="P157" s="140">
        <f t="shared" si="11"/>
        <v>3</v>
      </c>
    </row>
    <row r="158" spans="1:16" ht="45">
      <c r="A158" s="591" t="str">
        <f t="shared" si="12"/>
        <v>Heidelberger Leben v. 01.01.2014</v>
      </c>
      <c r="B158" s="591">
        <f>ROW()</f>
        <v>158</v>
      </c>
      <c r="C158" s="616" t="s">
        <v>935</v>
      </c>
      <c r="D158" s="1146">
        <v>41640</v>
      </c>
      <c r="E158" s="617" t="s">
        <v>919</v>
      </c>
      <c r="F158" s="618" t="str">
        <f t="shared" si="14"/>
        <v>Ja</v>
      </c>
      <c r="G158" s="615" t="str">
        <f t="shared" si="13"/>
        <v>TO ermöglicht: Tarifwechel; doppelten Kostenabzug;  Abweichungen vom gerichtl. festgelegten Ausgleichswert;  Verzinsung zwischen EzE und RK geltend machen</v>
      </c>
      <c r="K158" s="1144">
        <v>1</v>
      </c>
      <c r="L158" s="1144">
        <v>2</v>
      </c>
      <c r="M158" s="1144">
        <v>3</v>
      </c>
      <c r="N158" s="1144">
        <v>4</v>
      </c>
      <c r="P158" s="140">
        <f t="shared" si="11"/>
        <v>10</v>
      </c>
    </row>
    <row r="159" spans="1:16" ht="33.75">
      <c r="A159" s="591" t="str">
        <f t="shared" si="12"/>
        <v>Heidelberger Cement AG, Heidelberg v. 23.03.2013</v>
      </c>
      <c r="B159" s="591">
        <f>ROW()</f>
        <v>159</v>
      </c>
      <c r="C159" s="616" t="s">
        <v>1577</v>
      </c>
      <c r="D159" s="1146">
        <v>41356</v>
      </c>
      <c r="E159" s="617">
        <v>5</v>
      </c>
      <c r="F159" s="618"/>
      <c r="G159" s="615" t="str">
        <f t="shared" si="13"/>
        <v/>
      </c>
      <c r="I159" s="615" t="s">
        <v>1579</v>
      </c>
      <c r="K159" s="1144"/>
      <c r="L159" s="1144"/>
      <c r="M159" s="1144"/>
      <c r="N159" s="1144"/>
      <c r="P159" s="140"/>
    </row>
    <row r="160" spans="1:16" ht="25.5">
      <c r="A160" s="591" t="str">
        <f t="shared" si="12"/>
        <v>Helvetia schweizerische Lebensversicherungs-AG v. 01.04.2019</v>
      </c>
      <c r="B160" s="591">
        <f>ROW()</f>
        <v>160</v>
      </c>
      <c r="C160" s="616" t="s">
        <v>1353</v>
      </c>
      <c r="D160" s="1146">
        <v>43556</v>
      </c>
      <c r="E160" s="617">
        <v>5</v>
      </c>
      <c r="F160" s="618" t="str">
        <f t="shared" si="14"/>
        <v>Ja</v>
      </c>
      <c r="G160" s="615" t="str">
        <f t="shared" si="13"/>
        <v xml:space="preserve">TO ermöglicht: Tarifwechel; doppelten Kostenabzug; </v>
      </c>
      <c r="K160" s="1144">
        <v>1</v>
      </c>
      <c r="L160" s="1144">
        <v>2</v>
      </c>
      <c r="M160" s="1144"/>
      <c r="N160" s="1144"/>
      <c r="P160" s="140">
        <f t="shared" si="11"/>
        <v>3</v>
      </c>
    </row>
    <row r="161" spans="1:16" ht="33.75">
      <c r="A161" s="591" t="str">
        <f t="shared" si="12"/>
        <v>Hewlett Packard GmbH Böblingen v. 18.12.2009</v>
      </c>
      <c r="B161" s="591">
        <f>ROW()</f>
        <v>161</v>
      </c>
      <c r="C161" s="616" t="s">
        <v>1077</v>
      </c>
      <c r="D161" s="1146">
        <v>40165</v>
      </c>
      <c r="E161" s="617" t="s">
        <v>653</v>
      </c>
      <c r="F161" s="618" t="str">
        <f t="shared" si="14"/>
        <v/>
      </c>
      <c r="G161" s="615" t="str">
        <f t="shared" si="13"/>
        <v xml:space="preserve">TO ermöglicht: doppelten Kostenabzug;  Abweichungen vom gerichtl. festgelegten Ausgleichswert; </v>
      </c>
      <c r="K161" s="1144"/>
      <c r="L161" s="1144">
        <v>2</v>
      </c>
      <c r="M161" s="1144">
        <v>3</v>
      </c>
      <c r="N161" s="1144"/>
      <c r="P161" s="140">
        <f t="shared" si="11"/>
        <v>5</v>
      </c>
    </row>
    <row r="162" spans="1:16" ht="56.25">
      <c r="A162" s="591" t="str">
        <f t="shared" si="12"/>
        <v>Hoechst Pensionskasse v. 01.01.2022</v>
      </c>
      <c r="B162" s="591">
        <f>ROW()</f>
        <v>162</v>
      </c>
      <c r="C162" s="616" t="s">
        <v>1113</v>
      </c>
      <c r="D162" s="1146">
        <v>44562</v>
      </c>
      <c r="F162" s="618" t="str">
        <f t="shared" si="14"/>
        <v/>
      </c>
      <c r="G162" s="615" t="str">
        <f t="shared" si="13"/>
        <v/>
      </c>
      <c r="I162" s="615" t="s">
        <v>1317</v>
      </c>
      <c r="K162" s="1144"/>
      <c r="L162" s="1144"/>
      <c r="M162" s="1144"/>
      <c r="N162" s="1144"/>
      <c r="P162" s="140">
        <f t="shared" si="11"/>
        <v>0</v>
      </c>
    </row>
    <row r="163" spans="1:16" ht="25.5">
      <c r="A163" s="591" t="str">
        <f t="shared" si="12"/>
        <v>Homann Feinkost GmbH v. 01.09.2009</v>
      </c>
      <c r="B163" s="591">
        <f>ROW()</f>
        <v>163</v>
      </c>
      <c r="C163" s="616" t="s">
        <v>793</v>
      </c>
      <c r="D163" s="1146">
        <v>40057</v>
      </c>
      <c r="E163" s="617" t="s">
        <v>769</v>
      </c>
      <c r="F163" s="618" t="str">
        <f t="shared" si="14"/>
        <v/>
      </c>
      <c r="G163" s="615" t="str">
        <f t="shared" si="13"/>
        <v>TO ermöglicht:  Verzinsung zwischen EzE und RK geltend machen</v>
      </c>
      <c r="K163" s="1144"/>
      <c r="L163" s="1144"/>
      <c r="M163" s="1144"/>
      <c r="N163" s="1144">
        <v>4</v>
      </c>
      <c r="O163" s="761" t="s">
        <v>805</v>
      </c>
      <c r="P163" s="140">
        <f t="shared" si="11"/>
        <v>4</v>
      </c>
    </row>
    <row r="164" spans="1:16" ht="45">
      <c r="A164" s="591" t="str">
        <f t="shared" si="12"/>
        <v>HUK-Coburg v. 01.01.2015</v>
      </c>
      <c r="B164" s="591">
        <f>ROW()</f>
        <v>164</v>
      </c>
      <c r="C164" s="616" t="s">
        <v>693</v>
      </c>
      <c r="D164" s="1146">
        <v>42005</v>
      </c>
      <c r="E164" s="617" t="s">
        <v>669</v>
      </c>
      <c r="F164" s="618" t="str">
        <f t="shared" si="14"/>
        <v>Ja</v>
      </c>
      <c r="G164" s="615" t="str">
        <f t="shared" si="13"/>
        <v>TO ermöglicht: Tarifwechel; doppelten Kostenabzug;  Abweichungen vom gerichtl. festgelegten Ausgleichswert;  Verzinsung zwischen EzE und RK geltend machen</v>
      </c>
      <c r="K164" s="1144">
        <v>1</v>
      </c>
      <c r="L164" s="1144">
        <v>2</v>
      </c>
      <c r="M164" s="1144">
        <v>3</v>
      </c>
      <c r="N164" s="1144">
        <v>4</v>
      </c>
      <c r="O164" s="761" t="s">
        <v>805</v>
      </c>
      <c r="P164" s="140">
        <f t="shared" si="11"/>
        <v>10</v>
      </c>
    </row>
    <row r="165" spans="1:16" ht="45">
      <c r="A165" s="591" t="str">
        <f t="shared" si="12"/>
        <v>HypoVereinsbank HVB v. 05.10.2016</v>
      </c>
      <c r="B165" s="591">
        <f>ROW()</f>
        <v>165</v>
      </c>
      <c r="C165" s="616" t="s">
        <v>1078</v>
      </c>
      <c r="D165" s="1146">
        <v>42648</v>
      </c>
      <c r="E165" s="617" t="s">
        <v>1079</v>
      </c>
      <c r="F165" s="618" t="str">
        <f t="shared" si="14"/>
        <v/>
      </c>
      <c r="G165" s="615" t="str">
        <f t="shared" si="13"/>
        <v>TO ermöglicht: doppelten Kostenabzug;  Verzinsung zwischen EzE und RK geltend machen</v>
      </c>
      <c r="I165" s="615" t="s">
        <v>811</v>
      </c>
      <c r="K165" s="1144"/>
      <c r="L165" s="1144">
        <v>2</v>
      </c>
      <c r="M165" s="1144"/>
      <c r="N165" s="1144">
        <v>4</v>
      </c>
      <c r="P165" s="140">
        <f t="shared" si="11"/>
        <v>6</v>
      </c>
    </row>
    <row r="166" spans="1:16" ht="45">
      <c r="A166" s="591" t="str">
        <f t="shared" si="12"/>
        <v>HypoVereinsbank Unicredit Group v. 05.10.2016</v>
      </c>
      <c r="B166" s="591">
        <f>ROW()</f>
        <v>166</v>
      </c>
      <c r="C166" s="616" t="s">
        <v>1080</v>
      </c>
      <c r="D166" s="1146">
        <v>42648</v>
      </c>
      <c r="E166" s="617" t="s">
        <v>1081</v>
      </c>
      <c r="F166" s="618" t="str">
        <f t="shared" si="14"/>
        <v/>
      </c>
      <c r="G166" s="615" t="str">
        <f t="shared" si="13"/>
        <v>TO ermöglicht: doppelten Kostenabzug;  Abweichungen vom gerichtl. festgelegten Ausgleichswert;  Verzinsung zwischen EzE und RK geltend machen</v>
      </c>
      <c r="J166" s="760"/>
      <c r="K166" s="1144"/>
      <c r="L166" s="1144">
        <v>2</v>
      </c>
      <c r="M166" s="1144">
        <v>3</v>
      </c>
      <c r="N166" s="1144">
        <v>4</v>
      </c>
      <c r="P166" s="140">
        <f t="shared" si="11"/>
        <v>9</v>
      </c>
    </row>
    <row r="167" spans="1:16">
      <c r="A167" s="591" t="str">
        <f t="shared" si="12"/>
        <v>IBM v. 01.09.2009</v>
      </c>
      <c r="B167" s="591">
        <f>ROW()</f>
        <v>167</v>
      </c>
      <c r="C167" s="616" t="s">
        <v>1101</v>
      </c>
      <c r="D167" s="1146">
        <v>40057</v>
      </c>
      <c r="E167" s="617" t="s">
        <v>1102</v>
      </c>
      <c r="F167" s="618" t="str">
        <f t="shared" si="14"/>
        <v/>
      </c>
      <c r="G167" s="615" t="str">
        <f t="shared" si="13"/>
        <v xml:space="preserve">TO ermöglicht: doppelten Kostenabzug; </v>
      </c>
      <c r="K167" s="1144"/>
      <c r="L167" s="1144">
        <v>2</v>
      </c>
      <c r="M167" s="1144"/>
      <c r="N167" s="1144"/>
      <c r="P167" s="140">
        <f t="shared" si="11"/>
        <v>2</v>
      </c>
    </row>
    <row r="168" spans="1:16" ht="25.5">
      <c r="A168" s="591" t="str">
        <f t="shared" si="12"/>
        <v>IGLO GmbH v. 01.09.2009</v>
      </c>
      <c r="B168" s="591">
        <f>ROW()</f>
        <v>168</v>
      </c>
      <c r="C168" s="616" t="s">
        <v>794</v>
      </c>
      <c r="D168" s="1146">
        <v>40057</v>
      </c>
      <c r="E168" s="617" t="s">
        <v>769</v>
      </c>
      <c r="F168" s="618" t="str">
        <f t="shared" si="14"/>
        <v/>
      </c>
      <c r="G168" s="615" t="str">
        <f t="shared" si="13"/>
        <v xml:space="preserve">TO ermöglicht: doppelten Kostenabzug; </v>
      </c>
      <c r="K168" s="1144"/>
      <c r="L168" s="1144">
        <v>2</v>
      </c>
      <c r="M168" s="1144"/>
      <c r="N168" s="1144"/>
      <c r="O168" s="761" t="s">
        <v>805</v>
      </c>
      <c r="P168" s="140">
        <f t="shared" si="11"/>
        <v>2</v>
      </c>
    </row>
    <row r="169" spans="1:16" ht="22.5">
      <c r="A169" s="591" t="str">
        <f t="shared" si="12"/>
        <v>Imperial Logistics v. 14.02.2022</v>
      </c>
      <c r="B169" s="591">
        <f>ROW()</f>
        <v>169</v>
      </c>
      <c r="C169" s="616" t="s">
        <v>1125</v>
      </c>
      <c r="D169" s="1146">
        <v>44606</v>
      </c>
      <c r="E169" s="617" t="s">
        <v>877</v>
      </c>
      <c r="F169" s="618" t="str">
        <f t="shared" si="14"/>
        <v/>
      </c>
      <c r="G169" s="615" t="str">
        <f t="shared" si="13"/>
        <v>TO ermöglicht: doppelten Kostenabzug;  Verzinsung zwischen EzE und RK geltend machen</v>
      </c>
      <c r="K169" s="1144"/>
      <c r="L169" s="1144">
        <v>2</v>
      </c>
      <c r="M169" s="1144"/>
      <c r="N169" s="1144">
        <v>4</v>
      </c>
      <c r="P169" s="140">
        <f t="shared" ref="P169:P240" si="16">SUM(K169:N169)</f>
        <v>6</v>
      </c>
    </row>
    <row r="170" spans="1:16" ht="56.25">
      <c r="A170" s="591" t="str">
        <f t="shared" si="12"/>
        <v>Ineos Phenol v. 25.09.2009</v>
      </c>
      <c r="B170" s="591">
        <f>ROW()</f>
        <v>170</v>
      </c>
      <c r="C170" s="616" t="s">
        <v>1343</v>
      </c>
      <c r="D170" s="1146">
        <v>40081</v>
      </c>
      <c r="F170" s="618" t="str">
        <f t="shared" si="14"/>
        <v/>
      </c>
      <c r="G170" s="615" t="str">
        <f t="shared" si="13"/>
        <v/>
      </c>
      <c r="I170" s="615" t="s">
        <v>1344</v>
      </c>
      <c r="K170" s="1144"/>
      <c r="L170" s="1144"/>
      <c r="M170" s="1144"/>
      <c r="N170" s="1144"/>
      <c r="P170" s="140">
        <f t="shared" si="16"/>
        <v>0</v>
      </c>
    </row>
    <row r="171" spans="1:16" ht="45">
      <c r="A171" s="591" t="str">
        <f t="shared" si="12"/>
        <v>InterRisk Lebensversicherungs AG Vienna Insurance Group v. 02.08.2012</v>
      </c>
      <c r="B171" s="591">
        <f>ROW()</f>
        <v>171</v>
      </c>
      <c r="C171" s="616" t="s">
        <v>1612</v>
      </c>
      <c r="D171" s="1146">
        <v>41123</v>
      </c>
      <c r="E171" s="617" t="s">
        <v>653</v>
      </c>
      <c r="F171" s="618" t="str">
        <f t="shared" si="14"/>
        <v>Ja</v>
      </c>
      <c r="G171" s="615" t="str">
        <f t="shared" si="13"/>
        <v>TO ermöglicht: Tarifwechel; doppelten Kostenabzug;  Abweichungen vom gerichtl. festgelegten Ausgleichswert;  Verzinsung zwischen EzE und RK geltend machen</v>
      </c>
      <c r="I171" s="615" t="s">
        <v>1613</v>
      </c>
      <c r="K171" s="1144">
        <v>1</v>
      </c>
      <c r="L171" s="1144">
        <v>2</v>
      </c>
      <c r="M171" s="1144">
        <v>3</v>
      </c>
      <c r="N171" s="1144">
        <v>4</v>
      </c>
      <c r="P171" s="140"/>
    </row>
    <row r="172" spans="1:16" ht="28.5">
      <c r="A172" s="591" t="str">
        <f t="shared" si="12"/>
        <v>KKH - Teilungsregeln für den Versorgungsausgleich v. 26.05.2011</v>
      </c>
      <c r="B172" s="591">
        <f>ROW()</f>
        <v>172</v>
      </c>
      <c r="C172" s="757" t="s">
        <v>803</v>
      </c>
      <c r="D172" s="1146">
        <v>40689</v>
      </c>
      <c r="E172" s="617" t="s">
        <v>804</v>
      </c>
      <c r="F172" s="618" t="str">
        <f t="shared" si="14"/>
        <v/>
      </c>
      <c r="G172" s="615" t="str">
        <f t="shared" si="13"/>
        <v>TO ermöglicht: doppelten Kostenabzug;  Verzinsung zwischen EzE und RK geltend machen</v>
      </c>
      <c r="K172" s="1145"/>
      <c r="L172" s="1144">
        <v>2</v>
      </c>
      <c r="M172" s="1144"/>
      <c r="N172" s="1144">
        <v>4</v>
      </c>
      <c r="O172" s="761" t="s">
        <v>805</v>
      </c>
      <c r="P172" s="140">
        <f t="shared" si="16"/>
        <v>6</v>
      </c>
    </row>
    <row r="173" spans="1:16" ht="45">
      <c r="A173" s="591" t="str">
        <f t="shared" si="12"/>
        <v>Kölner Pensionskasse v. 01.01.2016</v>
      </c>
      <c r="B173" s="591">
        <f>ROW()</f>
        <v>173</v>
      </c>
      <c r="C173" s="616" t="s">
        <v>1340</v>
      </c>
      <c r="D173" s="1146">
        <v>42370</v>
      </c>
      <c r="F173" s="618" t="str">
        <f t="shared" si="14"/>
        <v>Ja</v>
      </c>
      <c r="G173" s="615" t="str">
        <f t="shared" si="13"/>
        <v>TO ermöglicht: Tarifwechel; doppelten Kostenabzug;  Abweichungen vom gerichtl. festgelegten Ausgleichswert;  Verzinsung zwischen EzE und RK geltend machen</v>
      </c>
      <c r="K173" s="1144">
        <v>1</v>
      </c>
      <c r="L173" s="1144">
        <v>2</v>
      </c>
      <c r="M173" s="1144">
        <v>3</v>
      </c>
      <c r="N173" s="1144">
        <v>4</v>
      </c>
      <c r="P173" s="140">
        <f t="shared" si="16"/>
        <v>10</v>
      </c>
    </row>
    <row r="174" spans="1:16" ht="22.5">
      <c r="A174" s="591" t="str">
        <f t="shared" si="12"/>
        <v>Kordoba TO KAVP TMA FHL v. 14.12.2010</v>
      </c>
      <c r="B174" s="591">
        <f>ROW()</f>
        <v>174</v>
      </c>
      <c r="C174" s="616" t="s">
        <v>1126</v>
      </c>
      <c r="D174" s="1146">
        <v>40526</v>
      </c>
      <c r="F174" s="618" t="str">
        <f t="shared" si="14"/>
        <v/>
      </c>
      <c r="G174" s="615" t="str">
        <f t="shared" si="13"/>
        <v>TO ermöglicht: doppelten Kostenabzug;  Verzinsung zwischen EzE und RK geltend machen</v>
      </c>
      <c r="K174" s="1144"/>
      <c r="L174" s="1144">
        <v>2</v>
      </c>
      <c r="M174" s="1144"/>
      <c r="N174" s="1144">
        <v>4</v>
      </c>
      <c r="P174" s="140">
        <f t="shared" si="16"/>
        <v>6</v>
      </c>
    </row>
    <row r="175" spans="1:16" ht="22.5">
      <c r="A175" s="591" t="str">
        <f t="shared" si="12"/>
        <v>LandesBank Berlin v. 22.03.2010</v>
      </c>
      <c r="B175" s="591">
        <f>ROW()</f>
        <v>175</v>
      </c>
      <c r="C175" s="616" t="s">
        <v>1082</v>
      </c>
      <c r="D175" s="1146">
        <v>40259</v>
      </c>
      <c r="F175" s="618" t="str">
        <f t="shared" si="14"/>
        <v/>
      </c>
      <c r="G175" s="615" t="str">
        <f t="shared" si="13"/>
        <v>TO ermöglicht: doppelten Kostenabzug;  Verzinsung zwischen EzE und RK geltend machen</v>
      </c>
      <c r="K175" s="1144"/>
      <c r="L175" s="1144">
        <v>2</v>
      </c>
      <c r="M175" s="1144"/>
      <c r="N175" s="1144">
        <v>4</v>
      </c>
      <c r="P175" s="140">
        <f t="shared" si="16"/>
        <v>6</v>
      </c>
    </row>
    <row r="176" spans="1:16" ht="78.75">
      <c r="A176" s="591" t="str">
        <f t="shared" si="12"/>
        <v>Landesbank Berlin v. 17.09.2021</v>
      </c>
      <c r="B176" s="591">
        <f>ROW()</f>
        <v>176</v>
      </c>
      <c r="C176" s="616" t="s">
        <v>1621</v>
      </c>
      <c r="D176" s="1146">
        <v>44456</v>
      </c>
      <c r="E176" s="617" t="s">
        <v>1131</v>
      </c>
      <c r="F176" s="618" t="str">
        <f t="shared" si="14"/>
        <v/>
      </c>
      <c r="G176" s="615" t="str">
        <f t="shared" si="13"/>
        <v>TO ermöglicht: doppelten Kostenabzug;  Verzinsung zwischen EzE und RK geltend machen</v>
      </c>
      <c r="I176" s="615" t="s">
        <v>1622</v>
      </c>
      <c r="K176" s="1144"/>
      <c r="L176" s="1144">
        <v>2</v>
      </c>
      <c r="M176" s="1144"/>
      <c r="N176" s="1144">
        <v>4</v>
      </c>
      <c r="P176" s="140">
        <f t="shared" si="16"/>
        <v>6</v>
      </c>
    </row>
    <row r="177" spans="1:16" ht="25.5">
      <c r="A177" s="591" t="str">
        <f t="shared" si="12"/>
        <v>Landesbank BW (Kapitalkontenplan 2005) TO  v. 02.05.2015</v>
      </c>
      <c r="B177" s="591">
        <f>ROW()</f>
        <v>177</v>
      </c>
      <c r="C177" s="616" t="s">
        <v>1311</v>
      </c>
      <c r="D177" s="1146">
        <v>42126</v>
      </c>
      <c r="E177" s="617">
        <v>5</v>
      </c>
      <c r="F177" s="618" t="str">
        <f t="shared" si="14"/>
        <v/>
      </c>
      <c r="G177" s="615" t="str">
        <f t="shared" si="13"/>
        <v xml:space="preserve">TO ermöglicht: doppelten Kostenabzug; </v>
      </c>
      <c r="K177" s="1144"/>
      <c r="L177" s="1144">
        <v>2</v>
      </c>
      <c r="M177" s="1144"/>
      <c r="N177" s="1144"/>
      <c r="P177" s="140">
        <f t="shared" si="16"/>
        <v>2</v>
      </c>
    </row>
    <row r="178" spans="1:16" ht="45">
      <c r="A178" s="591" t="str">
        <f t="shared" si="12"/>
        <v>Lebensversicherung von 1871 a.G. München v. 01.09.2009</v>
      </c>
      <c r="B178" s="591">
        <f>ROW()</f>
        <v>178</v>
      </c>
      <c r="C178" s="616" t="s">
        <v>1164</v>
      </c>
      <c r="D178" s="1146">
        <v>40057</v>
      </c>
      <c r="E178" s="617" t="s">
        <v>1163</v>
      </c>
      <c r="F178" s="618" t="str">
        <f t="shared" si="14"/>
        <v>Ja</v>
      </c>
      <c r="G178" s="615" t="str">
        <f t="shared" si="13"/>
        <v>TO ermöglicht: Tarifwechel; doppelten Kostenabzug;  Abweichungen vom gerichtl. festgelegten Ausgleichswert;  Verzinsung zwischen EzE und RK geltend machen</v>
      </c>
      <c r="K178" s="1144">
        <v>1</v>
      </c>
      <c r="L178" s="1144">
        <v>2</v>
      </c>
      <c r="M178" s="1144">
        <v>3</v>
      </c>
      <c r="N178" s="1144">
        <v>4</v>
      </c>
      <c r="P178" s="140">
        <f t="shared" si="16"/>
        <v>10</v>
      </c>
    </row>
    <row r="179" spans="1:16" ht="38.25">
      <c r="A179" s="591" t="str">
        <f t="shared" si="12"/>
        <v>LPV Lebensversicherung AG PBV-Bestandssegment, Bestandssystem Köln v. 01.09.2023</v>
      </c>
      <c r="B179" s="591">
        <f>ROW()</f>
        <v>179</v>
      </c>
      <c r="C179" s="616" t="s">
        <v>1810</v>
      </c>
      <c r="D179" s="1146">
        <v>45170</v>
      </c>
      <c r="E179" s="617" t="s">
        <v>653</v>
      </c>
      <c r="F179" s="618"/>
      <c r="G179" s="615" t="str">
        <f t="shared" si="13"/>
        <v>TO ermöglicht:  Verzinsung zwischen EzE und RK geltend machen</v>
      </c>
      <c r="K179" s="1144"/>
      <c r="L179" s="1144"/>
      <c r="M179" s="1144"/>
      <c r="N179" s="1144">
        <v>4</v>
      </c>
      <c r="P179" s="140"/>
    </row>
    <row r="180" spans="1:16" ht="25.5">
      <c r="A180" s="591" t="str">
        <f t="shared" si="12"/>
        <v>LPV Lebensversicherung AG PBV-Bestandssegment v. 01.09.2023</v>
      </c>
      <c r="B180" s="591">
        <f>ROW()</f>
        <v>180</v>
      </c>
      <c r="C180" s="616" t="s">
        <v>1808</v>
      </c>
      <c r="D180" s="1146">
        <v>45170</v>
      </c>
      <c r="E180" s="617" t="s">
        <v>1809</v>
      </c>
      <c r="F180" s="618" t="s">
        <v>465</v>
      </c>
      <c r="G180" s="615" t="str">
        <f t="shared" si="13"/>
        <v>TO ermöglicht: Tarifwechel;  Verzinsung zwischen EzE und RK geltend machen</v>
      </c>
      <c r="K180" s="1144">
        <v>1</v>
      </c>
      <c r="L180" s="1144"/>
      <c r="M180" s="1144"/>
      <c r="N180" s="1144">
        <v>4</v>
      </c>
      <c r="P180" s="140"/>
    </row>
    <row r="181" spans="1:16" ht="45">
      <c r="A181" s="591" t="str">
        <f t="shared" si="12"/>
        <v>Lufthansa Group TO  v. 28.06.2018</v>
      </c>
      <c r="B181" s="591">
        <f>ROW()</f>
        <v>181</v>
      </c>
      <c r="C181" s="616" t="s">
        <v>1320</v>
      </c>
      <c r="D181" s="1146">
        <v>43279</v>
      </c>
      <c r="E181" s="617" t="s">
        <v>1321</v>
      </c>
      <c r="F181" s="618" t="str">
        <f t="shared" si="14"/>
        <v/>
      </c>
      <c r="G181" s="615" t="str">
        <f t="shared" si="13"/>
        <v>TO ermöglicht: doppelten Kostenabzug;  Abweichungen vom gerichtl. festgelegten Ausgleichswert;  Verzinsung zwischen EzE und RK geltend machen</v>
      </c>
      <c r="K181" s="1144"/>
      <c r="L181" s="1144">
        <v>2</v>
      </c>
      <c r="M181" s="1144">
        <v>3</v>
      </c>
      <c r="N181" s="1144">
        <v>4</v>
      </c>
      <c r="P181" s="140">
        <f t="shared" si="16"/>
        <v>9</v>
      </c>
    </row>
    <row r="182" spans="1:16" ht="25.5">
      <c r="A182" s="591" t="str">
        <f t="shared" si="12"/>
        <v>Lufthansa Group Versorgungskasse Kabine e.V. v. 01.01.2012</v>
      </c>
      <c r="B182" s="591">
        <f>ROW()</f>
        <v>182</v>
      </c>
      <c r="C182" s="616" t="s">
        <v>1322</v>
      </c>
      <c r="D182" s="1146">
        <v>40909</v>
      </c>
      <c r="E182" s="617">
        <v>5</v>
      </c>
      <c r="F182" s="618" t="str">
        <f t="shared" si="14"/>
        <v>Ja</v>
      </c>
      <c r="G182" s="615" t="str">
        <f t="shared" si="13"/>
        <v>TO ermöglicht: Tarifwechel; doppelten Kostenabzug;  Verzinsung zwischen EzE und RK geltend machen</v>
      </c>
      <c r="K182" s="1144">
        <v>1</v>
      </c>
      <c r="L182" s="1144">
        <v>2</v>
      </c>
      <c r="M182" s="1144"/>
      <c r="N182" s="1144">
        <v>4</v>
      </c>
      <c r="P182" s="140">
        <f t="shared" si="16"/>
        <v>7</v>
      </c>
    </row>
    <row r="183" spans="1:16" ht="25.5">
      <c r="A183" s="591" t="str">
        <f t="shared" si="12"/>
        <v>LVM Lebens- und Rentenversicherungen (privat) v. 01.10.2009</v>
      </c>
      <c r="B183" s="591">
        <f>ROW()</f>
        <v>183</v>
      </c>
      <c r="C183" s="616" t="s">
        <v>1083</v>
      </c>
      <c r="D183" s="1146">
        <v>40087</v>
      </c>
      <c r="E183" s="617" t="s">
        <v>665</v>
      </c>
      <c r="F183" s="618" t="str">
        <f t="shared" si="14"/>
        <v>Ja</v>
      </c>
      <c r="G183" s="615" t="str">
        <f t="shared" si="13"/>
        <v>TO ermöglicht: Tarifwechel; doppelten Kostenabzug;  Verzinsung zwischen EzE und RK geltend machen</v>
      </c>
      <c r="K183" s="1144">
        <v>1</v>
      </c>
      <c r="L183" s="1144">
        <v>2</v>
      </c>
      <c r="M183" s="1144"/>
      <c r="N183" s="1144">
        <v>4</v>
      </c>
      <c r="P183" s="140">
        <f t="shared" si="16"/>
        <v>7</v>
      </c>
    </row>
    <row r="184" spans="1:16" ht="45">
      <c r="A184" s="591" t="str">
        <f t="shared" si="12"/>
        <v>LVM Lebensversicherungs-AG v. 01.07.2017</v>
      </c>
      <c r="B184" s="591">
        <f>ROW()</f>
        <v>184</v>
      </c>
      <c r="C184" s="616" t="s">
        <v>1328</v>
      </c>
      <c r="D184" s="1146">
        <v>42917</v>
      </c>
      <c r="E184" s="617">
        <v>5</v>
      </c>
      <c r="F184" s="618" t="str">
        <f t="shared" si="14"/>
        <v/>
      </c>
      <c r="G184" s="615" t="str">
        <f t="shared" si="13"/>
        <v>TO ermöglicht: doppelten Kostenabzug;  Abweichungen vom gerichtl. festgelegten Ausgleichswert;  Verzinsung zwischen EzE und RK geltend machen</v>
      </c>
      <c r="K184" s="1144"/>
      <c r="L184" s="1144">
        <v>2</v>
      </c>
      <c r="M184" s="1144">
        <v>3</v>
      </c>
      <c r="N184" s="1144">
        <v>4</v>
      </c>
      <c r="P184" s="140">
        <f t="shared" si="16"/>
        <v>9</v>
      </c>
    </row>
    <row r="185" spans="1:16" ht="22.5">
      <c r="A185" s="591" t="str">
        <f t="shared" si="12"/>
        <v>LVM Pensionsfonds v. 01.09.2009</v>
      </c>
      <c r="B185" s="591">
        <f>ROW()</f>
        <v>185</v>
      </c>
      <c r="C185" s="616" t="s">
        <v>1084</v>
      </c>
      <c r="D185" s="1146">
        <v>40057</v>
      </c>
      <c r="E185" s="617" t="s">
        <v>1085</v>
      </c>
      <c r="F185" s="618" t="str">
        <f t="shared" si="14"/>
        <v>Ja</v>
      </c>
      <c r="G185" s="615" t="str">
        <f t="shared" si="13"/>
        <v>TO ermöglicht: Tarifwechel; doppelten Kostenabzug;  Verzinsung zwischen EzE und RK geltend machen</v>
      </c>
      <c r="K185" s="1144">
        <v>1</v>
      </c>
      <c r="L185" s="1144">
        <v>2</v>
      </c>
      <c r="M185" s="1144"/>
      <c r="N185" s="1144">
        <v>4</v>
      </c>
      <c r="P185" s="140">
        <f t="shared" si="16"/>
        <v>7</v>
      </c>
    </row>
    <row r="186" spans="1:16" ht="22.5">
      <c r="A186" s="591" t="str">
        <f t="shared" si="12"/>
        <v>LVM Pensionsplan V v. 01.01.2010</v>
      </c>
      <c r="B186" s="591">
        <f>ROW()</f>
        <v>186</v>
      </c>
      <c r="C186" s="616" t="s">
        <v>1086</v>
      </c>
      <c r="D186" s="1146">
        <v>40179</v>
      </c>
      <c r="E186" s="617" t="s">
        <v>1087</v>
      </c>
      <c r="F186" s="618" t="str">
        <f t="shared" si="14"/>
        <v>Ja</v>
      </c>
      <c r="G186" s="615" t="str">
        <f t="shared" si="13"/>
        <v>TO ermöglicht: Tarifwechel; doppelten Kostenabzug;  Verzinsung zwischen EzE und RK geltend machen</v>
      </c>
      <c r="K186" s="1144">
        <v>1</v>
      </c>
      <c r="L186" s="1144">
        <v>2</v>
      </c>
      <c r="M186" s="1144"/>
      <c r="N186" s="1144">
        <v>4</v>
      </c>
      <c r="P186" s="140">
        <f t="shared" si="16"/>
        <v>7</v>
      </c>
    </row>
    <row r="187" spans="1:16" ht="22.5">
      <c r="A187" s="591" t="str">
        <f t="shared" si="12"/>
        <v>LVM Unterstützungskasse v. 01.03.2010</v>
      </c>
      <c r="B187" s="591">
        <f>ROW()</f>
        <v>187</v>
      </c>
      <c r="C187" s="616" t="s">
        <v>1088</v>
      </c>
      <c r="D187" s="1146">
        <v>40238</v>
      </c>
      <c r="E187" s="617" t="s">
        <v>1050</v>
      </c>
      <c r="F187" s="618" t="str">
        <f t="shared" si="14"/>
        <v>Ja</v>
      </c>
      <c r="G187" s="615" t="str">
        <f t="shared" si="13"/>
        <v>TO ermöglicht: Tarifwechel; doppelten Kostenabzug;  Verzinsung zwischen EzE und RK geltend machen</v>
      </c>
      <c r="K187" s="1144">
        <v>1</v>
      </c>
      <c r="L187" s="1144">
        <v>2</v>
      </c>
      <c r="M187" s="1144"/>
      <c r="N187" s="1144">
        <v>4</v>
      </c>
      <c r="P187" s="140">
        <f t="shared" si="16"/>
        <v>7</v>
      </c>
    </row>
    <row r="188" spans="1:16" ht="22.5">
      <c r="A188" s="591" t="str">
        <f t="shared" si="12"/>
        <v>LVM Unterstützungskasse v. 01.09.2009</v>
      </c>
      <c r="B188" s="591">
        <f>ROW()</f>
        <v>188</v>
      </c>
      <c r="C188" s="616" t="s">
        <v>1088</v>
      </c>
      <c r="D188" s="1146">
        <v>40057</v>
      </c>
      <c r="F188" s="618" t="str">
        <f t="shared" si="14"/>
        <v>Ja</v>
      </c>
      <c r="G188" s="615" t="str">
        <f t="shared" si="13"/>
        <v>TO ermöglicht: Tarifwechel; doppelten Kostenabzug;  Verzinsung zwischen EzE und RK geltend machen</v>
      </c>
      <c r="K188" s="1144">
        <v>1</v>
      </c>
      <c r="L188" s="1144">
        <v>2</v>
      </c>
      <c r="M188" s="1144"/>
      <c r="N188" s="1144">
        <v>4</v>
      </c>
      <c r="P188" s="140">
        <f t="shared" si="16"/>
        <v>7</v>
      </c>
    </row>
    <row r="189" spans="1:16" ht="22.5">
      <c r="A189" s="591" t="str">
        <f t="shared" si="12"/>
        <v>LVM Versicherung (Direktversicherung) v. 01.10.2009</v>
      </c>
      <c r="B189" s="591">
        <f>ROW()</f>
        <v>189</v>
      </c>
      <c r="C189" s="616" t="s">
        <v>1089</v>
      </c>
      <c r="D189" s="1146">
        <v>40087</v>
      </c>
      <c r="E189" s="617" t="s">
        <v>665</v>
      </c>
      <c r="F189" s="618" t="str">
        <f t="shared" si="14"/>
        <v>Ja</v>
      </c>
      <c r="G189" s="615" t="str">
        <f t="shared" si="13"/>
        <v>TO ermöglicht: Tarifwechel; doppelten Kostenabzug;  Verzinsung zwischen EzE und RK geltend machen</v>
      </c>
      <c r="H189" s="397"/>
      <c r="J189" s="760"/>
      <c r="K189" s="1144">
        <v>1</v>
      </c>
      <c r="L189" s="1144">
        <v>2</v>
      </c>
      <c r="M189" s="1144"/>
      <c r="N189" s="1144">
        <v>4</v>
      </c>
      <c r="P189" s="140">
        <f t="shared" si="16"/>
        <v>7</v>
      </c>
    </row>
    <row r="190" spans="1:16" ht="22.5">
      <c r="A190" s="591" t="str">
        <f t="shared" si="12"/>
        <v>LVM Versicherung v. 01.07.2017</v>
      </c>
      <c r="B190" s="591">
        <f>ROW()</f>
        <v>190</v>
      </c>
      <c r="C190" s="616" t="s">
        <v>663</v>
      </c>
      <c r="D190" s="1146">
        <v>42917</v>
      </c>
      <c r="E190" s="617" t="s">
        <v>665</v>
      </c>
      <c r="F190" s="618" t="str">
        <f t="shared" si="14"/>
        <v/>
      </c>
      <c r="G190" s="615" t="str">
        <f t="shared" si="13"/>
        <v>TO ermöglicht: doppelten Kostenabzug;  Verzinsung zwischen EzE und RK geltend machen</v>
      </c>
      <c r="K190" s="1144"/>
      <c r="L190" s="1144">
        <v>2</v>
      </c>
      <c r="M190" s="1144"/>
      <c r="N190" s="1144">
        <v>4</v>
      </c>
      <c r="O190" s="763" t="s">
        <v>664</v>
      </c>
      <c r="P190" s="140">
        <f t="shared" si="16"/>
        <v>6</v>
      </c>
    </row>
    <row r="191" spans="1:16" ht="22.5">
      <c r="A191" s="591" t="str">
        <f t="shared" si="12"/>
        <v>MAN (KBV BAV MEV) v. 01.09.2009</v>
      </c>
      <c r="B191" s="591">
        <f>ROW()</f>
        <v>191</v>
      </c>
      <c r="C191" s="616" t="s">
        <v>1090</v>
      </c>
      <c r="D191" s="1146">
        <v>40057</v>
      </c>
      <c r="E191" s="617" t="s">
        <v>653</v>
      </c>
      <c r="F191" s="618" t="str">
        <f t="shared" si="14"/>
        <v/>
      </c>
      <c r="G191" s="615" t="str">
        <f t="shared" si="13"/>
        <v>TO ermöglicht:  Verzinsung zwischen EzE und RK geltend machen</v>
      </c>
      <c r="H191" s="397"/>
      <c r="K191" s="1144"/>
      <c r="L191" s="1144"/>
      <c r="M191" s="1144"/>
      <c r="N191" s="1144">
        <v>4</v>
      </c>
      <c r="P191" s="140">
        <f t="shared" si="16"/>
        <v>4</v>
      </c>
    </row>
    <row r="192" spans="1:16" ht="90">
      <c r="A192" s="591" t="str">
        <f t="shared" si="12"/>
        <v>MAN (KBV BAV MEV) v. 04.04.2011</v>
      </c>
      <c r="B192" s="591">
        <f>ROW()</f>
        <v>192</v>
      </c>
      <c r="C192" s="616" t="s">
        <v>1090</v>
      </c>
      <c r="D192" s="1146">
        <v>40637</v>
      </c>
      <c r="E192" s="617" t="s">
        <v>1358</v>
      </c>
      <c r="F192" s="618" t="str">
        <f t="shared" si="14"/>
        <v/>
      </c>
      <c r="G192" s="615" t="str">
        <f t="shared" si="13"/>
        <v>TO ermöglicht:  Verzinsung zwischen EzE und RK geltend machen</v>
      </c>
      <c r="H192" s="397"/>
      <c r="I192" s="615" t="s">
        <v>1359</v>
      </c>
      <c r="K192" s="1144"/>
      <c r="L192" s="1144"/>
      <c r="M192" s="1144"/>
      <c r="N192" s="1144">
        <v>4</v>
      </c>
      <c r="P192" s="140">
        <f t="shared" si="16"/>
        <v>4</v>
      </c>
    </row>
    <row r="193" spans="1:16" ht="90">
      <c r="A193" s="591" t="str">
        <f t="shared" si="12"/>
        <v>MAN (KBV BAV MEV) v. 15.03.2011</v>
      </c>
      <c r="B193" s="591">
        <f>ROW()</f>
        <v>193</v>
      </c>
      <c r="C193" s="616" t="s">
        <v>1090</v>
      </c>
      <c r="D193" s="1146">
        <v>40617</v>
      </c>
      <c r="E193" s="617" t="s">
        <v>1358</v>
      </c>
      <c r="F193" s="618" t="str">
        <f t="shared" si="14"/>
        <v/>
      </c>
      <c r="G193" s="615" t="str">
        <f t="shared" si="13"/>
        <v>TO ermöglicht:  Verzinsung zwischen EzE und RK geltend machen</v>
      </c>
      <c r="H193" s="397"/>
      <c r="I193" s="615" t="s">
        <v>1359</v>
      </c>
      <c r="K193" s="1144"/>
      <c r="L193" s="1144"/>
      <c r="M193" s="1144"/>
      <c r="N193" s="1144">
        <v>4</v>
      </c>
      <c r="P193" s="140">
        <f t="shared" si="16"/>
        <v>4</v>
      </c>
    </row>
    <row r="194" spans="1:16" ht="25.5">
      <c r="A194" s="591" t="str">
        <f t="shared" si="12"/>
        <v>Marktkauf Gruppen-Unterstützungskasse e.V. v. 01.01.2018</v>
      </c>
      <c r="B194" s="591">
        <f>ROW()</f>
        <v>194</v>
      </c>
      <c r="C194" s="616" t="s">
        <v>777</v>
      </c>
      <c r="D194" s="1146">
        <v>43101</v>
      </c>
      <c r="E194" s="617" t="s">
        <v>769</v>
      </c>
      <c r="F194" s="618" t="str">
        <f t="shared" si="14"/>
        <v/>
      </c>
      <c r="G194" s="615" t="str">
        <f t="shared" si="13"/>
        <v xml:space="preserve">TO ermöglicht: doppelten Kostenabzug; </v>
      </c>
      <c r="H194" s="397"/>
      <c r="J194" s="760"/>
      <c r="K194" s="1144"/>
      <c r="L194" s="1144">
        <v>2</v>
      </c>
      <c r="M194" s="1144"/>
      <c r="N194" s="1144"/>
      <c r="P194" s="140">
        <f t="shared" si="16"/>
        <v>2</v>
      </c>
    </row>
    <row r="195" spans="1:16" ht="101.25">
      <c r="A195" s="591" t="str">
        <f t="shared" si="12"/>
        <v>Mecklenburgische LV AG v. 01.06.2013</v>
      </c>
      <c r="B195" s="591">
        <f>ROW()</f>
        <v>195</v>
      </c>
      <c r="C195" s="616" t="s">
        <v>1544</v>
      </c>
      <c r="D195" s="1146">
        <v>41426</v>
      </c>
      <c r="E195" s="617" t="s">
        <v>653</v>
      </c>
      <c r="F195" s="618"/>
      <c r="G195" s="615" t="str">
        <f t="shared" si="13"/>
        <v xml:space="preserve">TO ermöglicht: doppelten Kostenabzug; </v>
      </c>
      <c r="H195" s="397"/>
      <c r="I195" s="615" t="s">
        <v>1545</v>
      </c>
      <c r="J195" s="760"/>
      <c r="K195" s="1144"/>
      <c r="L195" s="1144">
        <v>2</v>
      </c>
      <c r="M195" s="1144"/>
      <c r="N195" s="1144"/>
      <c r="P195" s="140"/>
    </row>
    <row r="196" spans="1:16">
      <c r="A196" s="591" t="str">
        <f t="shared" si="12"/>
        <v>MEDA Pharma GmbH v. 02.11.2009</v>
      </c>
      <c r="B196" s="591">
        <f>ROW()</f>
        <v>196</v>
      </c>
      <c r="C196" s="616" t="s">
        <v>1002</v>
      </c>
      <c r="D196" s="1146">
        <v>40119</v>
      </c>
      <c r="E196" s="617" t="s">
        <v>1001</v>
      </c>
      <c r="F196" s="618" t="str">
        <f t="shared" si="14"/>
        <v/>
      </c>
      <c r="G196" s="615" t="str">
        <f t="shared" si="13"/>
        <v xml:space="preserve">TO ermöglicht: doppelten Kostenabzug; </v>
      </c>
      <c r="H196" s="397"/>
      <c r="K196" s="1144"/>
      <c r="L196" s="1144">
        <v>2</v>
      </c>
      <c r="M196" s="1144"/>
      <c r="N196" s="1144"/>
      <c r="P196" s="140">
        <f t="shared" si="16"/>
        <v>2</v>
      </c>
    </row>
    <row r="197" spans="1:16">
      <c r="A197" s="591" t="str">
        <f t="shared" si="12"/>
        <v>Mercedes Benz AG v. 01.04.2021</v>
      </c>
      <c r="B197" s="591">
        <f>ROW()</f>
        <v>197</v>
      </c>
      <c r="C197" s="616" t="s">
        <v>1007</v>
      </c>
      <c r="D197" s="1146">
        <v>44287</v>
      </c>
      <c r="E197" s="617" t="s">
        <v>1006</v>
      </c>
      <c r="F197" s="618" t="str">
        <f t="shared" si="14"/>
        <v/>
      </c>
      <c r="G197" s="615" t="str">
        <f t="shared" si="13"/>
        <v xml:space="preserve">TO ermöglicht: doppelten Kostenabzug; </v>
      </c>
      <c r="H197" s="397"/>
      <c r="J197" s="760"/>
      <c r="K197" s="1144"/>
      <c r="L197" s="1144">
        <v>2</v>
      </c>
      <c r="M197" s="1144"/>
      <c r="N197" s="1144"/>
      <c r="P197" s="140">
        <f t="shared" si="16"/>
        <v>2</v>
      </c>
    </row>
    <row r="198" spans="1:16" ht="22.5">
      <c r="A198" s="591" t="str">
        <f t="shared" si="12"/>
        <v>Metall-Rente v. 01.09.2009</v>
      </c>
      <c r="B198" s="591">
        <f>ROW()</f>
        <v>198</v>
      </c>
      <c r="C198" s="616" t="s">
        <v>698</v>
      </c>
      <c r="D198" s="1146">
        <v>40057</v>
      </c>
      <c r="E198" s="617" t="s">
        <v>717</v>
      </c>
      <c r="F198" s="618" t="str">
        <f t="shared" si="14"/>
        <v>Ja</v>
      </c>
      <c r="G198" s="615" t="str">
        <f t="shared" si="13"/>
        <v xml:space="preserve">TO ermöglicht: Tarifwechel; doppelten Kostenabzug; </v>
      </c>
      <c r="H198" s="397"/>
      <c r="J198" s="760"/>
      <c r="K198" s="1144">
        <v>1</v>
      </c>
      <c r="L198" s="1144">
        <v>2</v>
      </c>
      <c r="M198" s="1144"/>
      <c r="N198" s="1144"/>
      <c r="O198" s="763" t="s">
        <v>718</v>
      </c>
      <c r="P198" s="140">
        <f t="shared" si="16"/>
        <v>3</v>
      </c>
    </row>
    <row r="199" spans="1:16" ht="25.5">
      <c r="A199" s="591" t="str">
        <f t="shared" si="12"/>
        <v>METRO Cash Carry_Deutschland v. 01.07.2012</v>
      </c>
      <c r="B199" s="591">
        <f>ROW()</f>
        <v>199</v>
      </c>
      <c r="C199" s="616" t="s">
        <v>1134</v>
      </c>
      <c r="D199" s="1146">
        <v>41091</v>
      </c>
      <c r="E199" s="617" t="s">
        <v>769</v>
      </c>
      <c r="F199" s="618" t="str">
        <f t="shared" si="14"/>
        <v/>
      </c>
      <c r="G199" s="615" t="str">
        <f t="shared" si="13"/>
        <v/>
      </c>
      <c r="H199" s="397"/>
      <c r="J199" s="760"/>
      <c r="K199" s="1144"/>
      <c r="L199" s="1144"/>
      <c r="M199" s="1144"/>
      <c r="N199" s="1144"/>
      <c r="O199" s="761" t="s">
        <v>805</v>
      </c>
      <c r="P199" s="140">
        <f t="shared" si="16"/>
        <v>0</v>
      </c>
    </row>
    <row r="200" spans="1:16" ht="25.5">
      <c r="A200" s="591" t="str">
        <f t="shared" si="12"/>
        <v>METRO_AG_ASKO v. 01.09.2009</v>
      </c>
      <c r="B200" s="591">
        <f>ROW()</f>
        <v>200</v>
      </c>
      <c r="C200" s="616" t="s">
        <v>788</v>
      </c>
      <c r="D200" s="1146">
        <v>40057</v>
      </c>
      <c r="E200" s="617" t="s">
        <v>769</v>
      </c>
      <c r="F200" s="618" t="str">
        <f t="shared" si="14"/>
        <v/>
      </c>
      <c r="G200" s="615" t="str">
        <f t="shared" si="13"/>
        <v/>
      </c>
      <c r="H200" s="397"/>
      <c r="K200" s="1144"/>
      <c r="L200" s="1144"/>
      <c r="M200" s="1144"/>
      <c r="N200" s="1144"/>
      <c r="O200" s="761" t="s">
        <v>805</v>
      </c>
      <c r="P200" s="140">
        <f t="shared" si="16"/>
        <v>0</v>
      </c>
    </row>
    <row r="201" spans="1:16" ht="25.5">
      <c r="A201" s="591" t="str">
        <f t="shared" si="12"/>
        <v>METRO_AG_EPP_FPP v. 01.07.2012</v>
      </c>
      <c r="B201" s="591">
        <f>ROW()</f>
        <v>201</v>
      </c>
      <c r="C201" s="616" t="s">
        <v>771</v>
      </c>
      <c r="D201" s="1146">
        <v>41091</v>
      </c>
      <c r="E201" s="617" t="s">
        <v>769</v>
      </c>
      <c r="F201" s="618" t="str">
        <f t="shared" si="14"/>
        <v/>
      </c>
      <c r="G201" s="615" t="str">
        <f t="shared" si="13"/>
        <v/>
      </c>
      <c r="H201" s="397"/>
      <c r="K201" s="1144"/>
      <c r="L201" s="1144"/>
      <c r="M201" s="1144"/>
      <c r="N201" s="1144"/>
      <c r="O201" s="761" t="s">
        <v>805</v>
      </c>
      <c r="P201" s="140">
        <f t="shared" si="16"/>
        <v>0</v>
      </c>
    </row>
    <row r="202" spans="1:16">
      <c r="A202" s="591" t="str">
        <f t="shared" si="12"/>
        <v>Mitteldeutscher Rundfunk Tarifvertrag v. 02.12.2009</v>
      </c>
      <c r="B202" s="591">
        <f>ROW()</f>
        <v>202</v>
      </c>
      <c r="C202" s="616" t="s">
        <v>939</v>
      </c>
      <c r="D202" s="1146">
        <v>40149</v>
      </c>
      <c r="F202" s="618" t="str">
        <f t="shared" si="14"/>
        <v/>
      </c>
      <c r="G202" s="615" t="str">
        <f t="shared" si="13"/>
        <v/>
      </c>
      <c r="H202" s="397"/>
      <c r="K202" s="1144"/>
      <c r="L202" s="1144"/>
      <c r="M202" s="1144"/>
      <c r="N202" s="1144"/>
      <c r="P202" s="140">
        <f t="shared" si="16"/>
        <v>0</v>
      </c>
    </row>
    <row r="203" spans="1:16">
      <c r="A203" s="591" t="str">
        <f t="shared" si="12"/>
        <v>Mobil Oil BKK v. 01.01.2019</v>
      </c>
      <c r="B203" s="591">
        <f>ROW()</f>
        <v>203</v>
      </c>
      <c r="C203" s="616" t="s">
        <v>1127</v>
      </c>
      <c r="D203" s="1146">
        <v>43466</v>
      </c>
      <c r="F203" s="618" t="str">
        <f t="shared" si="14"/>
        <v/>
      </c>
      <c r="G203" s="615" t="str">
        <f t="shared" si="13"/>
        <v/>
      </c>
      <c r="H203" s="397"/>
      <c r="K203" s="1144"/>
      <c r="L203" s="1144"/>
      <c r="M203" s="1144"/>
      <c r="N203" s="1144"/>
      <c r="P203" s="140">
        <f t="shared" si="16"/>
        <v>0</v>
      </c>
    </row>
    <row r="204" spans="1:16" ht="45">
      <c r="A204" s="591" t="str">
        <f t="shared" ref="A204" si="17">C204&amp;IF(D204=0,""," v. "&amp;TEXT(D204,"TT.MM.JJJ"))</f>
        <v>Münchener Rückversicherungs-Gesellschaft AG  v. 01.10.2021</v>
      </c>
      <c r="B204" s="591">
        <f>ROW()</f>
        <v>204</v>
      </c>
      <c r="C204" s="616" t="s">
        <v>1857</v>
      </c>
      <c r="D204" s="1146">
        <v>44470</v>
      </c>
      <c r="E204" s="617">
        <v>6</v>
      </c>
      <c r="F204" s="618"/>
      <c r="G204" s="615" t="str">
        <f t="shared" si="13"/>
        <v/>
      </c>
      <c r="H204" s="397"/>
      <c r="I204" s="615" t="s">
        <v>1858</v>
      </c>
      <c r="K204" s="1144"/>
      <c r="L204" s="1144"/>
      <c r="M204" s="1144"/>
      <c r="N204" s="1144"/>
      <c r="P204" s="140"/>
    </row>
    <row r="205" spans="1:16">
      <c r="A205" s="591" t="str">
        <f t="shared" si="12"/>
        <v>Nestlé PK Tarif Baustein L v. 22.09.2010</v>
      </c>
      <c r="B205" s="591">
        <f>ROW()</f>
        <v>205</v>
      </c>
      <c r="C205" s="616" t="s">
        <v>686</v>
      </c>
      <c r="D205" s="1146">
        <v>40443</v>
      </c>
      <c r="F205" s="618" t="str">
        <f t="shared" si="14"/>
        <v/>
      </c>
      <c r="G205" s="615" t="str">
        <f t="shared" si="13"/>
        <v/>
      </c>
      <c r="H205" s="397"/>
      <c r="K205" s="1144"/>
      <c r="L205" s="1144"/>
      <c r="M205" s="1144"/>
      <c r="N205" s="1144"/>
      <c r="O205" s="763" t="s">
        <v>685</v>
      </c>
      <c r="P205" s="140">
        <f t="shared" si="16"/>
        <v>0</v>
      </c>
    </row>
    <row r="206" spans="1:16">
      <c r="A206" s="591" t="str">
        <f t="shared" si="12"/>
        <v>Nestlé PK Tarif Vorsorgekonto v. 21.09.2010</v>
      </c>
      <c r="B206" s="591">
        <f>ROW()</f>
        <v>206</v>
      </c>
      <c r="C206" s="616" t="s">
        <v>684</v>
      </c>
      <c r="D206" s="1146">
        <v>40442</v>
      </c>
      <c r="F206" s="618" t="str">
        <f t="shared" si="14"/>
        <v/>
      </c>
      <c r="G206" s="615" t="str">
        <f t="shared" si="13"/>
        <v/>
      </c>
      <c r="H206" s="397"/>
      <c r="K206" s="1144"/>
      <c r="L206" s="1144"/>
      <c r="M206" s="1144"/>
      <c r="N206" s="1144"/>
      <c r="O206" s="763" t="s">
        <v>685</v>
      </c>
      <c r="P206" s="140">
        <f t="shared" si="16"/>
        <v>0</v>
      </c>
    </row>
    <row r="207" spans="1:16">
      <c r="A207" s="591" t="str">
        <f t="shared" si="12"/>
        <v>Netto Direktzusagen v. 05.01.2019</v>
      </c>
      <c r="B207" s="591">
        <f>ROW()</f>
        <v>207</v>
      </c>
      <c r="C207" s="616" t="s">
        <v>1128</v>
      </c>
      <c r="D207" s="1146">
        <v>43470</v>
      </c>
      <c r="F207" s="618" t="str">
        <f t="shared" si="14"/>
        <v/>
      </c>
      <c r="G207" s="615" t="str">
        <f t="shared" si="13"/>
        <v/>
      </c>
      <c r="H207" s="397"/>
      <c r="K207" s="1144"/>
      <c r="L207" s="1144"/>
      <c r="M207" s="1144"/>
      <c r="N207" s="1144"/>
      <c r="P207" s="140">
        <f t="shared" si="16"/>
        <v>0</v>
      </c>
    </row>
    <row r="208" spans="1:16" ht="45">
      <c r="A208" s="591" t="str">
        <f t="shared" si="12"/>
        <v>Netto_Direktzusagen v. 01.05.2019</v>
      </c>
      <c r="B208" s="591">
        <f>ROW()</f>
        <v>208</v>
      </c>
      <c r="C208" s="616" t="s">
        <v>786</v>
      </c>
      <c r="D208" s="1146">
        <v>43586</v>
      </c>
      <c r="E208" s="617" t="s">
        <v>769</v>
      </c>
      <c r="F208" s="618" t="str">
        <f t="shared" si="14"/>
        <v/>
      </c>
      <c r="G208" s="615" t="str">
        <f t="shared" si="13"/>
        <v>TO ermöglicht: doppelten Kostenabzug;  Abweichungen vom gerichtl. festgelegten Ausgleichswert;  Verzinsung zwischen EzE und RK geltend machen</v>
      </c>
      <c r="H208" s="397"/>
      <c r="K208" s="1144"/>
      <c r="L208" s="1144">
        <v>2</v>
      </c>
      <c r="M208" s="1144">
        <v>3</v>
      </c>
      <c r="N208" s="1144">
        <v>4</v>
      </c>
      <c r="O208" s="761" t="s">
        <v>805</v>
      </c>
      <c r="P208" s="140">
        <f t="shared" si="16"/>
        <v>9</v>
      </c>
    </row>
    <row r="209" spans="1:16" ht="25.5">
      <c r="A209" s="591" t="str">
        <f t="shared" si="12"/>
        <v>Neue Bayerische Beamten Lebensversicherung AG v. 01.01.2013</v>
      </c>
      <c r="B209" s="591">
        <f>ROW()</f>
        <v>209</v>
      </c>
      <c r="C209" s="616" t="s">
        <v>920</v>
      </c>
      <c r="D209" s="1146">
        <v>41275</v>
      </c>
      <c r="E209" s="617" t="s">
        <v>921</v>
      </c>
      <c r="F209" s="618" t="str">
        <f t="shared" si="14"/>
        <v>Ja</v>
      </c>
      <c r="G209" s="615" t="str">
        <f t="shared" si="13"/>
        <v xml:space="preserve">TO ermöglicht: Tarifwechel; </v>
      </c>
      <c r="H209" s="397"/>
      <c r="K209" s="1144">
        <v>1</v>
      </c>
      <c r="L209" s="1144"/>
      <c r="M209" s="1144"/>
      <c r="N209" s="1144"/>
      <c r="P209" s="140">
        <f t="shared" si="16"/>
        <v>1</v>
      </c>
    </row>
    <row r="210" spans="1:16" ht="45">
      <c r="A210" s="591" t="str">
        <f t="shared" si="12"/>
        <v>Neue Leben v. 01.08.2018</v>
      </c>
      <c r="B210" s="591">
        <f>ROW()</f>
        <v>210</v>
      </c>
      <c r="C210" s="616" t="s">
        <v>676</v>
      </c>
      <c r="D210" s="1146">
        <v>43313</v>
      </c>
      <c r="E210" s="617" t="s">
        <v>677</v>
      </c>
      <c r="F210" s="618" t="str">
        <f t="shared" si="14"/>
        <v>Ja</v>
      </c>
      <c r="G210" s="615" t="str">
        <f t="shared" si="13"/>
        <v>TO ermöglicht: Tarifwechel; doppelten Kostenabzug;  Abweichungen vom gerichtl. festgelegten Ausgleichswert;  Verzinsung zwischen EzE und RK geltend machen</v>
      </c>
      <c r="H210" s="397"/>
      <c r="K210" s="1144">
        <v>1</v>
      </c>
      <c r="L210" s="1144">
        <v>2</v>
      </c>
      <c r="M210" s="1144">
        <v>3</v>
      </c>
      <c r="N210" s="1144">
        <v>4</v>
      </c>
      <c r="O210" s="763" t="s">
        <v>678</v>
      </c>
      <c r="P210" s="140">
        <f t="shared" si="16"/>
        <v>10</v>
      </c>
    </row>
    <row r="211" spans="1:16" ht="45">
      <c r="A211" s="591" t="str">
        <f t="shared" si="12"/>
        <v>Neue Leben v. 07.10.2012</v>
      </c>
      <c r="B211" s="591">
        <f>ROW()</f>
        <v>211</v>
      </c>
      <c r="C211" s="616" t="s">
        <v>676</v>
      </c>
      <c r="D211" s="1146">
        <v>41189</v>
      </c>
      <c r="E211" s="617" t="s">
        <v>1091</v>
      </c>
      <c r="F211" s="618" t="str">
        <f t="shared" si="14"/>
        <v>Ja</v>
      </c>
      <c r="G211" s="615" t="str">
        <f t="shared" si="13"/>
        <v>TO ermöglicht: Tarifwechel; doppelten Kostenabzug;  Abweichungen vom gerichtl. festgelegten Ausgleichswert;  Verzinsung zwischen EzE und RK geltend machen</v>
      </c>
      <c r="H211" s="397"/>
      <c r="K211" s="1144">
        <v>1</v>
      </c>
      <c r="L211" s="1144">
        <v>2</v>
      </c>
      <c r="M211" s="1144">
        <v>3</v>
      </c>
      <c r="N211" s="1144">
        <v>4</v>
      </c>
      <c r="O211" s="763"/>
      <c r="P211" s="140">
        <f t="shared" si="16"/>
        <v>10</v>
      </c>
    </row>
    <row r="212" spans="1:16">
      <c r="A212" s="591" t="str">
        <f t="shared" si="12"/>
        <v>Norddeutscher Rundfunk Tarifvertrag v. 07.12.2009</v>
      </c>
      <c r="B212" s="591">
        <f>ROW()</f>
        <v>212</v>
      </c>
      <c r="C212" s="616" t="s">
        <v>944</v>
      </c>
      <c r="D212" s="1146">
        <v>40154</v>
      </c>
      <c r="F212" s="618" t="str">
        <f t="shared" si="14"/>
        <v/>
      </c>
      <c r="G212" s="615" t="str">
        <f t="shared" si="13"/>
        <v/>
      </c>
      <c r="H212" s="397"/>
      <c r="K212" s="1144"/>
      <c r="L212" s="1144"/>
      <c r="M212" s="1144"/>
      <c r="N212" s="1144"/>
      <c r="P212" s="140">
        <f t="shared" si="16"/>
        <v>0</v>
      </c>
    </row>
    <row r="213" spans="1:16" ht="33.75">
      <c r="A213" s="591" t="str">
        <f t="shared" si="12"/>
        <v>Nordostdeutsche Energiewirtschaft Unterstützungskasse v. 30.03.2020</v>
      </c>
      <c r="B213" s="591">
        <f>ROW()</f>
        <v>213</v>
      </c>
      <c r="C213" s="616" t="s">
        <v>1204</v>
      </c>
      <c r="D213" s="1146">
        <v>43920</v>
      </c>
      <c r="E213" s="617" t="s">
        <v>1202</v>
      </c>
      <c r="F213" s="618" t="str">
        <f t="shared" si="14"/>
        <v/>
      </c>
      <c r="G213" s="615" t="str">
        <f t="shared" si="13"/>
        <v>TO ermöglicht: doppelten Kostenabzug;  Verzinsung zwischen EzE und RK geltend machen</v>
      </c>
      <c r="H213" s="397"/>
      <c r="I213" s="615" t="s">
        <v>1203</v>
      </c>
      <c r="K213" s="1144"/>
      <c r="L213" s="1144">
        <v>2</v>
      </c>
      <c r="M213" s="1144"/>
      <c r="N213" s="1144">
        <v>4</v>
      </c>
      <c r="P213" s="140">
        <f t="shared" si="16"/>
        <v>6</v>
      </c>
    </row>
    <row r="214" spans="1:16" ht="25.5">
      <c r="A214" s="591" t="str">
        <f t="shared" si="12"/>
        <v>Nordsee GmbH v. 01.09.2009</v>
      </c>
      <c r="B214" s="591">
        <f>ROW()</f>
        <v>214</v>
      </c>
      <c r="C214" s="616" t="s">
        <v>792</v>
      </c>
      <c r="D214" s="1146">
        <v>40057</v>
      </c>
      <c r="E214" s="617" t="s">
        <v>769</v>
      </c>
      <c r="F214" s="618" t="str">
        <f t="shared" si="14"/>
        <v/>
      </c>
      <c r="G214" s="615" t="str">
        <f t="shared" si="13"/>
        <v/>
      </c>
      <c r="H214" s="397"/>
      <c r="J214" s="760"/>
      <c r="K214" s="1144"/>
      <c r="L214" s="1144"/>
      <c r="M214" s="1144"/>
      <c r="N214" s="1144"/>
      <c r="O214" s="761" t="s">
        <v>805</v>
      </c>
      <c r="P214" s="140">
        <f t="shared" si="16"/>
        <v>0</v>
      </c>
    </row>
    <row r="215" spans="1:16" ht="22.5">
      <c r="A215" s="591" t="str">
        <f t="shared" si="12"/>
        <v>Nürnberger Lebensversicherung AG v. 01.01.2022</v>
      </c>
      <c r="B215" s="591">
        <f>ROW()</f>
        <v>215</v>
      </c>
      <c r="C215" s="616" t="s">
        <v>930</v>
      </c>
      <c r="D215" s="1146">
        <v>44562</v>
      </c>
      <c r="E215" s="617" t="s">
        <v>926</v>
      </c>
      <c r="F215" s="618" t="str">
        <f t="shared" si="14"/>
        <v/>
      </c>
      <c r="G215" s="615" t="str">
        <f t="shared" si="13"/>
        <v>TO ermöglicht:  Verzinsung zwischen EzE und RK geltend machen</v>
      </c>
      <c r="H215" s="397"/>
      <c r="K215" s="1144"/>
      <c r="L215" s="1144"/>
      <c r="M215" s="1144"/>
      <c r="N215" s="1144">
        <v>4</v>
      </c>
      <c r="P215" s="140">
        <f t="shared" si="16"/>
        <v>4</v>
      </c>
    </row>
    <row r="216" spans="1:16" ht="22.5">
      <c r="A216" s="591" t="str">
        <f t="shared" si="12"/>
        <v>Nürnberger Pensionskasse AG v. 01.01.2022</v>
      </c>
      <c r="B216" s="591">
        <f>ROW()</f>
        <v>216</v>
      </c>
      <c r="C216" s="616" t="s">
        <v>925</v>
      </c>
      <c r="D216" s="1146">
        <v>44562</v>
      </c>
      <c r="E216" s="617" t="s">
        <v>926</v>
      </c>
      <c r="F216" s="618" t="str">
        <f t="shared" si="14"/>
        <v/>
      </c>
      <c r="G216" s="615" t="str">
        <f t="shared" si="13"/>
        <v>TO ermöglicht:  Verzinsung zwischen EzE und RK geltend machen</v>
      </c>
      <c r="H216" s="397"/>
      <c r="J216" s="760"/>
      <c r="K216" s="1144"/>
      <c r="L216" s="1144"/>
      <c r="M216" s="1144"/>
      <c r="N216" s="1144">
        <v>4</v>
      </c>
      <c r="P216" s="140">
        <f t="shared" si="16"/>
        <v>4</v>
      </c>
    </row>
    <row r="217" spans="1:16" ht="22.5">
      <c r="A217" s="591" t="str">
        <f t="shared" si="12"/>
        <v>Nürnberger Pensionskasse AG v. 01.05.2010</v>
      </c>
      <c r="B217" s="591">
        <f>ROW()</f>
        <v>217</v>
      </c>
      <c r="C217" s="616" t="s">
        <v>925</v>
      </c>
      <c r="D217" s="1146">
        <v>40299</v>
      </c>
      <c r="E217" s="617" t="s">
        <v>926</v>
      </c>
      <c r="F217" s="618" t="str">
        <f t="shared" si="14"/>
        <v>Ja</v>
      </c>
      <c r="G217" s="615" t="str">
        <f t="shared" si="13"/>
        <v>TO ermöglicht: Tarifwechel;  Verzinsung zwischen EzE und RK geltend machen</v>
      </c>
      <c r="H217" s="397"/>
      <c r="J217" s="760"/>
      <c r="K217" s="1144">
        <v>1</v>
      </c>
      <c r="L217" s="1144"/>
      <c r="M217" s="1144"/>
      <c r="N217" s="1144">
        <v>4</v>
      </c>
      <c r="P217" s="140">
        <f t="shared" si="16"/>
        <v>5</v>
      </c>
    </row>
    <row r="218" spans="1:16" ht="25.5">
      <c r="A218" s="591" t="str">
        <f t="shared" si="12"/>
        <v>Nürnberger überbetriebliche Versorgungskasse e.V. v. 01.01.2022</v>
      </c>
      <c r="B218" s="591">
        <f>ROW()</f>
        <v>218</v>
      </c>
      <c r="C218" s="616" t="s">
        <v>927</v>
      </c>
      <c r="D218" s="1146">
        <v>44562</v>
      </c>
      <c r="E218" s="617" t="s">
        <v>1202</v>
      </c>
      <c r="F218" s="618" t="str">
        <f t="shared" si="14"/>
        <v/>
      </c>
      <c r="G218" s="615" t="str">
        <f t="shared" si="13"/>
        <v>TO ermöglicht: doppelten Kostenabzug;  Verzinsung zwischen EzE und RK geltend machen</v>
      </c>
      <c r="H218" s="397"/>
      <c r="J218" s="760"/>
      <c r="K218" s="1144"/>
      <c r="L218" s="1144">
        <v>2</v>
      </c>
      <c r="M218" s="1144"/>
      <c r="N218" s="1144">
        <v>4</v>
      </c>
      <c r="P218" s="140">
        <f t="shared" si="16"/>
        <v>6</v>
      </c>
    </row>
    <row r="219" spans="1:16" ht="33.75">
      <c r="A219" s="591" t="str">
        <f t="shared" ref="A219:A289" si="18">C219&amp;IF(D219=0,""," v. "&amp;TEXT(D219,"TT.MM.JJJ"))</f>
        <v>Nürnberger überbetriebliche Versorgungskasse e.V. v. 06.12.2018</v>
      </c>
      <c r="B219" s="591">
        <f>ROW()</f>
        <v>219</v>
      </c>
      <c r="C219" s="616" t="s">
        <v>927</v>
      </c>
      <c r="D219" s="1146">
        <v>43440</v>
      </c>
      <c r="E219" s="617" t="s">
        <v>928</v>
      </c>
      <c r="F219" s="618" t="str">
        <f t="shared" si="14"/>
        <v>Ja</v>
      </c>
      <c r="G219" s="615" t="str">
        <f t="shared" ref="G219:G246" si="19">IF(SUM(K219:N219)=0,"","TO ermöglicht: "&amp;IF(K219&gt;0,"Tarifwechel; ","")&amp;IF(L219&gt;0,"doppelten Kostenabzug; ","")&amp;IF(M219&gt;0," Abweichungen vom gerichtl. festgelegten Ausgleichswert; ","")&amp;IF(N219&gt;0," Verzinsung zwischen EzE und RK geltend machen",""))</f>
        <v xml:space="preserve">TO ermöglicht: Tarifwechel; doppelten Kostenabzug;  Abweichungen vom gerichtl. festgelegten Ausgleichswert; </v>
      </c>
      <c r="H219" s="397"/>
      <c r="K219" s="1144">
        <v>1</v>
      </c>
      <c r="L219" s="1144">
        <v>2</v>
      </c>
      <c r="M219" s="1144">
        <v>3</v>
      </c>
      <c r="N219" s="1144"/>
      <c r="P219" s="140">
        <f t="shared" si="16"/>
        <v>6</v>
      </c>
    </row>
    <row r="220" spans="1:16" ht="25.5">
      <c r="A220" s="591" t="str">
        <f t="shared" si="18"/>
        <v>Nürnberger überbetriebliche Versorgungskasse e.V. v. 18.12.2009</v>
      </c>
      <c r="B220" s="591">
        <f>ROW()</f>
        <v>220</v>
      </c>
      <c r="C220" s="616" t="s">
        <v>927</v>
      </c>
      <c r="D220" s="1146">
        <v>40165</v>
      </c>
      <c r="E220" s="617" t="s">
        <v>926</v>
      </c>
      <c r="F220" s="618" t="str">
        <f t="shared" si="14"/>
        <v>Ja</v>
      </c>
      <c r="G220" s="615" t="str">
        <f t="shared" si="19"/>
        <v>TO ermöglicht: Tarifwechel;  Verzinsung zwischen EzE und RK geltend machen</v>
      </c>
      <c r="H220" s="397"/>
      <c r="J220" s="760"/>
      <c r="K220" s="1144">
        <v>1</v>
      </c>
      <c r="L220" s="1144"/>
      <c r="M220" s="1144"/>
      <c r="N220" s="1144">
        <v>4</v>
      </c>
      <c r="P220" s="140">
        <f t="shared" si="16"/>
        <v>5</v>
      </c>
    </row>
    <row r="221" spans="1:16" ht="45">
      <c r="A221" s="591" t="str">
        <f t="shared" si="18"/>
        <v>ÖBAV Unterstützungskasse e.V.  v. 01.05.2018</v>
      </c>
      <c r="B221" s="591">
        <f>ROW()</f>
        <v>221</v>
      </c>
      <c r="C221" s="616" t="s">
        <v>895</v>
      </c>
      <c r="D221" s="1146">
        <v>43221</v>
      </c>
      <c r="E221" s="617" t="s">
        <v>896</v>
      </c>
      <c r="F221" s="618" t="str">
        <f t="shared" ref="F221:F291" si="20">IF(K221=1,"Ja","")</f>
        <v>Ja</v>
      </c>
      <c r="G221" s="615" t="str">
        <f t="shared" si="19"/>
        <v>TO ermöglicht: Tarifwechel; doppelten Kostenabzug;  Abweichungen vom gerichtl. festgelegten Ausgleichswert;  Verzinsung zwischen EzE und RK geltend machen</v>
      </c>
      <c r="H221" s="397"/>
      <c r="J221" s="67"/>
      <c r="K221" s="1144">
        <v>1</v>
      </c>
      <c r="L221" s="1144">
        <v>2</v>
      </c>
      <c r="M221" s="1144">
        <v>3</v>
      </c>
      <c r="N221" s="1144">
        <v>4</v>
      </c>
      <c r="P221" s="140">
        <f t="shared" si="16"/>
        <v>10</v>
      </c>
    </row>
    <row r="222" spans="1:16" ht="45">
      <c r="A222" s="591" t="str">
        <f t="shared" si="18"/>
        <v>Opel Direktversicherung Hannoversche v. 01.01.2010</v>
      </c>
      <c r="B222" s="591">
        <f>ROW()</f>
        <v>222</v>
      </c>
      <c r="C222" s="616" t="s">
        <v>1129</v>
      </c>
      <c r="D222" s="1146">
        <v>40179</v>
      </c>
      <c r="E222" s="617" t="s">
        <v>1092</v>
      </c>
      <c r="F222" s="618" t="str">
        <f t="shared" si="20"/>
        <v/>
      </c>
      <c r="G222" s="615" t="str">
        <f t="shared" si="19"/>
        <v>TO ermöglicht:  Verzinsung zwischen EzE und RK geltend machen</v>
      </c>
      <c r="H222" s="397"/>
      <c r="I222" s="615" t="s">
        <v>1360</v>
      </c>
      <c r="J222" s="67"/>
      <c r="K222" s="1144"/>
      <c r="L222" s="1144"/>
      <c r="M222" s="1144"/>
      <c r="N222" s="1144">
        <v>4</v>
      </c>
      <c r="P222" s="140">
        <f t="shared" si="16"/>
        <v>4</v>
      </c>
    </row>
    <row r="223" spans="1:16">
      <c r="A223" s="591" t="str">
        <f t="shared" si="18"/>
        <v>Opel GmbH v. 16.08.2018</v>
      </c>
      <c r="B223" s="591">
        <f>ROW()</f>
        <v>223</v>
      </c>
      <c r="C223" s="616" t="s">
        <v>1547</v>
      </c>
      <c r="D223" s="1146">
        <v>43328</v>
      </c>
      <c r="E223" s="617" t="s">
        <v>653</v>
      </c>
      <c r="F223" s="618"/>
      <c r="G223" s="615" t="str">
        <f t="shared" si="19"/>
        <v xml:space="preserve">TO ermöglicht: doppelten Kostenabzug; </v>
      </c>
      <c r="H223" s="397"/>
      <c r="J223" s="67"/>
      <c r="K223" s="1144"/>
      <c r="L223" s="1144">
        <v>2</v>
      </c>
      <c r="M223" s="1144"/>
      <c r="N223" s="1144"/>
      <c r="P223" s="140"/>
    </row>
    <row r="224" spans="1:16">
      <c r="A224" s="591" t="str">
        <f t="shared" si="18"/>
        <v>Osram v. 30.04.2012</v>
      </c>
      <c r="B224" s="591">
        <f>ROW()</f>
        <v>224</v>
      </c>
      <c r="C224" s="616" t="s">
        <v>1893</v>
      </c>
      <c r="D224" s="1146">
        <v>41029</v>
      </c>
      <c r="E224" s="617" t="s">
        <v>1894</v>
      </c>
      <c r="F224" s="618"/>
      <c r="G224" s="615" t="str">
        <f t="shared" si="19"/>
        <v/>
      </c>
      <c r="H224" s="397"/>
      <c r="J224" s="67"/>
      <c r="K224" s="1144"/>
      <c r="L224" s="1144"/>
      <c r="M224" s="1144"/>
      <c r="N224" s="1144"/>
      <c r="P224" s="140"/>
    </row>
    <row r="225" spans="1:16" ht="22.5">
      <c r="A225" s="591" t="str">
        <f t="shared" si="18"/>
        <v>PB Lebensversicherung AG v. 01.01.2017</v>
      </c>
      <c r="B225" s="591">
        <f>ROW()</f>
        <v>225</v>
      </c>
      <c r="C225" s="616" t="s">
        <v>668</v>
      </c>
      <c r="D225" s="1146">
        <v>42736</v>
      </c>
      <c r="E225" s="617" t="s">
        <v>669</v>
      </c>
      <c r="F225" s="618" t="str">
        <f t="shared" si="20"/>
        <v>Ja</v>
      </c>
      <c r="G225" s="615" t="str">
        <f t="shared" si="19"/>
        <v>TO ermöglicht: Tarifwechel; doppelten Kostenabzug;  Verzinsung zwischen EzE und RK geltend machen</v>
      </c>
      <c r="H225" s="397"/>
      <c r="J225" s="67"/>
      <c r="K225" s="1144">
        <v>1</v>
      </c>
      <c r="L225" s="1144">
        <v>2</v>
      </c>
      <c r="M225" s="1144"/>
      <c r="N225" s="1144">
        <v>4</v>
      </c>
      <c r="O225" s="763" t="s">
        <v>670</v>
      </c>
      <c r="P225" s="140">
        <f t="shared" si="16"/>
        <v>7</v>
      </c>
    </row>
    <row r="226" spans="1:16" ht="22.5">
      <c r="A226" s="591" t="str">
        <f t="shared" si="18"/>
        <v>PB Lebensversicherung AG v. 01.03.2010</v>
      </c>
      <c r="B226" s="591">
        <f>ROW()</f>
        <v>226</v>
      </c>
      <c r="C226" s="616" t="s">
        <v>668</v>
      </c>
      <c r="D226" s="1146">
        <v>40238</v>
      </c>
      <c r="E226" s="617" t="s">
        <v>1093</v>
      </c>
      <c r="F226" s="618" t="str">
        <f t="shared" si="20"/>
        <v>Ja</v>
      </c>
      <c r="G226" s="615" t="str">
        <f t="shared" si="19"/>
        <v>TO ermöglicht: Tarifwechel; doppelten Kostenabzug;  Verzinsung zwischen EzE und RK geltend machen</v>
      </c>
      <c r="H226" s="397"/>
      <c r="K226" s="1144">
        <v>1</v>
      </c>
      <c r="L226" s="1144">
        <v>2</v>
      </c>
      <c r="M226" s="1144"/>
      <c r="N226" s="1144">
        <v>4</v>
      </c>
      <c r="O226" s="761"/>
      <c r="P226" s="140">
        <f t="shared" si="16"/>
        <v>7</v>
      </c>
    </row>
    <row r="227" spans="1:16" ht="22.5">
      <c r="A227" s="591" t="str">
        <f t="shared" si="18"/>
        <v>PB Lebensversicherung AG v. 01.10.2019</v>
      </c>
      <c r="B227" s="591">
        <f>ROW()</f>
        <v>227</v>
      </c>
      <c r="C227" s="616" t="s">
        <v>668</v>
      </c>
      <c r="D227" s="1146">
        <v>43739</v>
      </c>
      <c r="E227" s="617" t="s">
        <v>860</v>
      </c>
      <c r="F227" s="618" t="str">
        <f t="shared" si="20"/>
        <v>Ja</v>
      </c>
      <c r="G227" s="615" t="str">
        <f t="shared" si="19"/>
        <v>TO ermöglicht: Tarifwechel; doppelten Kostenabzug;  Verzinsung zwischen EzE und RK geltend machen</v>
      </c>
      <c r="H227" s="397"/>
      <c r="J227" s="760"/>
      <c r="K227" s="1144">
        <v>1</v>
      </c>
      <c r="L227" s="1144">
        <v>2</v>
      </c>
      <c r="M227" s="1144"/>
      <c r="N227" s="1144">
        <v>4</v>
      </c>
      <c r="O227" s="761" t="s">
        <v>861</v>
      </c>
      <c r="P227" s="140">
        <f t="shared" si="16"/>
        <v>7</v>
      </c>
    </row>
    <row r="228" spans="1:16" ht="25.5">
      <c r="A228" s="591" t="str">
        <f t="shared" si="18"/>
        <v>PB Lebensversicherung v. 01.03.2010</v>
      </c>
      <c r="B228" s="591">
        <f>ROW()</f>
        <v>228</v>
      </c>
      <c r="C228" s="616" t="s">
        <v>1115</v>
      </c>
      <c r="D228" s="1146">
        <v>40238</v>
      </c>
      <c r="E228" s="617" t="s">
        <v>741</v>
      </c>
      <c r="F228" s="618" t="str">
        <f t="shared" si="20"/>
        <v>Ja</v>
      </c>
      <c r="G228" s="615" t="str">
        <f t="shared" si="19"/>
        <v>TO ermöglicht: Tarifwechel; doppelten Kostenabzug;  Verzinsung zwischen EzE und RK geltend machen</v>
      </c>
      <c r="H228" s="397"/>
      <c r="J228" s="760"/>
      <c r="K228" s="1144">
        <v>1</v>
      </c>
      <c r="L228" s="1144">
        <v>2</v>
      </c>
      <c r="M228" s="1144"/>
      <c r="N228" s="1144">
        <v>4</v>
      </c>
      <c r="O228" s="761" t="s">
        <v>678</v>
      </c>
      <c r="P228" s="140">
        <f t="shared" si="16"/>
        <v>7</v>
      </c>
    </row>
    <row r="229" spans="1:16" ht="22.5">
      <c r="A229" s="591" t="str">
        <f t="shared" si="18"/>
        <v>PB Pensionsfonds AG v. 01.01.2010</v>
      </c>
      <c r="B229" s="591">
        <f>ROW()</f>
        <v>229</v>
      </c>
      <c r="C229" s="616" t="s">
        <v>1094</v>
      </c>
      <c r="D229" s="1146">
        <v>40179</v>
      </c>
      <c r="E229" s="617" t="s">
        <v>1095</v>
      </c>
      <c r="F229" s="618" t="str">
        <f t="shared" si="20"/>
        <v>Ja</v>
      </c>
      <c r="G229" s="615" t="str">
        <f t="shared" si="19"/>
        <v>TO ermöglicht: Tarifwechel; doppelten Kostenabzug;  Verzinsung zwischen EzE und RK geltend machen</v>
      </c>
      <c r="H229" s="397"/>
      <c r="J229" s="760"/>
      <c r="K229" s="1144">
        <v>1</v>
      </c>
      <c r="L229" s="1144">
        <v>2</v>
      </c>
      <c r="M229" s="1144"/>
      <c r="N229" s="1144">
        <v>4</v>
      </c>
      <c r="O229" s="761"/>
      <c r="P229" s="140">
        <f t="shared" si="16"/>
        <v>7</v>
      </c>
    </row>
    <row r="230" spans="1:16" ht="22.5">
      <c r="A230" s="591" t="str">
        <f t="shared" si="18"/>
        <v>PB Pensionsfonds v. 01.04.2015</v>
      </c>
      <c r="B230" s="591">
        <f>ROW()</f>
        <v>230</v>
      </c>
      <c r="C230" s="616" t="s">
        <v>701</v>
      </c>
      <c r="D230" s="1146">
        <v>42095</v>
      </c>
      <c r="E230" s="617" t="s">
        <v>702</v>
      </c>
      <c r="F230" s="618" t="str">
        <f t="shared" si="20"/>
        <v>Ja</v>
      </c>
      <c r="G230" s="615" t="str">
        <f t="shared" si="19"/>
        <v>TO ermöglicht: Tarifwechel; doppelten Kostenabzug;  Verzinsung zwischen EzE und RK geltend machen</v>
      </c>
      <c r="H230" s="397"/>
      <c r="K230" s="1144">
        <v>1</v>
      </c>
      <c r="L230" s="1144">
        <v>2</v>
      </c>
      <c r="M230" s="1144"/>
      <c r="N230" s="1144">
        <v>4</v>
      </c>
      <c r="O230" s="763" t="s">
        <v>703</v>
      </c>
      <c r="P230" s="140">
        <f t="shared" si="16"/>
        <v>7</v>
      </c>
    </row>
    <row r="231" spans="1:16" ht="45">
      <c r="A231" s="591" t="str">
        <f t="shared" si="18"/>
        <v>Pensionskasse der Deutschen Wirtschaft v. 29.09.2016</v>
      </c>
      <c r="B231" s="591">
        <f>ROW()</f>
        <v>231</v>
      </c>
      <c r="C231" s="616" t="s">
        <v>1354</v>
      </c>
      <c r="D231" s="1146">
        <v>42642</v>
      </c>
      <c r="E231" s="617" t="s">
        <v>1321</v>
      </c>
      <c r="F231" s="618" t="str">
        <f t="shared" si="20"/>
        <v/>
      </c>
      <c r="G231" s="615" t="str">
        <f t="shared" si="19"/>
        <v>TO ermöglicht:  Verzinsung zwischen EzE und RK geltend machen</v>
      </c>
      <c r="H231" s="397"/>
      <c r="I231" s="615" t="s">
        <v>1355</v>
      </c>
      <c r="K231" s="1144"/>
      <c r="L231" s="1144"/>
      <c r="M231" s="1144"/>
      <c r="N231" s="1144">
        <v>4</v>
      </c>
      <c r="P231" s="140">
        <f t="shared" si="16"/>
        <v>4</v>
      </c>
    </row>
    <row r="232" spans="1:16" ht="25.5">
      <c r="A232" s="591" t="str">
        <f t="shared" si="18"/>
        <v>Pensionskasse des Schornsteinfegerhandwerks</v>
      </c>
      <c r="B232" s="591">
        <f>ROW()</f>
        <v>232</v>
      </c>
      <c r="C232" s="616" t="s">
        <v>680</v>
      </c>
      <c r="E232" s="617" t="s">
        <v>683</v>
      </c>
      <c r="F232" s="618" t="str">
        <f t="shared" si="20"/>
        <v/>
      </c>
      <c r="G232" s="615" t="str">
        <f t="shared" si="19"/>
        <v/>
      </c>
      <c r="H232" s="397"/>
      <c r="J232" s="760"/>
      <c r="K232" s="1144"/>
      <c r="L232" s="1144"/>
      <c r="M232" s="1144"/>
      <c r="N232" s="1144"/>
      <c r="O232" s="763" t="s">
        <v>681</v>
      </c>
      <c r="P232" s="140">
        <f t="shared" si="16"/>
        <v>0</v>
      </c>
    </row>
    <row r="233" spans="1:16" ht="25.5">
      <c r="A233" s="591" t="str">
        <f t="shared" si="18"/>
        <v>PensionsSicherungsVerein PSV v. 03.05.2017</v>
      </c>
      <c r="B233" s="591">
        <f>ROW()</f>
        <v>233</v>
      </c>
      <c r="C233" s="616" t="s">
        <v>742</v>
      </c>
      <c r="D233" s="1146">
        <v>42858</v>
      </c>
      <c r="E233" s="617" t="s">
        <v>743</v>
      </c>
      <c r="F233" s="618" t="str">
        <f t="shared" si="20"/>
        <v/>
      </c>
      <c r="G233" s="615" t="str">
        <f t="shared" si="19"/>
        <v/>
      </c>
      <c r="H233" s="397"/>
      <c r="K233" s="1144"/>
      <c r="L233" s="1144"/>
      <c r="M233" s="1144"/>
      <c r="N233" s="1144"/>
      <c r="O233" s="761" t="s">
        <v>744</v>
      </c>
      <c r="P233" s="140">
        <f t="shared" si="16"/>
        <v>0</v>
      </c>
    </row>
    <row r="234" spans="1:16" ht="33.75">
      <c r="A234" s="591" t="str">
        <f t="shared" si="18"/>
        <v>Philip Morris GmbH v. 30.10.1919</v>
      </c>
      <c r="B234" s="591">
        <f>ROW()</f>
        <v>234</v>
      </c>
      <c r="C234" s="616" t="s">
        <v>1308</v>
      </c>
      <c r="D234" s="1146">
        <v>7243</v>
      </c>
      <c r="E234" s="635">
        <v>44962</v>
      </c>
      <c r="F234" s="618" t="str">
        <f t="shared" si="20"/>
        <v/>
      </c>
      <c r="G234" s="615" t="str">
        <f t="shared" si="19"/>
        <v xml:space="preserve">TO ermöglicht: doppelten Kostenabzug; </v>
      </c>
      <c r="H234" s="397"/>
      <c r="I234" s="615" t="s">
        <v>1309</v>
      </c>
      <c r="K234" s="1144"/>
      <c r="L234" s="1144">
        <v>2</v>
      </c>
      <c r="M234" s="1144"/>
      <c r="N234" s="1144"/>
      <c r="P234" s="140">
        <f t="shared" si="16"/>
        <v>2</v>
      </c>
    </row>
    <row r="235" spans="1:16" ht="22.5">
      <c r="A235" s="591" t="str">
        <f t="shared" si="18"/>
        <v>Presse-Versorgung (Allianz) v. 01.12.2012</v>
      </c>
      <c r="B235" s="591">
        <f>ROW()</f>
        <v>235</v>
      </c>
      <c r="C235" s="616" t="s">
        <v>734</v>
      </c>
      <c r="D235" s="1146">
        <v>41244</v>
      </c>
      <c r="E235" s="617" t="s">
        <v>1096</v>
      </c>
      <c r="F235" s="618" t="str">
        <f t="shared" si="20"/>
        <v>Ja</v>
      </c>
      <c r="G235" s="615" t="str">
        <f t="shared" si="19"/>
        <v>TO ermöglicht: Tarifwechel; doppelten Kostenabzug;  Verzinsung zwischen EzE und RK geltend machen</v>
      </c>
      <c r="H235" s="397"/>
      <c r="K235" s="1144">
        <v>1</v>
      </c>
      <c r="L235" s="1144">
        <v>2</v>
      </c>
      <c r="M235" s="1144"/>
      <c r="N235" s="1144">
        <v>4</v>
      </c>
      <c r="O235" s="765" t="s">
        <v>735</v>
      </c>
      <c r="P235" s="140">
        <f t="shared" si="16"/>
        <v>7</v>
      </c>
    </row>
    <row r="236" spans="1:16" ht="33.75">
      <c r="A236" s="591" t="str">
        <f t="shared" si="18"/>
        <v>Pro bAV Pensionskasse AG v. 27.08.2018</v>
      </c>
      <c r="B236" s="591">
        <f>ROW()</f>
        <v>236</v>
      </c>
      <c r="C236" s="616" t="s">
        <v>1130</v>
      </c>
      <c r="D236" s="1146">
        <v>43339</v>
      </c>
      <c r="E236" s="617" t="s">
        <v>1131</v>
      </c>
      <c r="F236" s="618" t="str">
        <f t="shared" si="20"/>
        <v>Ja</v>
      </c>
      <c r="G236" s="615" t="str">
        <f t="shared" si="19"/>
        <v xml:space="preserve">TO ermöglicht: Tarifwechel; doppelten Kostenabzug;  Abweichungen vom gerichtl. festgelegten Ausgleichswert; </v>
      </c>
      <c r="H236" s="397"/>
      <c r="K236" s="1144">
        <v>1</v>
      </c>
      <c r="L236" s="1144">
        <v>2</v>
      </c>
      <c r="M236" s="1144">
        <v>3</v>
      </c>
      <c r="N236" s="1144"/>
      <c r="O236" s="761"/>
      <c r="P236" s="140">
        <f t="shared" si="16"/>
        <v>6</v>
      </c>
    </row>
    <row r="237" spans="1:16">
      <c r="A237" s="591" t="str">
        <f t="shared" si="18"/>
        <v>probAV v. 06.08.2018</v>
      </c>
      <c r="B237" s="591">
        <f>ROW()</f>
        <v>237</v>
      </c>
      <c r="C237" s="616" t="s">
        <v>876</v>
      </c>
      <c r="D237" s="1146">
        <v>43318</v>
      </c>
      <c r="E237" s="617" t="s">
        <v>669</v>
      </c>
      <c r="F237" s="618" t="str">
        <f t="shared" si="20"/>
        <v>Ja</v>
      </c>
      <c r="G237" s="615" t="str">
        <f t="shared" si="19"/>
        <v xml:space="preserve">TO ermöglicht: Tarifwechel; </v>
      </c>
      <c r="H237" s="397"/>
      <c r="K237" s="1144">
        <v>1</v>
      </c>
      <c r="L237" s="1144"/>
      <c r="M237" s="1144"/>
      <c r="N237" s="1144"/>
      <c r="O237" s="761" t="s">
        <v>880</v>
      </c>
      <c r="P237" s="140">
        <f t="shared" si="16"/>
        <v>1</v>
      </c>
    </row>
    <row r="238" spans="1:16" ht="25.5">
      <c r="A238" s="591" t="str">
        <f t="shared" si="18"/>
        <v>Provinzial Düsseldorf v. 20.04.2021</v>
      </c>
      <c r="B238" s="591">
        <f>ROW()</f>
        <v>238</v>
      </c>
      <c r="C238" s="616" t="s">
        <v>831</v>
      </c>
      <c r="D238" s="1146">
        <v>44306</v>
      </c>
      <c r="E238" s="617" t="s">
        <v>832</v>
      </c>
      <c r="F238" s="618" t="str">
        <f t="shared" si="20"/>
        <v>Ja</v>
      </c>
      <c r="G238" s="615" t="str">
        <f t="shared" si="19"/>
        <v>TO ermöglicht: Tarifwechel; doppelten Kostenabzug;  Verzinsung zwischen EzE und RK geltend machen</v>
      </c>
      <c r="H238" s="397"/>
      <c r="K238" s="1144">
        <v>1</v>
      </c>
      <c r="L238" s="1144">
        <v>2</v>
      </c>
      <c r="M238" s="1144"/>
      <c r="N238" s="1144">
        <v>4</v>
      </c>
      <c r="O238" s="761" t="s">
        <v>833</v>
      </c>
      <c r="P238" s="140">
        <f t="shared" si="16"/>
        <v>7</v>
      </c>
    </row>
    <row r="239" spans="1:16" ht="22.5">
      <c r="A239" s="591" t="str">
        <f t="shared" si="18"/>
        <v>Provinzial Lebensversicherungen v. 03.05.2010</v>
      </c>
      <c r="B239" s="591">
        <f>ROW()</f>
        <v>239</v>
      </c>
      <c r="C239" s="616" t="s">
        <v>1361</v>
      </c>
      <c r="D239" s="1146">
        <v>40301</v>
      </c>
      <c r="E239" s="617" t="s">
        <v>1362</v>
      </c>
      <c r="F239" s="618" t="str">
        <f t="shared" si="20"/>
        <v>Ja</v>
      </c>
      <c r="G239" s="615" t="str">
        <f t="shared" si="19"/>
        <v>TO ermöglicht: Tarifwechel; doppelten Kostenabzug;  Verzinsung zwischen EzE und RK geltend machen</v>
      </c>
      <c r="H239" s="397"/>
      <c r="K239" s="1144">
        <v>1</v>
      </c>
      <c r="L239" s="1144">
        <v>2</v>
      </c>
      <c r="M239" s="1144"/>
      <c r="N239" s="1144">
        <v>4</v>
      </c>
      <c r="O239" s="761"/>
      <c r="P239" s="140">
        <f t="shared" si="16"/>
        <v>7</v>
      </c>
    </row>
    <row r="240" spans="1:16" ht="25.5">
      <c r="A240" s="591" t="str">
        <f t="shared" si="18"/>
        <v>Provinzial LV Hannover v. 01.05.2016</v>
      </c>
      <c r="B240" s="591">
        <f>ROW()</f>
        <v>240</v>
      </c>
      <c r="C240" s="616" t="s">
        <v>745</v>
      </c>
      <c r="D240" s="1146">
        <v>42491</v>
      </c>
      <c r="E240" s="617" t="s">
        <v>746</v>
      </c>
      <c r="F240" s="618" t="str">
        <f t="shared" si="20"/>
        <v>Ja</v>
      </c>
      <c r="G240" s="615" t="str">
        <f t="shared" si="19"/>
        <v>TO ermöglicht: Tarifwechel; doppelten Kostenabzug;  Verzinsung zwischen EzE und RK geltend machen</v>
      </c>
      <c r="H240" s="397"/>
      <c r="K240" s="1144">
        <v>1</v>
      </c>
      <c r="L240" s="1144">
        <v>2</v>
      </c>
      <c r="M240" s="1144"/>
      <c r="N240" s="1144">
        <v>4</v>
      </c>
      <c r="O240" s="761" t="s">
        <v>747</v>
      </c>
      <c r="P240" s="140">
        <f t="shared" si="16"/>
        <v>7</v>
      </c>
    </row>
    <row r="241" spans="1:16" ht="25.5">
      <c r="A241" s="591" t="str">
        <f t="shared" si="18"/>
        <v>Provinzial LV v. 01.01.2017</v>
      </c>
      <c r="B241" s="591">
        <f>ROW()</f>
        <v>241</v>
      </c>
      <c r="C241" s="616" t="s">
        <v>1097</v>
      </c>
      <c r="D241" s="1146">
        <v>42736</v>
      </c>
      <c r="E241" s="617" t="s">
        <v>667</v>
      </c>
      <c r="F241" s="618" t="str">
        <f t="shared" si="20"/>
        <v>Ja</v>
      </c>
      <c r="G241" s="615" t="str">
        <f t="shared" si="19"/>
        <v>TO ermöglicht: Tarifwechel; doppelten Kostenabzug;  Verzinsung zwischen EzE und RK geltend machen</v>
      </c>
      <c r="H241" s="397"/>
      <c r="J241" s="764" t="s">
        <v>753</v>
      </c>
      <c r="K241" s="1144">
        <v>1</v>
      </c>
      <c r="L241" s="1144">
        <v>2</v>
      </c>
      <c r="M241" s="1144"/>
      <c r="N241" s="1144">
        <v>4</v>
      </c>
      <c r="P241" s="140">
        <f t="shared" ref="P241:P264" si="21">SUM(K241:N241)</f>
        <v>7</v>
      </c>
    </row>
    <row r="242" spans="1:16" ht="22.5">
      <c r="A242" s="591" t="str">
        <f t="shared" si="18"/>
        <v>Provinzial NordWest LV v. 01.01.2017</v>
      </c>
      <c r="B242" s="591">
        <f>ROW()</f>
        <v>242</v>
      </c>
      <c r="C242" s="616" t="s">
        <v>1132</v>
      </c>
      <c r="D242" s="1146">
        <v>42736</v>
      </c>
      <c r="E242" s="617" t="s">
        <v>1116</v>
      </c>
      <c r="F242" s="618" t="str">
        <f t="shared" si="20"/>
        <v>Ja</v>
      </c>
      <c r="G242" s="615" t="str">
        <f t="shared" si="19"/>
        <v>TO ermöglicht: Tarifwechel; doppelten Kostenabzug;  Verzinsung zwischen EzE und RK geltend machen</v>
      </c>
      <c r="H242" s="397"/>
      <c r="K242" s="1144">
        <v>1</v>
      </c>
      <c r="L242" s="1144">
        <v>2</v>
      </c>
      <c r="M242" s="1144"/>
      <c r="N242" s="1144">
        <v>4</v>
      </c>
      <c r="P242" s="140">
        <f t="shared" si="21"/>
        <v>7</v>
      </c>
    </row>
    <row r="243" spans="1:16" ht="45">
      <c r="A243" s="591" t="str">
        <f t="shared" si="18"/>
        <v>Provinzial v. 01.01.2022</v>
      </c>
      <c r="B243" s="591">
        <f>ROW()</f>
        <v>243</v>
      </c>
      <c r="C243" s="616" t="s">
        <v>1330</v>
      </c>
      <c r="D243" s="1146">
        <v>44562</v>
      </c>
      <c r="E243" s="617" t="s">
        <v>1098</v>
      </c>
      <c r="F243" s="618" t="str">
        <f t="shared" si="20"/>
        <v>Ja</v>
      </c>
      <c r="G243" s="615" t="str">
        <f t="shared" si="19"/>
        <v>TO ermöglicht: Tarifwechel; doppelten Kostenabzug;  Verzinsung zwischen EzE und RK geltend machen</v>
      </c>
      <c r="H243" s="397"/>
      <c r="I243" s="615" t="s">
        <v>1329</v>
      </c>
      <c r="J243" s="760"/>
      <c r="K243" s="1144">
        <v>1</v>
      </c>
      <c r="L243" s="1144">
        <v>2</v>
      </c>
      <c r="M243" s="1144"/>
      <c r="N243" s="1144">
        <v>4</v>
      </c>
      <c r="O243" s="763" t="s">
        <v>666</v>
      </c>
      <c r="P243" s="140">
        <f t="shared" si="21"/>
        <v>7</v>
      </c>
    </row>
    <row r="244" spans="1:16" ht="22.5">
      <c r="A244" s="591" t="str">
        <f t="shared" si="18"/>
        <v>Proxalto Lebensversicherung v. 01.07.2022</v>
      </c>
      <c r="B244" s="591">
        <f>ROW()</f>
        <v>244</v>
      </c>
      <c r="C244" s="616" t="s">
        <v>874</v>
      </c>
      <c r="D244" s="1146">
        <v>44743</v>
      </c>
      <c r="E244" s="617" t="s">
        <v>1022</v>
      </c>
      <c r="F244" s="618" t="str">
        <f t="shared" si="20"/>
        <v>Ja</v>
      </c>
      <c r="G244" s="615" t="str">
        <f t="shared" si="19"/>
        <v>TO ermöglicht: Tarifwechel; doppelten Kostenabzug;  Verzinsung zwischen EzE und RK geltend machen</v>
      </c>
      <c r="H244" s="397"/>
      <c r="J244" s="760"/>
      <c r="K244" s="1144">
        <v>1</v>
      </c>
      <c r="L244" s="1144">
        <v>2</v>
      </c>
      <c r="M244" s="1144"/>
      <c r="N244" s="1144">
        <v>4</v>
      </c>
      <c r="P244" s="140">
        <f t="shared" si="21"/>
        <v>7</v>
      </c>
    </row>
    <row r="245" spans="1:16" ht="22.5">
      <c r="A245" s="591" t="str">
        <f t="shared" si="18"/>
        <v>Proxalto Lebensversicherung v. 05.04.2019</v>
      </c>
      <c r="B245" s="591">
        <f>ROW()</f>
        <v>245</v>
      </c>
      <c r="C245" s="616" t="s">
        <v>874</v>
      </c>
      <c r="D245" s="1146">
        <v>43560</v>
      </c>
      <c r="E245" s="617" t="s">
        <v>875</v>
      </c>
      <c r="F245" s="618" t="str">
        <f t="shared" si="20"/>
        <v>Ja</v>
      </c>
      <c r="G245" s="615" t="str">
        <f t="shared" si="19"/>
        <v>TO ermöglicht: Tarifwechel; doppelten Kostenabzug;  Verzinsung zwischen EzE und RK geltend machen</v>
      </c>
      <c r="H245" s="397"/>
      <c r="K245" s="1144">
        <v>1</v>
      </c>
      <c r="L245" s="1144">
        <v>2</v>
      </c>
      <c r="M245" s="1144"/>
      <c r="N245" s="1144">
        <v>4</v>
      </c>
      <c r="P245" s="140">
        <f t="shared" si="21"/>
        <v>7</v>
      </c>
    </row>
    <row r="246" spans="1:16" ht="25.5">
      <c r="A246" s="591" t="str">
        <f t="shared" si="18"/>
        <v>PSVAG (Pensions Sicherungs Verein) v. 03.05.2017</v>
      </c>
      <c r="B246" s="591">
        <f>ROW()</f>
        <v>246</v>
      </c>
      <c r="C246" s="616" t="s">
        <v>893</v>
      </c>
      <c r="D246" s="1146">
        <v>42858</v>
      </c>
      <c r="E246" s="821" t="s">
        <v>894</v>
      </c>
      <c r="F246" s="618" t="str">
        <f t="shared" si="20"/>
        <v/>
      </c>
      <c r="G246" s="615" t="str">
        <f t="shared" si="19"/>
        <v xml:space="preserve">TO ermöglicht: doppelten Kostenabzug; </v>
      </c>
      <c r="H246" s="397"/>
      <c r="K246" s="1144"/>
      <c r="L246" s="1144">
        <v>2</v>
      </c>
      <c r="M246" s="1144"/>
      <c r="N246" s="1144"/>
      <c r="O246" s="761" t="s">
        <v>744</v>
      </c>
      <c r="P246" s="140">
        <f t="shared" si="21"/>
        <v>2</v>
      </c>
    </row>
    <row r="247" spans="1:16">
      <c r="A247" s="591" t="str">
        <f t="shared" si="18"/>
        <v>R+V ebensversicherung AG</v>
      </c>
      <c r="B247" s="591">
        <f>ROW()</f>
        <v>247</v>
      </c>
      <c r="C247" s="616" t="s">
        <v>650</v>
      </c>
      <c r="F247" s="618" t="str">
        <f t="shared" si="20"/>
        <v/>
      </c>
      <c r="H247" s="397"/>
      <c r="K247" s="1144"/>
      <c r="L247" s="1144"/>
      <c r="M247" s="1144"/>
      <c r="N247" s="1144"/>
      <c r="O247" s="763"/>
      <c r="P247" s="140">
        <f t="shared" si="21"/>
        <v>0</v>
      </c>
    </row>
    <row r="248" spans="1:16" ht="25.5">
      <c r="A248" s="591" t="str">
        <f t="shared" si="18"/>
        <v>R+V ebensversicherung AG v. 01.03.2020</v>
      </c>
      <c r="B248" s="591">
        <f>ROW()</f>
        <v>248</v>
      </c>
      <c r="C248" s="616" t="s">
        <v>650</v>
      </c>
      <c r="D248" s="1146">
        <v>43891</v>
      </c>
      <c r="E248" s="617" t="s">
        <v>651</v>
      </c>
      <c r="F248" s="618" t="str">
        <f t="shared" si="20"/>
        <v/>
      </c>
      <c r="G248" s="615" t="str">
        <f t="shared" ref="G248:G284" si="22">IF(SUM(K248:N248)=0,"","TO ermöglicht: "&amp;IF(K248&gt;0,"Tarifwechel; ","")&amp;IF(L248&gt;0,"doppelten Kostenabzug; ","")&amp;IF(M248&gt;0," Abweichungen vom gerichtl. festgelegten Ausgleichswert; ","")&amp;IF(N248&gt;0," Verzinsung zwischen EzE und RK geltend machen",""))</f>
        <v xml:space="preserve">TO ermöglicht: doppelten Kostenabzug; </v>
      </c>
      <c r="H248" s="397"/>
      <c r="I248" s="615" t="s">
        <v>1223</v>
      </c>
      <c r="K248" s="1144"/>
      <c r="L248" s="1144">
        <v>2</v>
      </c>
      <c r="M248" s="1144"/>
      <c r="N248" s="1144"/>
      <c r="O248" s="763" t="s">
        <v>657</v>
      </c>
      <c r="P248" s="140">
        <f t="shared" si="21"/>
        <v>2</v>
      </c>
    </row>
    <row r="249" spans="1:16">
      <c r="A249" s="591" t="str">
        <f t="shared" si="18"/>
        <v>Radio Bremen Tarifvertrag v. 03.12.2009</v>
      </c>
      <c r="B249" s="591">
        <f>ROW()</f>
        <v>249</v>
      </c>
      <c r="C249" s="616" t="s">
        <v>940</v>
      </c>
      <c r="D249" s="1146">
        <v>40150</v>
      </c>
      <c r="F249" s="618" t="str">
        <f t="shared" si="20"/>
        <v/>
      </c>
      <c r="G249" s="615" t="str">
        <f t="shared" si="22"/>
        <v xml:space="preserve">TO ermöglicht: doppelten Kostenabzug; </v>
      </c>
      <c r="H249" s="397"/>
      <c r="K249" s="1144"/>
      <c r="L249" s="1144">
        <v>2</v>
      </c>
      <c r="M249" s="1144"/>
      <c r="N249" s="1144"/>
      <c r="P249" s="140">
        <f t="shared" si="21"/>
        <v>2</v>
      </c>
    </row>
    <row r="250" spans="1:16" ht="25.5">
      <c r="A250" s="591" t="str">
        <f t="shared" si="18"/>
        <v>Real Unterstützungskasse v. 01.01.2018</v>
      </c>
      <c r="B250" s="591">
        <f>ROW()</f>
        <v>250</v>
      </c>
      <c r="C250" s="616" t="s">
        <v>787</v>
      </c>
      <c r="D250" s="1146">
        <v>43101</v>
      </c>
      <c r="E250" s="617" t="s">
        <v>769</v>
      </c>
      <c r="F250" s="618" t="str">
        <f t="shared" si="20"/>
        <v/>
      </c>
      <c r="G250" s="615" t="str">
        <f t="shared" si="22"/>
        <v xml:space="preserve">TO ermöglicht: doppelten Kostenabzug; </v>
      </c>
      <c r="H250" s="397"/>
      <c r="K250" s="1144"/>
      <c r="L250" s="1144">
        <v>2</v>
      </c>
      <c r="M250" s="1144"/>
      <c r="N250" s="1144"/>
      <c r="O250" s="761" t="s">
        <v>805</v>
      </c>
      <c r="P250" s="140">
        <f t="shared" si="21"/>
        <v>2</v>
      </c>
    </row>
    <row r="251" spans="1:16" ht="25.5">
      <c r="A251" s="591" t="str">
        <f t="shared" si="18"/>
        <v>real_Group_Holding_GmbH v. 01.07.2012</v>
      </c>
      <c r="B251" s="591">
        <f>ROW()</f>
        <v>251</v>
      </c>
      <c r="C251" s="616" t="s">
        <v>765</v>
      </c>
      <c r="D251" s="1146">
        <v>41091</v>
      </c>
      <c r="E251" s="617" t="s">
        <v>766</v>
      </c>
      <c r="F251" s="618" t="str">
        <f t="shared" si="20"/>
        <v/>
      </c>
      <c r="G251" s="615" t="str">
        <f t="shared" si="22"/>
        <v xml:space="preserve">TO ermöglicht: doppelten Kostenabzug; </v>
      </c>
      <c r="H251" s="397"/>
      <c r="J251" s="760"/>
      <c r="K251" s="1144"/>
      <c r="L251" s="1144">
        <v>2</v>
      </c>
      <c r="M251" s="1144"/>
      <c r="N251" s="1144"/>
      <c r="O251" s="761" t="s">
        <v>805</v>
      </c>
      <c r="P251" s="140">
        <f t="shared" si="21"/>
        <v>2</v>
      </c>
    </row>
    <row r="252" spans="1:16" ht="25.5">
      <c r="A252" s="591" t="str">
        <f t="shared" si="18"/>
        <v>real_SB_Warenhaus_GmbH v. 01.07.2012</v>
      </c>
      <c r="B252" s="591">
        <f>ROW()</f>
        <v>252</v>
      </c>
      <c r="C252" s="616" t="s">
        <v>770</v>
      </c>
      <c r="D252" s="1146">
        <v>41091</v>
      </c>
      <c r="E252" s="617" t="s">
        <v>769</v>
      </c>
      <c r="F252" s="618" t="str">
        <f t="shared" si="20"/>
        <v/>
      </c>
      <c r="G252" s="615" t="str">
        <f t="shared" si="22"/>
        <v/>
      </c>
      <c r="H252" s="397"/>
      <c r="K252" s="1144"/>
      <c r="L252" s="1144"/>
      <c r="M252" s="1144"/>
      <c r="N252" s="1144"/>
      <c r="O252" s="761" t="s">
        <v>805</v>
      </c>
      <c r="P252" s="140">
        <f t="shared" si="21"/>
        <v>0</v>
      </c>
    </row>
    <row r="253" spans="1:16" ht="25.5">
      <c r="A253" s="591" t="str">
        <f t="shared" si="18"/>
        <v>REWE Unterstützungskasse e.V. v. 01.01.2018</v>
      </c>
      <c r="B253" s="591">
        <f>ROW()</f>
        <v>253</v>
      </c>
      <c r="C253" s="616" t="s">
        <v>780</v>
      </c>
      <c r="D253" s="1146">
        <v>43101</v>
      </c>
      <c r="E253" s="617" t="s">
        <v>769</v>
      </c>
      <c r="F253" s="618" t="str">
        <f t="shared" si="20"/>
        <v/>
      </c>
      <c r="G253" s="615" t="str">
        <f t="shared" si="22"/>
        <v xml:space="preserve">TO ermöglicht: doppelten Kostenabzug; </v>
      </c>
      <c r="H253" s="397"/>
      <c r="J253" s="760" t="s">
        <v>662</v>
      </c>
      <c r="K253" s="1144"/>
      <c r="L253" s="1144">
        <v>2</v>
      </c>
      <c r="M253" s="1144"/>
      <c r="N253" s="1144"/>
      <c r="O253" s="761" t="s">
        <v>805</v>
      </c>
      <c r="P253" s="140">
        <f t="shared" si="21"/>
        <v>2</v>
      </c>
    </row>
    <row r="254" spans="1:16" ht="25.5">
      <c r="A254" s="591" t="str">
        <f t="shared" si="18"/>
        <v>REWE Unterstützungskasse e.V. v. 01.01.2018</v>
      </c>
      <c r="B254" s="591">
        <f>ROW()</f>
        <v>254</v>
      </c>
      <c r="C254" s="616" t="s">
        <v>780</v>
      </c>
      <c r="D254" s="1146">
        <v>43101</v>
      </c>
      <c r="E254" s="617" t="s">
        <v>769</v>
      </c>
      <c r="F254" s="618" t="str">
        <f t="shared" si="20"/>
        <v/>
      </c>
      <c r="G254" s="615" t="str">
        <f t="shared" si="22"/>
        <v/>
      </c>
      <c r="H254" s="397"/>
      <c r="K254" s="1144"/>
      <c r="L254" s="1144"/>
      <c r="M254" s="1144"/>
      <c r="N254" s="1144"/>
      <c r="O254" s="761" t="s">
        <v>805</v>
      </c>
      <c r="P254" s="140">
        <f t="shared" si="21"/>
        <v>0</v>
      </c>
    </row>
    <row r="255" spans="1:16" ht="25.5">
      <c r="A255" s="591" t="str">
        <f t="shared" si="18"/>
        <v>Rheinmetall KBV TO Rheinmetall Plus 1.0 v. 21.11.2022</v>
      </c>
      <c r="B255" s="591">
        <f>ROW()</f>
        <v>255</v>
      </c>
      <c r="C255" s="591" t="s">
        <v>1890</v>
      </c>
      <c r="D255" s="1146">
        <v>44886</v>
      </c>
      <c r="E255" s="617" t="s">
        <v>1891</v>
      </c>
      <c r="F255" s="618"/>
      <c r="H255" s="397"/>
      <c r="K255" s="1144"/>
      <c r="L255" s="1144"/>
      <c r="M255" s="1144"/>
      <c r="N255" s="1144"/>
      <c r="O255" s="761"/>
      <c r="P255" s="140"/>
    </row>
    <row r="256" spans="1:16" ht="22.5">
      <c r="A256" s="591" t="str">
        <f t="shared" si="18"/>
        <v>Rheinmetall KBV TO Rheinmetall Plus 2.0 v. 21.11.2022</v>
      </c>
      <c r="B256" s="591">
        <f>ROW()</f>
        <v>256</v>
      </c>
      <c r="C256" s="591" t="s">
        <v>1892</v>
      </c>
      <c r="D256" s="1146">
        <v>44886</v>
      </c>
      <c r="E256" s="617" t="s">
        <v>1321</v>
      </c>
      <c r="F256" s="618"/>
      <c r="H256" s="397"/>
      <c r="K256" s="1144"/>
      <c r="L256" s="1144"/>
      <c r="M256" s="1144"/>
      <c r="N256" s="1144"/>
      <c r="O256" s="761"/>
      <c r="P256" s="140"/>
    </row>
    <row r="257" spans="1:16" ht="22.5">
      <c r="A257" s="591" t="str">
        <f t="shared" si="18"/>
        <v>Roche Diagnostics GmbH v. 27.09.2011</v>
      </c>
      <c r="B257" s="591">
        <f>ROW()</f>
        <v>257</v>
      </c>
      <c r="C257" s="616" t="s">
        <v>1310</v>
      </c>
      <c r="D257" s="1146">
        <v>40813</v>
      </c>
      <c r="E257" s="617" t="s">
        <v>479</v>
      </c>
      <c r="F257" s="618" t="str">
        <f t="shared" si="20"/>
        <v/>
      </c>
      <c r="G257" s="615" t="str">
        <f t="shared" si="22"/>
        <v>TO ermöglicht:  Verzinsung zwischen EzE und RK geltend machen</v>
      </c>
      <c r="H257" s="397"/>
      <c r="K257" s="1144"/>
      <c r="L257" s="1144"/>
      <c r="M257" s="1144"/>
      <c r="N257" s="1144">
        <v>4</v>
      </c>
      <c r="P257" s="140">
        <f t="shared" si="21"/>
        <v>4</v>
      </c>
    </row>
    <row r="258" spans="1:16" ht="45">
      <c r="A258" s="591" t="str">
        <f t="shared" si="18"/>
        <v>Rosenheimer Unterstützungskasse v. 01.05.2022</v>
      </c>
      <c r="B258" s="591">
        <f>ROW()</f>
        <v>258</v>
      </c>
      <c r="C258" s="616" t="s">
        <v>1341</v>
      </c>
      <c r="D258" s="1146">
        <v>44682</v>
      </c>
      <c r="E258" s="617" t="s">
        <v>720</v>
      </c>
      <c r="F258" s="618" t="str">
        <f t="shared" si="20"/>
        <v>Ja</v>
      </c>
      <c r="G258" s="615" t="str">
        <f t="shared" si="22"/>
        <v>TO ermöglicht: Tarifwechel; doppelten Kostenabzug;  Abweichungen vom gerichtl. festgelegten Ausgleichswert;  Verzinsung zwischen EzE und RK geltend machen</v>
      </c>
      <c r="H258" s="397"/>
      <c r="I258" s="615" t="s">
        <v>1339</v>
      </c>
      <c r="K258" s="1144">
        <v>1</v>
      </c>
      <c r="L258" s="1144">
        <v>2</v>
      </c>
      <c r="M258" s="1144">
        <v>3</v>
      </c>
      <c r="N258" s="1144">
        <v>4</v>
      </c>
      <c r="P258" s="140">
        <f t="shared" si="21"/>
        <v>10</v>
      </c>
    </row>
    <row r="259" spans="1:16" ht="25.5">
      <c r="A259" s="591" t="str">
        <f t="shared" si="18"/>
        <v>Rundfunk Berlin-Brandenburg Tarifvertrag v. 08.12.2009</v>
      </c>
      <c r="B259" s="591">
        <f>ROW()</f>
        <v>259</v>
      </c>
      <c r="C259" s="616" t="s">
        <v>945</v>
      </c>
      <c r="D259" s="1146">
        <v>40155</v>
      </c>
      <c r="F259" s="618" t="str">
        <f t="shared" si="20"/>
        <v/>
      </c>
      <c r="G259" s="615" t="str">
        <f t="shared" si="22"/>
        <v/>
      </c>
      <c r="H259" s="397"/>
      <c r="J259" s="760"/>
      <c r="K259" s="1144"/>
      <c r="L259" s="1144"/>
      <c r="M259" s="1144"/>
      <c r="N259" s="1144"/>
      <c r="P259" s="140">
        <f t="shared" si="21"/>
        <v>0</v>
      </c>
    </row>
    <row r="260" spans="1:16">
      <c r="A260" s="591" t="str">
        <f t="shared" si="18"/>
        <v>Saarländischer Rundfunk Tarifvertrag v. 04.12.2009</v>
      </c>
      <c r="B260" s="591">
        <f>ROW()</f>
        <v>260</v>
      </c>
      <c r="C260" s="616" t="s">
        <v>941</v>
      </c>
      <c r="D260" s="1146">
        <v>40151</v>
      </c>
      <c r="F260" s="618" t="str">
        <f t="shared" si="20"/>
        <v/>
      </c>
      <c r="G260" s="615" t="str">
        <f t="shared" si="22"/>
        <v/>
      </c>
      <c r="H260" s="397"/>
      <c r="J260" s="760"/>
      <c r="K260" s="1144"/>
      <c r="L260" s="1144"/>
      <c r="M260" s="1144"/>
      <c r="N260" s="1144"/>
      <c r="P260" s="140">
        <f t="shared" si="21"/>
        <v>0</v>
      </c>
    </row>
    <row r="261" spans="1:16">
      <c r="A261" s="591" t="str">
        <f t="shared" ref="A261" si="23">C261&amp;IF(D261=0,""," v. "&amp;TEXT(D261,"TT.MM.JJJ"))</f>
        <v>Schroff GmbH v. 13.09.2010</v>
      </c>
      <c r="B261" s="591">
        <f>ROW()</f>
        <v>261</v>
      </c>
      <c r="C261" s="1334" t="s">
        <v>1939</v>
      </c>
      <c r="D261" s="1146">
        <v>40434</v>
      </c>
      <c r="E261" s="617" t="s">
        <v>1940</v>
      </c>
      <c r="F261" s="618"/>
      <c r="H261" s="397"/>
      <c r="J261" s="760"/>
      <c r="K261" s="1144"/>
      <c r="L261" s="1144"/>
      <c r="M261" s="1144"/>
      <c r="N261" s="1144"/>
      <c r="P261" s="140"/>
    </row>
    <row r="262" spans="1:16" ht="25.5">
      <c r="A262" s="591" t="str">
        <f t="shared" si="18"/>
        <v>Secunda Unterstützungskasse für den Mittelstand v. 01.01.2010</v>
      </c>
      <c r="B262" s="591">
        <f>ROW()</f>
        <v>262</v>
      </c>
      <c r="C262" s="1334" t="s">
        <v>759</v>
      </c>
      <c r="D262" s="1146">
        <v>40179</v>
      </c>
      <c r="E262" s="617" t="s">
        <v>760</v>
      </c>
      <c r="F262" s="618" t="str">
        <f t="shared" si="20"/>
        <v/>
      </c>
      <c r="G262" s="615" t="str">
        <f t="shared" si="22"/>
        <v>TO ermöglicht: doppelten Kostenabzug;  Verzinsung zwischen EzE und RK geltend machen</v>
      </c>
      <c r="H262" s="397"/>
      <c r="J262" s="760"/>
      <c r="K262" s="1144"/>
      <c r="L262" s="1144">
        <v>2</v>
      </c>
      <c r="M262" s="1144"/>
      <c r="N262" s="1144">
        <v>4</v>
      </c>
      <c r="O262" s="761" t="s">
        <v>761</v>
      </c>
      <c r="P262" s="140">
        <f t="shared" si="21"/>
        <v>6</v>
      </c>
    </row>
    <row r="263" spans="1:16">
      <c r="A263" s="591" t="str">
        <f t="shared" si="18"/>
        <v>SelbstHilfe PK Caritas v. 01.01.2014</v>
      </c>
      <c r="B263" s="591">
        <f>ROW()</f>
        <v>263</v>
      </c>
      <c r="C263" s="616" t="s">
        <v>706</v>
      </c>
      <c r="D263" s="1146">
        <v>41640</v>
      </c>
      <c r="E263" s="617" t="s">
        <v>707</v>
      </c>
      <c r="F263" s="618" t="str">
        <f t="shared" si="20"/>
        <v>Ja</v>
      </c>
      <c r="G263" s="615" t="str">
        <f t="shared" si="22"/>
        <v xml:space="preserve">TO ermöglicht: Tarifwechel; </v>
      </c>
      <c r="H263" s="397"/>
      <c r="K263" s="1144">
        <v>1</v>
      </c>
      <c r="L263" s="1144"/>
      <c r="M263" s="1144"/>
      <c r="N263" s="1144"/>
      <c r="O263" s="765" t="s">
        <v>708</v>
      </c>
      <c r="P263" s="140">
        <f t="shared" si="21"/>
        <v>1</v>
      </c>
    </row>
    <row r="264" spans="1:16">
      <c r="A264" s="591" t="str">
        <f t="shared" si="18"/>
        <v>Sera-Zusage v. 01.07.2021</v>
      </c>
      <c r="B264" s="591">
        <f>ROW()</f>
        <v>264</v>
      </c>
      <c r="C264" s="616" t="s">
        <v>1258</v>
      </c>
      <c r="D264" s="1146">
        <v>44378</v>
      </c>
      <c r="E264" s="617" t="s">
        <v>769</v>
      </c>
      <c r="F264" s="618" t="str">
        <f t="shared" si="20"/>
        <v/>
      </c>
      <c r="G264" s="615" t="str">
        <f t="shared" si="22"/>
        <v xml:space="preserve">TO ermöglicht: doppelten Kostenabzug; </v>
      </c>
      <c r="H264" s="397"/>
      <c r="J264" s="760"/>
      <c r="K264" s="1144"/>
      <c r="L264" s="1144">
        <v>2</v>
      </c>
      <c r="M264" s="1144"/>
      <c r="N264" s="1144"/>
      <c r="O264" s="761"/>
      <c r="P264" s="140">
        <f t="shared" si="21"/>
        <v>2</v>
      </c>
    </row>
    <row r="265" spans="1:16" ht="45">
      <c r="A265" s="591" t="str">
        <f t="shared" si="18"/>
        <v>Signal Iduna a.G. v. 01.05.2022</v>
      </c>
      <c r="B265" s="591">
        <f>ROW()</f>
        <v>265</v>
      </c>
      <c r="C265" s="616" t="s">
        <v>1364</v>
      </c>
      <c r="D265" s="1146">
        <v>44682</v>
      </c>
      <c r="E265" s="617">
        <v>5</v>
      </c>
      <c r="F265" s="618" t="str">
        <f t="shared" si="20"/>
        <v/>
      </c>
      <c r="G265" s="615" t="str">
        <f t="shared" si="22"/>
        <v>TO ermöglicht: doppelten Kostenabzug;  Abweichungen vom gerichtl. festgelegten Ausgleichswert;  Verzinsung zwischen EzE und RK geltend machen</v>
      </c>
      <c r="H265" s="397"/>
      <c r="I265" s="615" t="s">
        <v>1363</v>
      </c>
      <c r="K265" s="1144"/>
      <c r="L265" s="1144">
        <v>2</v>
      </c>
      <c r="M265" s="1144">
        <v>3</v>
      </c>
      <c r="N265" s="1144">
        <v>4</v>
      </c>
      <c r="P265" s="140"/>
    </row>
    <row r="266" spans="1:16" ht="45">
      <c r="A266" s="591" t="str">
        <f t="shared" si="18"/>
        <v>Signal Iduna AG v. 01.05.2022</v>
      </c>
      <c r="B266" s="591">
        <f>ROW()</f>
        <v>266</v>
      </c>
      <c r="C266" s="616" t="s">
        <v>1365</v>
      </c>
      <c r="D266" s="1146">
        <v>44682</v>
      </c>
      <c r="E266" s="617">
        <v>5</v>
      </c>
      <c r="F266" s="618" t="str">
        <f t="shared" si="20"/>
        <v/>
      </c>
      <c r="G266" s="615" t="str">
        <f t="shared" si="22"/>
        <v>TO ermöglicht: doppelten Kostenabzug;  Abweichungen vom gerichtl. festgelegten Ausgleichswert;  Verzinsung zwischen EzE und RK geltend machen</v>
      </c>
      <c r="H266" s="397"/>
      <c r="I266" s="615" t="s">
        <v>1363</v>
      </c>
      <c r="K266" s="1144"/>
      <c r="L266" s="1144">
        <v>2</v>
      </c>
      <c r="M266" s="1144">
        <v>3</v>
      </c>
      <c r="N266" s="1144">
        <v>4</v>
      </c>
      <c r="P266" s="140"/>
    </row>
    <row r="267" spans="1:16" ht="33.75">
      <c r="A267" s="591" t="str">
        <f t="shared" si="18"/>
        <v>Signal Iduna Pensionskass AG v. 01.05.2022</v>
      </c>
      <c r="B267" s="591">
        <f>ROW()</f>
        <v>267</v>
      </c>
      <c r="C267" s="616" t="s">
        <v>1366</v>
      </c>
      <c r="D267" s="1146">
        <v>44682</v>
      </c>
      <c r="E267" s="617">
        <v>5</v>
      </c>
      <c r="F267" s="618" t="str">
        <f t="shared" si="20"/>
        <v/>
      </c>
      <c r="G267" s="615" t="str">
        <f t="shared" si="22"/>
        <v>TO ermöglicht:  Verzinsung zwischen EzE und RK geltend machen</v>
      </c>
      <c r="H267" s="397"/>
      <c r="I267" s="615" t="s">
        <v>1363</v>
      </c>
      <c r="K267" s="1144"/>
      <c r="L267" s="1144"/>
      <c r="M267" s="1144"/>
      <c r="N267" s="1144">
        <v>4</v>
      </c>
      <c r="P267" s="140"/>
    </row>
    <row r="268" spans="1:16" ht="33.75">
      <c r="A268" s="591" t="str">
        <f t="shared" si="18"/>
        <v>Signal Iduna v. 01.01.2010</v>
      </c>
      <c r="B268" s="591">
        <f>ROW()</f>
        <v>268</v>
      </c>
      <c r="C268" s="616" t="s">
        <v>1100</v>
      </c>
      <c r="D268" s="1146">
        <v>40179</v>
      </c>
      <c r="E268" s="617" t="s">
        <v>1045</v>
      </c>
      <c r="F268" s="618" t="str">
        <f t="shared" si="20"/>
        <v>Ja</v>
      </c>
      <c r="G268" s="615" t="str">
        <f t="shared" si="22"/>
        <v>TO ermöglicht: Tarifwechel;  Abweichungen vom gerichtl. festgelegten Ausgleichswert;  Verzinsung zwischen EzE und RK geltend machen</v>
      </c>
      <c r="H268" s="397"/>
      <c r="K268" s="1144">
        <v>1</v>
      </c>
      <c r="L268" s="1144"/>
      <c r="M268" s="1144">
        <v>3</v>
      </c>
      <c r="N268" s="1144">
        <v>4</v>
      </c>
      <c r="P268" s="140">
        <f t="shared" ref="P268:P319" si="24">SUM(K268:N268)</f>
        <v>8</v>
      </c>
    </row>
    <row r="269" spans="1:16" ht="45">
      <c r="A269" s="591" t="str">
        <f t="shared" si="18"/>
        <v>Sparkassen Pensionskasse AG v. 01.05.2021</v>
      </c>
      <c r="B269" s="591">
        <f>ROW()</f>
        <v>269</v>
      </c>
      <c r="C269" s="616" t="s">
        <v>1133</v>
      </c>
      <c r="D269" s="1146">
        <v>44317</v>
      </c>
      <c r="E269" s="617" t="s">
        <v>1306</v>
      </c>
      <c r="F269" s="618" t="str">
        <f t="shared" si="20"/>
        <v>Ja</v>
      </c>
      <c r="G269" s="615" t="str">
        <f t="shared" si="22"/>
        <v>TO ermöglicht: Tarifwechel; doppelten Kostenabzug;  Abweichungen vom gerichtl. festgelegten Ausgleichswert;  Verzinsung zwischen EzE und RK geltend machen</v>
      </c>
      <c r="H269" s="397"/>
      <c r="J269" s="760"/>
      <c r="K269" s="1144">
        <v>1</v>
      </c>
      <c r="L269" s="1144">
        <v>2</v>
      </c>
      <c r="M269" s="1144">
        <v>3</v>
      </c>
      <c r="N269" s="1144">
        <v>4</v>
      </c>
      <c r="P269" s="140">
        <f t="shared" si="24"/>
        <v>10</v>
      </c>
    </row>
    <row r="270" spans="1:16" ht="45">
      <c r="A270" s="591" t="str">
        <f t="shared" si="18"/>
        <v>Sparkassen Pensionskasse AG v. 11.04.2016</v>
      </c>
      <c r="B270" s="591">
        <f>ROW()</f>
        <v>270</v>
      </c>
      <c r="C270" s="616" t="s">
        <v>1133</v>
      </c>
      <c r="D270" s="1146">
        <v>42471</v>
      </c>
      <c r="E270" s="617" t="s">
        <v>878</v>
      </c>
      <c r="F270" s="618" t="str">
        <f t="shared" si="20"/>
        <v>Ja</v>
      </c>
      <c r="G270" s="615" t="str">
        <f t="shared" si="22"/>
        <v>TO ermöglicht: Tarifwechel; doppelten Kostenabzug;  Abweichungen vom gerichtl. festgelegten Ausgleichswert;  Verzinsung zwischen EzE und RK geltend machen</v>
      </c>
      <c r="H270" s="397"/>
      <c r="J270" s="760"/>
      <c r="K270" s="1144">
        <v>1</v>
      </c>
      <c r="L270" s="1144">
        <v>2</v>
      </c>
      <c r="M270" s="1144">
        <v>3</v>
      </c>
      <c r="N270" s="1144">
        <v>4</v>
      </c>
      <c r="P270" s="140">
        <f t="shared" si="24"/>
        <v>10</v>
      </c>
    </row>
    <row r="271" spans="1:16" ht="38.25">
      <c r="A271" s="591" t="str">
        <f t="shared" si="18"/>
        <v>Sparkassen-Versicherung private AV v. 01.06.2017</v>
      </c>
      <c r="B271" s="591">
        <f>ROW()</f>
        <v>271</v>
      </c>
      <c r="C271" s="616" t="s">
        <v>1305</v>
      </c>
      <c r="D271" s="1146">
        <v>42887</v>
      </c>
      <c r="E271" s="617" t="s">
        <v>661</v>
      </c>
      <c r="F271" s="618" t="str">
        <f t="shared" si="20"/>
        <v>Ja</v>
      </c>
      <c r="G271" s="615" t="str">
        <f t="shared" si="22"/>
        <v xml:space="preserve">TO ermöglicht: Tarifwechel; doppelten Kostenabzug; </v>
      </c>
      <c r="H271" s="397"/>
      <c r="J271" s="760"/>
      <c r="K271" s="1144">
        <v>1</v>
      </c>
      <c r="L271" s="1144">
        <v>2</v>
      </c>
      <c r="M271" s="1144"/>
      <c r="N271" s="1144"/>
      <c r="O271" s="763" t="s">
        <v>660</v>
      </c>
      <c r="P271" s="140">
        <f t="shared" si="24"/>
        <v>3</v>
      </c>
    </row>
    <row r="272" spans="1:16" ht="38.25">
      <c r="A272" s="591" t="str">
        <f t="shared" ref="A272" si="25">C272&amp;IF(D272=0,""," v. "&amp;TEXT(D272,"TT.MM.JJJ"))</f>
        <v>Sparkassen-Versicherung private AV v. 01.05.2023</v>
      </c>
      <c r="B272" s="591">
        <f>ROW()</f>
        <v>272</v>
      </c>
      <c r="C272" s="616" t="s">
        <v>1305</v>
      </c>
      <c r="D272" s="1146">
        <v>45047</v>
      </c>
      <c r="E272" s="617" t="s">
        <v>661</v>
      </c>
      <c r="F272" s="618" t="s">
        <v>465</v>
      </c>
      <c r="G272" s="615" t="str">
        <f t="shared" si="22"/>
        <v>TO ermöglicht: Tarifwechel; doppelten Kostenabzug;  Verzinsung zwischen EzE und RK geltend machen</v>
      </c>
      <c r="H272" s="397"/>
      <c r="J272" s="760"/>
      <c r="K272" s="1144">
        <v>1</v>
      </c>
      <c r="L272" s="1144">
        <v>2</v>
      </c>
      <c r="M272" s="1144"/>
      <c r="N272" s="1144">
        <v>4</v>
      </c>
      <c r="O272" s="763"/>
      <c r="P272" s="140">
        <f t="shared" si="24"/>
        <v>7</v>
      </c>
    </row>
    <row r="273" spans="1:16">
      <c r="A273" s="591" t="str">
        <f t="shared" si="18"/>
        <v>Standard Life v. 30.06.2011</v>
      </c>
      <c r="B273" s="591">
        <f>ROW()</f>
        <v>273</v>
      </c>
      <c r="C273" s="616" t="s">
        <v>1043</v>
      </c>
      <c r="D273" s="1146">
        <v>40724</v>
      </c>
      <c r="E273" s="617" t="s">
        <v>919</v>
      </c>
      <c r="F273" s="618" t="str">
        <f t="shared" si="20"/>
        <v>Ja</v>
      </c>
      <c r="G273" s="615" t="str">
        <f t="shared" si="22"/>
        <v xml:space="preserve">TO ermöglicht: Tarifwechel; </v>
      </c>
      <c r="H273" s="397"/>
      <c r="K273" s="1144">
        <v>1</v>
      </c>
      <c r="L273" s="1144"/>
      <c r="M273" s="1144"/>
      <c r="N273" s="1144"/>
      <c r="P273" s="140">
        <f t="shared" si="24"/>
        <v>1</v>
      </c>
    </row>
    <row r="274" spans="1:16" ht="22.5">
      <c r="A274" s="591" t="str">
        <f t="shared" ref="A274" si="26">C274&amp;IF(D274=0,""," v. "&amp;TEXT(D274,"TT.MM.JJJ"))</f>
        <v>Stuttgarter Lebensversicherung s.G.</v>
      </c>
      <c r="B274" s="591">
        <f>ROW()</f>
        <v>274</v>
      </c>
      <c r="C274" s="616" t="s">
        <v>1941</v>
      </c>
      <c r="E274" s="617" t="s">
        <v>1942</v>
      </c>
      <c r="F274" s="618" t="str">
        <f t="shared" si="20"/>
        <v>Ja</v>
      </c>
      <c r="G274" s="615" t="str">
        <f t="shared" si="22"/>
        <v>TO ermöglicht: Tarifwechel;  Verzinsung zwischen EzE und RK geltend machen</v>
      </c>
      <c r="H274" s="397"/>
      <c r="K274" s="1144">
        <v>1</v>
      </c>
      <c r="L274" s="1144"/>
      <c r="M274" s="1144"/>
      <c r="N274" s="1144">
        <v>4</v>
      </c>
      <c r="P274" s="140">
        <f t="shared" si="24"/>
        <v>5</v>
      </c>
    </row>
    <row r="275" spans="1:16">
      <c r="A275" s="591" t="str">
        <f t="shared" si="18"/>
        <v>Südwestrundfunk Tarifvertrag v. 09.12.2009</v>
      </c>
      <c r="B275" s="591">
        <f>ROW()</f>
        <v>275</v>
      </c>
      <c r="C275" s="616" t="s">
        <v>946</v>
      </c>
      <c r="D275" s="1146">
        <v>40156</v>
      </c>
      <c r="F275" s="618" t="str">
        <f t="shared" si="20"/>
        <v/>
      </c>
      <c r="G275" s="615" t="str">
        <f t="shared" si="22"/>
        <v/>
      </c>
      <c r="H275" s="397"/>
      <c r="K275" s="1144"/>
      <c r="L275" s="1144"/>
      <c r="M275" s="1144"/>
      <c r="N275" s="1144"/>
      <c r="P275" s="140">
        <f t="shared" si="24"/>
        <v>0</v>
      </c>
    </row>
    <row r="276" spans="1:16" ht="45">
      <c r="A276" s="591" t="str">
        <f t="shared" si="18"/>
        <v>SutorBank v. 01.05.2022</v>
      </c>
      <c r="B276" s="591">
        <f>ROW()</f>
        <v>276</v>
      </c>
      <c r="C276" s="616" t="s">
        <v>1337</v>
      </c>
      <c r="D276" s="1146">
        <v>44682</v>
      </c>
      <c r="E276" s="617" t="s">
        <v>1338</v>
      </c>
      <c r="F276" s="618" t="str">
        <f t="shared" si="20"/>
        <v>Ja</v>
      </c>
      <c r="G276" s="615" t="str">
        <f t="shared" si="22"/>
        <v>TO ermöglicht: Tarifwechel; doppelten Kostenabzug;  Abweichungen vom gerichtl. festgelegten Ausgleichswert;  Verzinsung zwischen EzE und RK geltend machen</v>
      </c>
      <c r="H276" s="397"/>
      <c r="I276" s="615" t="s">
        <v>1339</v>
      </c>
      <c r="K276" s="1144">
        <v>1</v>
      </c>
      <c r="L276" s="1144">
        <v>2</v>
      </c>
      <c r="M276" s="1144">
        <v>3</v>
      </c>
      <c r="N276" s="1144">
        <v>4</v>
      </c>
      <c r="P276" s="140">
        <f t="shared" si="24"/>
        <v>10</v>
      </c>
    </row>
    <row r="277" spans="1:16" ht="22.5">
      <c r="A277" s="591" t="str">
        <f t="shared" si="18"/>
        <v>Swiss Life AG v. 01.11.2013</v>
      </c>
      <c r="B277" s="591">
        <f>ROW()</f>
        <v>277</v>
      </c>
      <c r="C277" s="616" t="s">
        <v>671</v>
      </c>
      <c r="D277" s="1146">
        <v>41579</v>
      </c>
      <c r="E277" s="617" t="s">
        <v>704</v>
      </c>
      <c r="F277" s="618" t="str">
        <f t="shared" si="20"/>
        <v>Ja</v>
      </c>
      <c r="G277" s="615" t="str">
        <f t="shared" si="22"/>
        <v>TO ermöglicht: Tarifwechel;  Verzinsung zwischen EzE und RK geltend machen</v>
      </c>
      <c r="H277" s="397"/>
      <c r="K277" s="1144">
        <v>1</v>
      </c>
      <c r="L277" s="1144"/>
      <c r="M277" s="1144"/>
      <c r="N277" s="1144">
        <v>4</v>
      </c>
      <c r="O277" s="765" t="s">
        <v>705</v>
      </c>
      <c r="P277" s="140">
        <f t="shared" si="24"/>
        <v>5</v>
      </c>
    </row>
    <row r="278" spans="1:16" ht="45">
      <c r="A278" s="591" t="str">
        <f t="shared" si="18"/>
        <v>Swiss Life AG v. 16.12.2014</v>
      </c>
      <c r="B278" s="591">
        <f>ROW()</f>
        <v>278</v>
      </c>
      <c r="C278" s="616" t="s">
        <v>671</v>
      </c>
      <c r="D278" s="1146">
        <v>41989</v>
      </c>
      <c r="E278" s="617" t="s">
        <v>669</v>
      </c>
      <c r="F278" s="618" t="str">
        <f t="shared" si="20"/>
        <v>Ja</v>
      </c>
      <c r="G278" s="615" t="str">
        <f t="shared" si="22"/>
        <v>TO ermöglicht: Tarifwechel; doppelten Kostenabzug;  Abweichungen vom gerichtl. festgelegten Ausgleichswert;  Verzinsung zwischen EzE und RK geltend machen</v>
      </c>
      <c r="H278" s="397"/>
      <c r="I278" s="615" t="s">
        <v>1334</v>
      </c>
      <c r="K278" s="1144">
        <v>1</v>
      </c>
      <c r="L278" s="1144">
        <v>2</v>
      </c>
      <c r="M278" s="1144">
        <v>3</v>
      </c>
      <c r="N278" s="1144">
        <v>4</v>
      </c>
      <c r="O278" s="763" t="s">
        <v>672</v>
      </c>
      <c r="P278" s="140">
        <f t="shared" si="24"/>
        <v>10</v>
      </c>
    </row>
    <row r="279" spans="1:16" ht="45">
      <c r="A279" s="591" t="str">
        <f t="shared" si="18"/>
        <v>SwissLife Pensionskasse v. 23.09.2014</v>
      </c>
      <c r="B279" s="591">
        <f>ROW()</f>
        <v>279</v>
      </c>
      <c r="C279" s="616" t="s">
        <v>1335</v>
      </c>
      <c r="D279" s="1146">
        <v>41905</v>
      </c>
      <c r="E279" s="617">
        <v>6</v>
      </c>
      <c r="F279" s="618" t="str">
        <f t="shared" si="20"/>
        <v>Ja</v>
      </c>
      <c r="G279" s="615" t="str">
        <f t="shared" si="22"/>
        <v>TO ermöglicht: Tarifwechel;  Verzinsung zwischen EzE und RK geltend machen</v>
      </c>
      <c r="H279" s="397"/>
      <c r="I279" s="615" t="s">
        <v>1334</v>
      </c>
      <c r="K279" s="1144">
        <v>1</v>
      </c>
      <c r="L279" s="1144"/>
      <c r="M279" s="1144"/>
      <c r="N279" s="1144">
        <v>4</v>
      </c>
      <c r="P279" s="140">
        <f t="shared" si="24"/>
        <v>5</v>
      </c>
    </row>
    <row r="280" spans="1:16" ht="45">
      <c r="A280" s="591" t="str">
        <f t="shared" si="18"/>
        <v>SwissLife Unterstützungskasse v. 02.11.2010</v>
      </c>
      <c r="B280" s="591">
        <f>ROW()</f>
        <v>280</v>
      </c>
      <c r="C280" s="616" t="s">
        <v>1336</v>
      </c>
      <c r="D280" s="1146">
        <v>40484</v>
      </c>
      <c r="E280" s="617" t="s">
        <v>1202</v>
      </c>
      <c r="F280" s="618" t="str">
        <f t="shared" si="20"/>
        <v/>
      </c>
      <c r="G280" s="615" t="str">
        <f t="shared" si="22"/>
        <v>TO ermöglicht: doppelten Kostenabzug;  Abweichungen vom gerichtl. festgelegten Ausgleichswert;  Verzinsung zwischen EzE und RK geltend machen</v>
      </c>
      <c r="H280" s="397"/>
      <c r="K280" s="1144"/>
      <c r="L280" s="1144">
        <v>2</v>
      </c>
      <c r="M280" s="1144">
        <v>3</v>
      </c>
      <c r="N280" s="1144">
        <v>4</v>
      </c>
      <c r="P280" s="140">
        <f t="shared" si="24"/>
        <v>9</v>
      </c>
    </row>
    <row r="281" spans="1:16" ht="45">
      <c r="A281" s="591" t="str">
        <f t="shared" si="18"/>
        <v>Targo Lebensversicherung AG v. 01.09.2013</v>
      </c>
      <c r="B281" s="591">
        <f>ROW()</f>
        <v>281</v>
      </c>
      <c r="C281" s="616" t="s">
        <v>727</v>
      </c>
      <c r="D281" s="1146">
        <v>41518</v>
      </c>
      <c r="E281" s="617" t="s">
        <v>892</v>
      </c>
      <c r="F281" s="618" t="str">
        <f t="shared" si="20"/>
        <v>Ja</v>
      </c>
      <c r="G281" s="615" t="str">
        <f t="shared" si="22"/>
        <v>TO ermöglicht: Tarifwechel; doppelten Kostenabzug;  Abweichungen vom gerichtl. festgelegten Ausgleichswert;  Verzinsung zwischen EzE und RK geltend machen</v>
      </c>
      <c r="H281" s="397"/>
      <c r="J281" s="760"/>
      <c r="K281" s="1144">
        <v>1</v>
      </c>
      <c r="L281" s="1144">
        <v>2</v>
      </c>
      <c r="M281" s="1144">
        <v>3</v>
      </c>
      <c r="N281" s="1144">
        <v>4</v>
      </c>
      <c r="O281" s="615"/>
      <c r="P281" s="140">
        <f t="shared" si="24"/>
        <v>10</v>
      </c>
    </row>
    <row r="282" spans="1:16">
      <c r="A282" s="591" t="str">
        <f t="shared" si="18"/>
        <v>Test</v>
      </c>
      <c r="B282" s="591">
        <f>ROW()</f>
        <v>282</v>
      </c>
      <c r="C282" s="616" t="s">
        <v>922</v>
      </c>
      <c r="F282" s="618" t="str">
        <f t="shared" si="20"/>
        <v/>
      </c>
      <c r="G282" s="615" t="str">
        <f t="shared" si="22"/>
        <v/>
      </c>
      <c r="H282" s="397"/>
      <c r="J282" s="67"/>
      <c r="K282" s="1144"/>
      <c r="L282" s="1144"/>
      <c r="M282" s="1144"/>
      <c r="N282" s="1144"/>
      <c r="P282" s="140">
        <f t="shared" si="24"/>
        <v>0</v>
      </c>
    </row>
    <row r="283" spans="1:16">
      <c r="A283" s="591" t="str">
        <f t="shared" si="18"/>
        <v>Ulmer Spatz v. 01.07.2021</v>
      </c>
      <c r="B283" s="591">
        <f>ROW()</f>
        <v>283</v>
      </c>
      <c r="C283" s="616" t="s">
        <v>1256</v>
      </c>
      <c r="D283" s="1146">
        <v>44378</v>
      </c>
      <c r="E283" s="617" t="s">
        <v>769</v>
      </c>
      <c r="F283" s="618" t="str">
        <f t="shared" si="20"/>
        <v/>
      </c>
      <c r="G283" s="615" t="str">
        <f t="shared" si="22"/>
        <v xml:space="preserve">TO ermöglicht: doppelten Kostenabzug; </v>
      </c>
      <c r="H283" s="397"/>
      <c r="J283" s="760"/>
      <c r="K283" s="1144"/>
      <c r="L283" s="1144">
        <v>2</v>
      </c>
      <c r="M283" s="1144"/>
      <c r="N283" s="1144"/>
      <c r="O283" s="761"/>
      <c r="P283" s="140">
        <f t="shared" si="24"/>
        <v>2</v>
      </c>
    </row>
    <row r="284" spans="1:16" ht="45">
      <c r="A284" s="591" t="str">
        <f t="shared" si="18"/>
        <v>UMU-Unterstützungskasse mittelständischer Unternehmen e.V. v. 01.12.2013</v>
      </c>
      <c r="B284" s="591">
        <f>ROW()</f>
        <v>284</v>
      </c>
      <c r="C284" s="616" t="s">
        <v>952</v>
      </c>
      <c r="D284" s="1146">
        <v>41609</v>
      </c>
      <c r="E284" s="617" t="s">
        <v>919</v>
      </c>
      <c r="F284" s="618" t="str">
        <f t="shared" si="20"/>
        <v>Ja</v>
      </c>
      <c r="G284" s="615" t="str">
        <f t="shared" si="22"/>
        <v>TO ermöglicht: Tarifwechel; doppelten Kostenabzug;  Abweichungen vom gerichtl. festgelegten Ausgleichswert;  Verzinsung zwischen EzE und RK geltend machen</v>
      </c>
      <c r="H284" s="397"/>
      <c r="K284" s="1144">
        <v>1</v>
      </c>
      <c r="L284" s="1144">
        <v>2</v>
      </c>
      <c r="M284" s="1144">
        <v>3</v>
      </c>
      <c r="N284" s="1144">
        <v>4</v>
      </c>
      <c r="P284" s="140">
        <f t="shared" si="24"/>
        <v>10</v>
      </c>
    </row>
    <row r="285" spans="1:16" ht="22.5">
      <c r="A285" s="591" t="str">
        <f t="shared" si="18"/>
        <v>Unilever v. 01.06.2016</v>
      </c>
      <c r="B285" s="591">
        <f>ROW()</f>
        <v>285</v>
      </c>
      <c r="C285" s="616" t="s">
        <v>722</v>
      </c>
      <c r="D285" s="1146">
        <v>42522</v>
      </c>
      <c r="E285" s="617" t="s">
        <v>723</v>
      </c>
      <c r="F285" s="618" t="str">
        <f t="shared" si="20"/>
        <v/>
      </c>
      <c r="G285" s="615" t="str">
        <f t="shared" ref="G285:G320" si="27">IF(SUM(K285:N285)=0,"","TO ermöglicht: "&amp;IF(K285&gt;0,"Tarifwechel; ","")&amp;IF(L285&gt;0,"doppelten Kostenabzug; ","")&amp;IF(M285&gt;0," Abweichungen vom gerichtl. festgelegten Ausgleichswert; ","")&amp;IF(N285&gt;0," Verzinsung zwischen EzE und RK geltend machen",""))</f>
        <v/>
      </c>
      <c r="H285" s="397"/>
      <c r="K285" s="1144"/>
      <c r="L285" s="1144"/>
      <c r="M285" s="1144"/>
      <c r="N285" s="1144"/>
      <c r="O285" s="765" t="s">
        <v>724</v>
      </c>
      <c r="P285" s="140">
        <f t="shared" si="24"/>
        <v>0</v>
      </c>
    </row>
    <row r="286" spans="1:16" ht="67.5">
      <c r="A286" s="591" t="str">
        <f t="shared" si="18"/>
        <v>Union Investment Privatfonds GmbH v. 01.01.2021</v>
      </c>
      <c r="B286" s="591">
        <f>ROW()</f>
        <v>286</v>
      </c>
      <c r="C286" s="616" t="s">
        <v>1135</v>
      </c>
      <c r="D286" s="1146">
        <v>44197</v>
      </c>
      <c r="E286" s="617" t="s">
        <v>653</v>
      </c>
      <c r="F286" s="618" t="str">
        <f t="shared" si="20"/>
        <v>Ja</v>
      </c>
      <c r="G286" s="615" t="str">
        <f t="shared" si="27"/>
        <v>TO ermöglicht: Tarifwechel;  Abweichungen vom gerichtl. festgelegten Ausgleichswert;  Verzinsung zwischen EzE und RK geltend machen</v>
      </c>
      <c r="H286" s="397"/>
      <c r="I286" s="1336" t="s">
        <v>1519</v>
      </c>
      <c r="J286" s="760"/>
      <c r="K286" s="1144">
        <v>1</v>
      </c>
      <c r="L286" s="1144"/>
      <c r="M286" s="1144">
        <v>3</v>
      </c>
      <c r="N286" s="1144">
        <v>4</v>
      </c>
      <c r="O286" s="763" t="s">
        <v>656</v>
      </c>
      <c r="P286" s="140">
        <f t="shared" si="24"/>
        <v>8</v>
      </c>
    </row>
    <row r="287" spans="1:16" ht="38.25">
      <c r="A287" s="591" t="str">
        <f t="shared" si="18"/>
        <v>Unterstützungskasse der nordostdeutschen Energiewirtschaft e.V. v. 30.03.2020</v>
      </c>
      <c r="B287" s="591">
        <f>ROW()</f>
        <v>287</v>
      </c>
      <c r="C287" s="616" t="s">
        <v>923</v>
      </c>
      <c r="D287" s="1146">
        <v>43920</v>
      </c>
      <c r="E287" s="617" t="s">
        <v>924</v>
      </c>
      <c r="F287" s="618" t="str">
        <f t="shared" si="20"/>
        <v/>
      </c>
      <c r="G287" s="615" t="str">
        <f t="shared" si="27"/>
        <v/>
      </c>
      <c r="H287" s="397"/>
      <c r="K287" s="1144"/>
      <c r="L287" s="1144"/>
      <c r="M287" s="1144"/>
      <c r="N287" s="1144"/>
      <c r="P287" s="140">
        <f t="shared" si="24"/>
        <v>0</v>
      </c>
    </row>
    <row r="288" spans="1:16" ht="45">
      <c r="A288" s="591" t="str">
        <f t="shared" si="18"/>
        <v>VdVA Unterstützungskasse v. 01.01.2022</v>
      </c>
      <c r="B288" s="591">
        <f>ROW()</f>
        <v>288</v>
      </c>
      <c r="C288" s="616" t="s">
        <v>890</v>
      </c>
      <c r="D288" s="1146">
        <v>44562</v>
      </c>
      <c r="E288" s="821" t="s">
        <v>891</v>
      </c>
      <c r="F288" s="618" t="str">
        <f t="shared" si="20"/>
        <v/>
      </c>
      <c r="G288" s="615" t="str">
        <f t="shared" si="27"/>
        <v>TO ermöglicht: doppelten Kostenabzug;  Verzinsung zwischen EzE und RK geltend machen</v>
      </c>
      <c r="H288" s="397"/>
      <c r="I288" s="615" t="s">
        <v>1331</v>
      </c>
      <c r="K288" s="1144"/>
      <c r="L288" s="1144">
        <v>2</v>
      </c>
      <c r="M288" s="1144"/>
      <c r="N288" s="1144">
        <v>4</v>
      </c>
      <c r="O288" s="761" t="s">
        <v>889</v>
      </c>
      <c r="P288" s="140">
        <f t="shared" si="24"/>
        <v>6</v>
      </c>
    </row>
    <row r="289" spans="1:16" ht="38.25">
      <c r="A289" s="591" t="str">
        <f t="shared" si="18"/>
        <v>Vereinigte Postversicherung VVaG  v. 11.07.2022</v>
      </c>
      <c r="B289" s="591">
        <f>ROW()</f>
        <v>289</v>
      </c>
      <c r="C289" s="616" t="s">
        <v>963</v>
      </c>
      <c r="D289" s="1146">
        <v>44753</v>
      </c>
      <c r="E289" s="617" t="s">
        <v>966</v>
      </c>
      <c r="F289" s="618" t="str">
        <f t="shared" si="20"/>
        <v>Ja</v>
      </c>
      <c r="G289" s="615" t="str">
        <f t="shared" si="27"/>
        <v>TO ermöglicht: Tarifwechel; doppelten Kostenabzug;  Verzinsung zwischen EzE und RK geltend machen</v>
      </c>
      <c r="H289" s="397"/>
      <c r="K289" s="1144">
        <v>1</v>
      </c>
      <c r="L289" s="1144">
        <v>2</v>
      </c>
      <c r="M289" s="1144"/>
      <c r="N289" s="1144">
        <v>4</v>
      </c>
      <c r="P289" s="140">
        <f t="shared" si="24"/>
        <v>7</v>
      </c>
    </row>
    <row r="290" spans="1:16" ht="25.5">
      <c r="A290" s="591" t="str">
        <f t="shared" ref="A290:A357" si="28">C290&amp;IF(D290=0,""," v. "&amp;TEXT(D290,"TT.MM.JJJ"))</f>
        <v>Vereinigte Postversicherung VVaG für Direktversicherungen v. 11.07.2022</v>
      </c>
      <c r="B290" s="591">
        <f>ROW()</f>
        <v>290</v>
      </c>
      <c r="C290" s="616" t="s">
        <v>960</v>
      </c>
      <c r="D290" s="1146">
        <v>44753</v>
      </c>
      <c r="E290" s="617" t="s">
        <v>957</v>
      </c>
      <c r="F290" s="618" t="str">
        <f t="shared" si="20"/>
        <v/>
      </c>
      <c r="G290" s="615" t="str">
        <f t="shared" si="27"/>
        <v/>
      </c>
      <c r="H290" s="397"/>
      <c r="K290" s="1144"/>
      <c r="L290" s="1144"/>
      <c r="M290" s="1144"/>
      <c r="N290" s="1144"/>
      <c r="P290" s="140">
        <f t="shared" si="24"/>
        <v>0</v>
      </c>
    </row>
    <row r="291" spans="1:16" ht="25.5">
      <c r="A291" s="591" t="str">
        <f t="shared" si="28"/>
        <v>Versorgungsanstalt der Deutschen Bundespost v. 05.10.2010</v>
      </c>
      <c r="B291" s="591">
        <f>ROW()</f>
        <v>291</v>
      </c>
      <c r="C291" s="616" t="s">
        <v>733</v>
      </c>
      <c r="D291" s="1146">
        <v>40456</v>
      </c>
      <c r="E291" s="617" t="s">
        <v>731</v>
      </c>
      <c r="F291" s="618" t="str">
        <f t="shared" si="20"/>
        <v/>
      </c>
      <c r="G291" s="615" t="str">
        <f t="shared" si="27"/>
        <v/>
      </c>
      <c r="H291" s="397"/>
      <c r="K291" s="1144"/>
      <c r="L291" s="1144"/>
      <c r="M291" s="1144"/>
      <c r="N291" s="1144"/>
      <c r="O291" s="765" t="s">
        <v>732</v>
      </c>
      <c r="P291" s="140">
        <f t="shared" si="24"/>
        <v>0</v>
      </c>
    </row>
    <row r="292" spans="1:16" ht="25.5">
      <c r="A292" s="591" t="str">
        <f t="shared" si="28"/>
        <v>Versorgungsanstalt der Kaminkehrergesellen</v>
      </c>
      <c r="B292" s="591">
        <f>ROW()</f>
        <v>292</v>
      </c>
      <c r="C292" s="616" t="s">
        <v>679</v>
      </c>
      <c r="E292" s="617" t="s">
        <v>682</v>
      </c>
      <c r="F292" s="618" t="str">
        <f t="shared" ref="F292:F354" si="29">IF(K292=1,"Ja","")</f>
        <v/>
      </c>
      <c r="G292" s="615" t="str">
        <f t="shared" si="27"/>
        <v/>
      </c>
      <c r="H292" s="397"/>
      <c r="K292" s="1144"/>
      <c r="L292" s="1144"/>
      <c r="M292" s="1144"/>
      <c r="N292" s="1144"/>
      <c r="O292" s="763" t="s">
        <v>681</v>
      </c>
      <c r="P292" s="140">
        <f t="shared" si="24"/>
        <v>0</v>
      </c>
    </row>
    <row r="293" spans="1:16" ht="25.5">
      <c r="A293" s="591" t="str">
        <f t="shared" si="28"/>
        <v>Versorgungswerk der Wohnungswirtschaft (VDW) v. 01.01.2018</v>
      </c>
      <c r="B293" s="591">
        <f>ROW()</f>
        <v>293</v>
      </c>
      <c r="C293" s="616" t="s">
        <v>772</v>
      </c>
      <c r="D293" s="1146">
        <v>43101</v>
      </c>
      <c r="E293" s="617" t="s">
        <v>769</v>
      </c>
      <c r="F293" s="618" t="str">
        <f t="shared" si="29"/>
        <v/>
      </c>
      <c r="G293" s="615" t="str">
        <f t="shared" si="27"/>
        <v>TO ermöglicht: doppelten Kostenabzug;  Verzinsung zwischen EzE und RK geltend machen</v>
      </c>
      <c r="H293" s="397"/>
      <c r="K293" s="1144"/>
      <c r="L293" s="1144">
        <v>2</v>
      </c>
      <c r="M293" s="1144"/>
      <c r="N293" s="1144">
        <v>4</v>
      </c>
      <c r="O293" s="761" t="s">
        <v>805</v>
      </c>
      <c r="P293" s="140">
        <f t="shared" si="24"/>
        <v>6</v>
      </c>
    </row>
    <row r="294" spans="1:16" ht="22.5">
      <c r="A294" s="591" t="str">
        <f t="shared" si="28"/>
        <v>Vertreterversorgungswerk der Allianz Beratungs- und Vertreibs AG v. 13.12.2010</v>
      </c>
      <c r="B294" s="591">
        <f>ROW()</f>
        <v>294</v>
      </c>
      <c r="C294" s="985" t="s">
        <v>1183</v>
      </c>
      <c r="D294" s="1146">
        <v>40525</v>
      </c>
      <c r="E294" s="617" t="s">
        <v>1184</v>
      </c>
      <c r="F294" s="618" t="str">
        <f t="shared" si="29"/>
        <v/>
      </c>
      <c r="G294" s="615" t="str">
        <f t="shared" si="27"/>
        <v/>
      </c>
      <c r="H294" s="397"/>
      <c r="K294" s="1144"/>
      <c r="L294" s="1144"/>
      <c r="M294" s="1144"/>
      <c r="N294" s="1144"/>
      <c r="P294" s="140">
        <f t="shared" si="24"/>
        <v>0</v>
      </c>
    </row>
    <row r="295" spans="1:16" ht="22.5">
      <c r="A295" s="591" t="str">
        <f t="shared" si="28"/>
        <v>Victoria LV AG v. 16.01.2020</v>
      </c>
      <c r="B295" s="591">
        <f>ROW()</f>
        <v>295</v>
      </c>
      <c r="C295" s="985" t="s">
        <v>1609</v>
      </c>
      <c r="D295" s="1146">
        <v>43846</v>
      </c>
      <c r="E295" s="617" t="s">
        <v>653</v>
      </c>
      <c r="F295" s="618"/>
      <c r="G295" s="615" t="str">
        <f t="shared" si="27"/>
        <v>TO ermöglicht: Tarifwechel; doppelten Kostenabzug;  Verzinsung zwischen EzE und RK geltend machen</v>
      </c>
      <c r="H295" s="397"/>
      <c r="K295" s="1144">
        <v>1</v>
      </c>
      <c r="L295" s="1144">
        <v>2</v>
      </c>
      <c r="M295" s="1144"/>
      <c r="N295" s="1144">
        <v>4</v>
      </c>
      <c r="P295" s="140"/>
    </row>
    <row r="296" spans="1:16" ht="45">
      <c r="A296" s="591" t="str">
        <f t="shared" si="28"/>
        <v>Vodafone v. 01.04.2019</v>
      </c>
      <c r="B296" s="591">
        <f>ROW()</f>
        <v>296</v>
      </c>
      <c r="C296" s="616" t="s">
        <v>1041</v>
      </c>
      <c r="D296" s="1146">
        <v>43556</v>
      </c>
      <c r="F296" s="618" t="str">
        <f t="shared" si="29"/>
        <v/>
      </c>
      <c r="G296" s="615" t="str">
        <f t="shared" si="27"/>
        <v>TO ermöglicht: doppelten Kostenabzug;  Abweichungen vom gerichtl. festgelegten Ausgleichswert;  Verzinsung zwischen EzE und RK geltend machen</v>
      </c>
      <c r="H296" s="397"/>
      <c r="J296" s="760"/>
      <c r="K296" s="1144"/>
      <c r="L296" s="1144">
        <v>2</v>
      </c>
      <c r="M296" s="1144">
        <v>3</v>
      </c>
      <c r="N296" s="1144">
        <v>4</v>
      </c>
      <c r="P296" s="140">
        <f t="shared" si="24"/>
        <v>9</v>
      </c>
    </row>
    <row r="297" spans="1:16" ht="45">
      <c r="A297" s="591" t="str">
        <f t="shared" si="28"/>
        <v>VolkswohlBund</v>
      </c>
      <c r="B297" s="591">
        <f>ROW()</f>
        <v>297</v>
      </c>
      <c r="C297" s="616" t="s">
        <v>758</v>
      </c>
      <c r="E297" s="617" t="s">
        <v>699</v>
      </c>
      <c r="F297" s="618" t="str">
        <f t="shared" si="29"/>
        <v>Ja</v>
      </c>
      <c r="G297" s="615" t="str">
        <f t="shared" si="27"/>
        <v>TO ermöglicht: Tarifwechel; doppelten Kostenabzug;  Abweichungen vom gerichtl. festgelegten Ausgleichswert;  Verzinsung zwischen EzE und RK geltend machen</v>
      </c>
      <c r="H297" s="397"/>
      <c r="J297" s="760"/>
      <c r="K297" s="1144">
        <v>1</v>
      </c>
      <c r="L297" s="1144">
        <v>2</v>
      </c>
      <c r="M297" s="1144">
        <v>3</v>
      </c>
      <c r="N297" s="1144">
        <v>4</v>
      </c>
      <c r="O297" s="765" t="s">
        <v>700</v>
      </c>
      <c r="P297" s="140">
        <f t="shared" si="24"/>
        <v>10</v>
      </c>
    </row>
    <row r="298" spans="1:16" ht="22.5">
      <c r="A298" s="591" t="str">
        <f t="shared" si="28"/>
        <v>Vorwerk v. 04.07.1905</v>
      </c>
      <c r="B298" s="591">
        <f>ROW()</f>
        <v>298</v>
      </c>
      <c r="C298" s="616" t="s">
        <v>1897</v>
      </c>
      <c r="D298" s="1975" t="s">
        <v>1898</v>
      </c>
      <c r="E298" s="617" t="s">
        <v>1899</v>
      </c>
      <c r="F298" s="618"/>
      <c r="G298" s="615" t="str">
        <f t="shared" si="27"/>
        <v>TO ermöglicht:  Verzinsung zwischen EzE und RK geltend machen</v>
      </c>
      <c r="H298" s="397"/>
      <c r="I298" s="615" t="s">
        <v>1900</v>
      </c>
      <c r="J298" s="760"/>
      <c r="K298" s="1144"/>
      <c r="L298" s="1144"/>
      <c r="M298" s="1144"/>
      <c r="N298" s="1144">
        <v>4</v>
      </c>
      <c r="O298" s="765"/>
      <c r="P298" s="140"/>
    </row>
    <row r="299" spans="1:16" ht="45">
      <c r="A299" s="591" t="str">
        <f t="shared" si="28"/>
        <v>VPV Allgemeine Versicherungs AG  v. 11.07.2022</v>
      </c>
      <c r="B299" s="591">
        <f>ROW()</f>
        <v>299</v>
      </c>
      <c r="C299" s="616" t="s">
        <v>962</v>
      </c>
      <c r="D299" s="1146">
        <v>44753</v>
      </c>
      <c r="E299" s="617" t="s">
        <v>965</v>
      </c>
      <c r="F299" s="618" t="str">
        <f t="shared" si="29"/>
        <v>Ja</v>
      </c>
      <c r="G299" s="615" t="str">
        <f t="shared" si="27"/>
        <v>TO ermöglicht: Tarifwechel; doppelten Kostenabzug;  Abweichungen vom gerichtl. festgelegten Ausgleichswert;  Verzinsung zwischen EzE und RK geltend machen</v>
      </c>
      <c r="H299" s="397"/>
      <c r="K299" s="1144">
        <v>1</v>
      </c>
      <c r="L299" s="1144">
        <v>2</v>
      </c>
      <c r="M299" s="1144">
        <v>3</v>
      </c>
      <c r="N299" s="1144">
        <v>4</v>
      </c>
      <c r="P299" s="140">
        <f t="shared" si="24"/>
        <v>10</v>
      </c>
    </row>
    <row r="300" spans="1:16" ht="45">
      <c r="A300" s="591" t="str">
        <f t="shared" si="28"/>
        <v>VPV Allgemeine Versicherungs AG für Direktversicherungen v. 11.07.2022</v>
      </c>
      <c r="B300" s="591">
        <f>ROW()</f>
        <v>300</v>
      </c>
      <c r="C300" s="616" t="s">
        <v>959</v>
      </c>
      <c r="D300" s="1146">
        <v>44753</v>
      </c>
      <c r="E300" s="617" t="s">
        <v>957</v>
      </c>
      <c r="F300" s="618" t="str">
        <f t="shared" si="29"/>
        <v>Ja</v>
      </c>
      <c r="G300" s="615" t="str">
        <f t="shared" si="27"/>
        <v>TO ermöglicht: Tarifwechel; doppelten Kostenabzug;  Abweichungen vom gerichtl. festgelegten Ausgleichswert;  Verzinsung zwischen EzE und RK geltend machen</v>
      </c>
      <c r="H300" s="397"/>
      <c r="J300" s="760"/>
      <c r="K300" s="1144">
        <v>1</v>
      </c>
      <c r="L300" s="1144">
        <v>2</v>
      </c>
      <c r="M300" s="1144">
        <v>3</v>
      </c>
      <c r="N300" s="1144">
        <v>4</v>
      </c>
      <c r="P300" s="140">
        <f t="shared" si="24"/>
        <v>10</v>
      </c>
    </row>
    <row r="301" spans="1:16" ht="45">
      <c r="A301" s="591" t="str">
        <f t="shared" si="28"/>
        <v>VPV Lebensversicherungs AG  v. 11.07.2022</v>
      </c>
      <c r="B301" s="591">
        <f>ROW()</f>
        <v>301</v>
      </c>
      <c r="C301" s="616" t="s">
        <v>961</v>
      </c>
      <c r="D301" s="1146">
        <v>44753</v>
      </c>
      <c r="E301" s="617" t="s">
        <v>964</v>
      </c>
      <c r="F301" s="618" t="str">
        <f t="shared" si="29"/>
        <v>Ja</v>
      </c>
      <c r="G301" s="615" t="str">
        <f t="shared" si="27"/>
        <v>TO ermöglicht: Tarifwechel; doppelten Kostenabzug;  Abweichungen vom gerichtl. festgelegten Ausgleichswert;  Verzinsung zwischen EzE und RK geltend machen</v>
      </c>
      <c r="H301" s="397"/>
      <c r="K301" s="1144">
        <v>1</v>
      </c>
      <c r="L301" s="1144">
        <v>2</v>
      </c>
      <c r="M301" s="1144">
        <v>3</v>
      </c>
      <c r="N301" s="1144">
        <v>4</v>
      </c>
      <c r="P301" s="140">
        <f t="shared" si="24"/>
        <v>10</v>
      </c>
    </row>
    <row r="302" spans="1:16" ht="45">
      <c r="A302" s="591" t="str">
        <f t="shared" si="28"/>
        <v>VPV Lebensversicherungs AG für Direktversicherungen v. 11.07.2022</v>
      </c>
      <c r="B302" s="591">
        <f>ROW()</f>
        <v>302</v>
      </c>
      <c r="C302" s="616" t="s">
        <v>958</v>
      </c>
      <c r="D302" s="1146">
        <v>44753</v>
      </c>
      <c r="E302" s="617" t="s">
        <v>957</v>
      </c>
      <c r="F302" s="618" t="str">
        <f t="shared" si="29"/>
        <v>Ja</v>
      </c>
      <c r="G302" s="615" t="str">
        <f t="shared" si="27"/>
        <v>TO ermöglicht: Tarifwechel; doppelten Kostenabzug;  Abweichungen vom gerichtl. festgelegten Ausgleichswert;  Verzinsung zwischen EzE und RK geltend machen</v>
      </c>
      <c r="H302" s="397"/>
      <c r="K302" s="1144">
        <v>1</v>
      </c>
      <c r="L302" s="1144">
        <v>2</v>
      </c>
      <c r="M302" s="1144">
        <v>3</v>
      </c>
      <c r="N302" s="1144">
        <v>4</v>
      </c>
      <c r="P302" s="140">
        <f t="shared" si="24"/>
        <v>10</v>
      </c>
    </row>
    <row r="303" spans="1:16" ht="45">
      <c r="A303" s="591" t="str">
        <f t="shared" si="28"/>
        <v>VRK Lebensversicherung v. 01.01.2015</v>
      </c>
      <c r="B303" s="591">
        <f>ROW()</f>
        <v>303</v>
      </c>
      <c r="C303" s="616" t="s">
        <v>1162</v>
      </c>
      <c r="D303" s="1146">
        <v>42005</v>
      </c>
      <c r="E303" s="617" t="s">
        <v>1163</v>
      </c>
      <c r="F303" s="618" t="str">
        <f t="shared" si="29"/>
        <v>Ja</v>
      </c>
      <c r="G303" s="615" t="str">
        <f t="shared" si="27"/>
        <v>TO ermöglicht: Tarifwechel; doppelten Kostenabzug;  Abweichungen vom gerichtl. festgelegten Ausgleichswert;  Verzinsung zwischen EzE und RK geltend machen</v>
      </c>
      <c r="H303" s="397"/>
      <c r="K303" s="1144">
        <v>1</v>
      </c>
      <c r="L303" s="1144">
        <v>2</v>
      </c>
      <c r="M303" s="1144">
        <v>3</v>
      </c>
      <c r="N303" s="1144">
        <v>4</v>
      </c>
      <c r="P303" s="140">
        <f t="shared" si="24"/>
        <v>10</v>
      </c>
    </row>
    <row r="304" spans="1:16">
      <c r="A304" s="591" t="str">
        <f t="shared" si="28"/>
        <v>VW  v. 01.12.2017</v>
      </c>
      <c r="B304" s="591">
        <f>ROW()</f>
        <v>304</v>
      </c>
      <c r="C304" s="616" t="s">
        <v>1004</v>
      </c>
      <c r="D304" s="1146">
        <v>43070</v>
      </c>
      <c r="F304" s="618" t="str">
        <f t="shared" si="29"/>
        <v/>
      </c>
      <c r="G304" s="615" t="str">
        <f t="shared" si="27"/>
        <v/>
      </c>
      <c r="H304" s="397"/>
      <c r="K304" s="1144"/>
      <c r="L304" s="1144"/>
      <c r="M304" s="1144"/>
      <c r="N304" s="1144"/>
      <c r="P304" s="140">
        <f t="shared" si="24"/>
        <v>0</v>
      </c>
    </row>
    <row r="305" spans="1:16" ht="22.5">
      <c r="A305" s="591" t="str">
        <f t="shared" si="28"/>
        <v>Vorwerk &amp; Co.KG v. 31.08.2012</v>
      </c>
      <c r="B305" s="591">
        <f>ROW()</f>
        <v>305</v>
      </c>
      <c r="C305" s="616" t="s">
        <v>1887</v>
      </c>
      <c r="D305" s="1146">
        <v>41152</v>
      </c>
      <c r="E305" s="617" t="s">
        <v>1888</v>
      </c>
      <c r="F305" s="618"/>
      <c r="G305" s="615" t="str">
        <f t="shared" si="27"/>
        <v>TO ermöglicht: doppelten Kostenabzug;  Verzinsung zwischen EzE und RK geltend machen</v>
      </c>
      <c r="H305" s="397"/>
      <c r="K305" s="1144"/>
      <c r="L305" s="1144">
        <v>2</v>
      </c>
      <c r="M305" s="1144"/>
      <c r="N305" s="1144">
        <v>4</v>
      </c>
      <c r="P305" s="140"/>
    </row>
    <row r="306" spans="1:16">
      <c r="A306" s="591" t="str">
        <f t="shared" si="28"/>
        <v>WDR TO  v. 01.03.2022</v>
      </c>
      <c r="B306" s="591">
        <f>ROW()</f>
        <v>306</v>
      </c>
      <c r="C306" s="616" t="s">
        <v>1099</v>
      </c>
      <c r="D306" s="1146">
        <v>44621</v>
      </c>
      <c r="F306" s="618" t="str">
        <f t="shared" si="29"/>
        <v/>
      </c>
      <c r="G306" s="615" t="str">
        <f t="shared" si="27"/>
        <v xml:space="preserve">TO ermöglicht: doppelten Kostenabzug; </v>
      </c>
      <c r="H306" s="397"/>
      <c r="K306" s="1144"/>
      <c r="L306" s="1144">
        <v>2</v>
      </c>
      <c r="M306" s="1144"/>
      <c r="N306" s="1144"/>
      <c r="P306" s="140">
        <f t="shared" si="24"/>
        <v>2</v>
      </c>
    </row>
    <row r="307" spans="1:16" ht="33.75">
      <c r="A307" s="591" t="str">
        <f t="shared" si="28"/>
        <v>Westdeutscher Rundfunk Tarifvertrag v. 05.12.2009</v>
      </c>
      <c r="B307" s="591">
        <f>ROW()</f>
        <v>307</v>
      </c>
      <c r="C307" s="616" t="s">
        <v>942</v>
      </c>
      <c r="D307" s="1146">
        <v>40152</v>
      </c>
      <c r="F307" s="618" t="str">
        <f t="shared" si="29"/>
        <v/>
      </c>
      <c r="G307" s="615" t="str">
        <f t="shared" si="27"/>
        <v>TO ermöglicht:  Abweichungen vom gerichtl. festgelegten Ausgleichswert;  Verzinsung zwischen EzE und RK geltend machen</v>
      </c>
      <c r="H307" s="397"/>
      <c r="K307" s="1144"/>
      <c r="L307" s="1144"/>
      <c r="M307" s="1144">
        <v>3</v>
      </c>
      <c r="N307" s="1144">
        <v>4</v>
      </c>
      <c r="P307" s="140">
        <f t="shared" si="24"/>
        <v>7</v>
      </c>
    </row>
    <row r="308" spans="1:16" ht="25.5">
      <c r="A308" s="591" t="str">
        <f t="shared" si="28"/>
        <v>Württembergische Lebensversicherung AG v. 01.07.2020</v>
      </c>
      <c r="B308" s="591">
        <f>ROW()</f>
        <v>308</v>
      </c>
      <c r="C308" s="616" t="s">
        <v>1526</v>
      </c>
      <c r="D308" s="1146">
        <v>44013</v>
      </c>
      <c r="E308" s="617" t="s">
        <v>653</v>
      </c>
      <c r="F308" s="618"/>
      <c r="G308" s="615" t="str">
        <f t="shared" si="27"/>
        <v>TO ermöglicht: doppelten Kostenabzug;  Verzinsung zwischen EzE und RK geltend machen</v>
      </c>
      <c r="H308" s="397"/>
      <c r="K308" s="1144"/>
      <c r="L308" s="1144">
        <v>2</v>
      </c>
      <c r="M308" s="1144"/>
      <c r="N308" s="1144">
        <v>4</v>
      </c>
      <c r="P308" s="140"/>
    </row>
    <row r="309" spans="1:16" ht="45">
      <c r="A309" s="591" t="str">
        <f t="shared" si="28"/>
        <v>Wüstenrot &amp; Württembergische DC Pensionszusagen durch Gehaltsumwandlung v. ohne Datum</v>
      </c>
      <c r="B309" s="591">
        <f>ROW()</f>
        <v>309</v>
      </c>
      <c r="C309" s="616" t="s">
        <v>1187</v>
      </c>
      <c r="D309" s="1146" t="s">
        <v>1076</v>
      </c>
      <c r="E309" s="617">
        <v>5</v>
      </c>
      <c r="F309" s="618" t="str">
        <f t="shared" si="29"/>
        <v/>
      </c>
      <c r="G309" s="615" t="str">
        <f t="shared" si="27"/>
        <v>TO ermöglicht: doppelten Kostenabzug;  Abweichungen vom gerichtl. festgelegten Ausgleichswert;  Verzinsung zwischen EzE und RK geltend machen</v>
      </c>
      <c r="H309" s="397"/>
      <c r="K309" s="1144"/>
      <c r="L309" s="1144">
        <v>2</v>
      </c>
      <c r="M309" s="1144">
        <v>3</v>
      </c>
      <c r="N309" s="1144">
        <v>4</v>
      </c>
      <c r="P309" s="140">
        <f t="shared" si="24"/>
        <v>9</v>
      </c>
    </row>
    <row r="310" spans="1:16" ht="45">
      <c r="A310" s="591" t="str">
        <f t="shared" si="28"/>
        <v>Wüstenrot &amp; Württembergische Pensionskasse v. ohne Datum</v>
      </c>
      <c r="B310" s="591">
        <f>ROW()</f>
        <v>310</v>
      </c>
      <c r="C310" s="616" t="s">
        <v>1189</v>
      </c>
      <c r="D310" s="1146" t="s">
        <v>1076</v>
      </c>
      <c r="E310" s="617" t="s">
        <v>1186</v>
      </c>
      <c r="F310" s="618" t="str">
        <f t="shared" si="29"/>
        <v>Ja</v>
      </c>
      <c r="G310" s="615" t="str">
        <f t="shared" si="27"/>
        <v>TO ermöglicht: Tarifwechel; doppelten Kostenabzug;  Abweichungen vom gerichtl. festgelegten Ausgleichswert;  Verzinsung zwischen EzE und RK geltend machen</v>
      </c>
      <c r="H310" s="397"/>
      <c r="K310" s="1144">
        <v>1</v>
      </c>
      <c r="L310" s="1144">
        <v>2</v>
      </c>
      <c r="M310" s="1144">
        <v>3</v>
      </c>
      <c r="N310" s="1144">
        <v>4</v>
      </c>
      <c r="P310" s="140">
        <f t="shared" si="24"/>
        <v>10</v>
      </c>
    </row>
    <row r="311" spans="1:16" ht="45">
      <c r="A311" s="591" t="str">
        <f t="shared" si="28"/>
        <v>Wüstenrot &amp; Württembergische Pensionszusage LHB v. ohne Datum</v>
      </c>
      <c r="B311" s="591">
        <f>ROW()</f>
        <v>311</v>
      </c>
      <c r="C311" s="616" t="s">
        <v>1188</v>
      </c>
      <c r="D311" s="1146" t="s">
        <v>1076</v>
      </c>
      <c r="E311" s="617">
        <v>5</v>
      </c>
      <c r="F311" s="618" t="str">
        <f t="shared" si="29"/>
        <v/>
      </c>
      <c r="G311" s="615" t="str">
        <f t="shared" si="27"/>
        <v>TO ermöglicht: doppelten Kostenabzug;  Abweichungen vom gerichtl. festgelegten Ausgleichswert;  Verzinsung zwischen EzE und RK geltend machen</v>
      </c>
      <c r="H311" s="397"/>
      <c r="K311" s="1144"/>
      <c r="L311" s="1144">
        <v>2</v>
      </c>
      <c r="M311" s="1144">
        <v>3</v>
      </c>
      <c r="N311" s="1144">
        <v>4</v>
      </c>
      <c r="P311" s="140">
        <f t="shared" si="24"/>
        <v>9</v>
      </c>
    </row>
    <row r="312" spans="1:16" ht="45">
      <c r="A312" s="591" t="str">
        <f t="shared" si="28"/>
        <v>WWK v. 01.08.2014</v>
      </c>
      <c r="B312" s="591">
        <f>ROW()</f>
        <v>312</v>
      </c>
      <c r="C312" s="616" t="s">
        <v>1012</v>
      </c>
      <c r="D312" s="1146">
        <v>41852</v>
      </c>
      <c r="E312" s="617" t="s">
        <v>1011</v>
      </c>
      <c r="F312" s="618" t="str">
        <f t="shared" si="29"/>
        <v>Ja</v>
      </c>
      <c r="G312" s="615" t="str">
        <f t="shared" si="27"/>
        <v>TO ermöglicht: Tarifwechel; doppelten Kostenabzug;  Abweichungen vom gerichtl. festgelegten Ausgleichswert;  Verzinsung zwischen EzE und RK geltend machen</v>
      </c>
      <c r="H312" s="397"/>
      <c r="K312" s="1144">
        <v>1</v>
      </c>
      <c r="L312" s="1144">
        <v>2</v>
      </c>
      <c r="M312" s="1144">
        <v>3</v>
      </c>
      <c r="N312" s="1144">
        <v>4</v>
      </c>
      <c r="P312" s="140">
        <f t="shared" si="24"/>
        <v>10</v>
      </c>
    </row>
    <row r="313" spans="1:16" ht="22.5">
      <c r="A313" s="591" t="str">
        <f t="shared" si="28"/>
        <v>ZF Friedrichshafen ZF-Rente v. 02.11.2010</v>
      </c>
      <c r="B313" s="591">
        <f>ROW()</f>
        <v>313</v>
      </c>
      <c r="C313" s="616" t="s">
        <v>1229</v>
      </c>
      <c r="D313" s="1146">
        <v>40484</v>
      </c>
      <c r="E313" s="617" t="s">
        <v>196</v>
      </c>
      <c r="F313" s="618" t="str">
        <f t="shared" si="29"/>
        <v/>
      </c>
      <c r="G313" s="615" t="str">
        <f t="shared" si="27"/>
        <v>TO ermöglicht: doppelten Kostenabzug;  Verzinsung zwischen EzE und RK geltend machen</v>
      </c>
      <c r="H313" s="397"/>
      <c r="K313" s="1144"/>
      <c r="L313" s="1144">
        <v>2</v>
      </c>
      <c r="M313" s="1144"/>
      <c r="N313" s="1144">
        <v>4</v>
      </c>
      <c r="P313" s="140">
        <f t="shared" si="24"/>
        <v>6</v>
      </c>
    </row>
    <row r="314" spans="1:16" ht="25.5">
      <c r="A314" s="591" t="str">
        <f t="shared" si="28"/>
        <v>ZF-MP Altersversorgung e.V. beitragsorientierte Versorgungezusage v. 01.06.2011</v>
      </c>
      <c r="B314" s="591">
        <f>ROW()</f>
        <v>314</v>
      </c>
      <c r="C314" s="616" t="s">
        <v>1230</v>
      </c>
      <c r="D314" s="1146">
        <v>40695</v>
      </c>
      <c r="E314" s="617" t="s">
        <v>195</v>
      </c>
      <c r="F314" s="618" t="str">
        <f t="shared" si="29"/>
        <v/>
      </c>
      <c r="G314" s="615" t="str">
        <f t="shared" si="27"/>
        <v xml:space="preserve">TO ermöglicht: doppelten Kostenabzug; </v>
      </c>
      <c r="H314" s="397"/>
      <c r="K314" s="1144"/>
      <c r="L314" s="1144">
        <v>2</v>
      </c>
      <c r="M314" s="1144"/>
      <c r="N314" s="1144"/>
      <c r="P314" s="140">
        <f t="shared" si="24"/>
        <v>2</v>
      </c>
    </row>
    <row r="315" spans="1:16" ht="45">
      <c r="A315" s="591" t="str">
        <f t="shared" si="28"/>
        <v>Zurich  v. 01.02.2013</v>
      </c>
      <c r="B315" s="591">
        <f>ROW()</f>
        <v>315</v>
      </c>
      <c r="C315" s="616" t="s">
        <v>1307</v>
      </c>
      <c r="D315" s="1146">
        <v>41306</v>
      </c>
      <c r="E315" s="617">
        <v>5</v>
      </c>
      <c r="F315" s="618" t="str">
        <f t="shared" si="29"/>
        <v/>
      </c>
      <c r="G315" s="615" t="str">
        <f t="shared" si="27"/>
        <v>TO ermöglicht: doppelten Kostenabzug;  Abweichungen vom gerichtl. festgelegten Ausgleichswert;  Verzinsung zwischen EzE und RK geltend machen</v>
      </c>
      <c r="H315" s="397"/>
      <c r="K315" s="1144"/>
      <c r="L315" s="1144">
        <v>2</v>
      </c>
      <c r="M315" s="1144">
        <v>3</v>
      </c>
      <c r="N315" s="1144">
        <v>4</v>
      </c>
      <c r="P315" s="140">
        <f t="shared" si="24"/>
        <v>9</v>
      </c>
    </row>
    <row r="316" spans="1:16" ht="25.5">
      <c r="A316" s="591" t="str">
        <f t="shared" si="28"/>
        <v>Zurich Deutsche Herold Unterstützungskasse v. 19.05.2016</v>
      </c>
      <c r="B316" s="591">
        <f>ROW()</f>
        <v>316</v>
      </c>
      <c r="C316" s="616" t="s">
        <v>1228</v>
      </c>
      <c r="D316" s="1146">
        <v>42509</v>
      </c>
      <c r="E316" s="617" t="s">
        <v>1202</v>
      </c>
      <c r="F316" s="618" t="str">
        <f t="shared" si="29"/>
        <v>Ja</v>
      </c>
      <c r="G316" s="615" t="str">
        <f t="shared" si="27"/>
        <v>TO ermöglicht: Tarifwechel; doppelten Kostenabzug;  Verzinsung zwischen EzE und RK geltend machen</v>
      </c>
      <c r="H316" s="397"/>
      <c r="K316" s="1144">
        <v>1</v>
      </c>
      <c r="L316" s="1144">
        <v>2</v>
      </c>
      <c r="M316" s="1144"/>
      <c r="N316" s="1144">
        <v>4</v>
      </c>
      <c r="P316" s="140">
        <f t="shared" si="24"/>
        <v>7</v>
      </c>
    </row>
    <row r="317" spans="1:16" ht="45">
      <c r="A317" s="591" t="str">
        <f t="shared" si="28"/>
        <v>Zurich Deutscher Herold v. 01.01.2015</v>
      </c>
      <c r="B317" s="591">
        <f>ROW()</f>
        <v>317</v>
      </c>
      <c r="C317" s="616" t="s">
        <v>709</v>
      </c>
      <c r="D317" s="1146">
        <v>42005</v>
      </c>
      <c r="E317" s="617" t="s">
        <v>725</v>
      </c>
      <c r="F317" s="618" t="str">
        <f t="shared" si="29"/>
        <v>Ja</v>
      </c>
      <c r="G317" s="615" t="str">
        <f t="shared" si="27"/>
        <v>TO ermöglicht: Tarifwechel; doppelten Kostenabzug;  Abweichungen vom gerichtl. festgelegten Ausgleichswert;  Verzinsung zwischen EzE und RK geltend machen</v>
      </c>
      <c r="H317" s="397"/>
      <c r="K317" s="1144">
        <v>1</v>
      </c>
      <c r="L317" s="1144">
        <v>2</v>
      </c>
      <c r="M317" s="1144">
        <v>3</v>
      </c>
      <c r="N317" s="1144">
        <v>4</v>
      </c>
      <c r="O317" s="765" t="s">
        <v>726</v>
      </c>
      <c r="P317" s="140">
        <f t="shared" si="24"/>
        <v>10</v>
      </c>
    </row>
    <row r="318" spans="1:16" ht="22.5">
      <c r="A318" s="591" t="str">
        <f t="shared" si="28"/>
        <v>Zurich Deutscher Herold v. 19.05.2016</v>
      </c>
      <c r="B318" s="591">
        <f>ROW()</f>
        <v>318</v>
      </c>
      <c r="C318" s="616" t="s">
        <v>709</v>
      </c>
      <c r="D318" s="1146">
        <v>42509</v>
      </c>
      <c r="E318" s="617" t="s">
        <v>710</v>
      </c>
      <c r="F318" s="618" t="str">
        <f t="shared" si="29"/>
        <v>Ja</v>
      </c>
      <c r="G318" s="615" t="str">
        <f t="shared" si="27"/>
        <v xml:space="preserve">TO ermöglicht: Tarifwechel; doppelten Kostenabzug; </v>
      </c>
      <c r="H318" s="397"/>
      <c r="K318" s="1144">
        <v>1</v>
      </c>
      <c r="L318" s="1144">
        <v>2</v>
      </c>
      <c r="M318" s="1144"/>
      <c r="N318" s="1144"/>
      <c r="O318" s="765" t="s">
        <v>711</v>
      </c>
      <c r="P318" s="140">
        <f t="shared" si="24"/>
        <v>3</v>
      </c>
    </row>
    <row r="319" spans="1:16" ht="22.5">
      <c r="A319" s="591" t="str">
        <f t="shared" si="28"/>
        <v>Zweite real SB Warenhaus GmbH v. 01.07.2012</v>
      </c>
      <c r="B319" s="591">
        <f>ROW()</f>
        <v>319</v>
      </c>
      <c r="C319" s="985" t="s">
        <v>1144</v>
      </c>
      <c r="D319" s="1146">
        <v>41091</v>
      </c>
      <c r="E319" s="617" t="s">
        <v>769</v>
      </c>
      <c r="F319" s="618" t="str">
        <f t="shared" si="29"/>
        <v>Ja</v>
      </c>
      <c r="G319" s="615" t="str">
        <f t="shared" si="27"/>
        <v xml:space="preserve">TO ermöglicht: Tarifwechel; </v>
      </c>
      <c r="H319" s="397"/>
      <c r="K319" s="1144">
        <v>1</v>
      </c>
      <c r="L319" s="1144"/>
      <c r="M319" s="1144"/>
      <c r="N319" s="1144"/>
      <c r="O319" s="765" t="s">
        <v>805</v>
      </c>
      <c r="P319" s="140">
        <f t="shared" si="24"/>
        <v>1</v>
      </c>
    </row>
    <row r="320" spans="1:16">
      <c r="A320" s="591" t="str">
        <f t="shared" si="28"/>
        <v/>
      </c>
      <c r="B320" s="591">
        <f>ROW()</f>
        <v>320</v>
      </c>
      <c r="F320" s="618" t="str">
        <f t="shared" si="29"/>
        <v/>
      </c>
      <c r="G320" s="615" t="str">
        <f t="shared" si="27"/>
        <v/>
      </c>
      <c r="H320" s="397"/>
      <c r="K320" s="1144"/>
      <c r="L320" s="1144"/>
      <c r="M320" s="1144"/>
      <c r="N320" s="1144"/>
      <c r="P320" s="140">
        <f t="shared" ref="P320:P341" si="30">SUM(K320:N320)</f>
        <v>0</v>
      </c>
    </row>
    <row r="321" spans="1:16">
      <c r="A321" s="591" t="str">
        <f t="shared" si="28"/>
        <v/>
      </c>
      <c r="B321" s="591">
        <f>ROW()</f>
        <v>321</v>
      </c>
      <c r="F321" s="618" t="str">
        <f t="shared" si="29"/>
        <v/>
      </c>
      <c r="G321" s="615" t="str">
        <f t="shared" ref="G321:G328" si="31">IF(SUM(K321:N321)=0,"","TO ermöglicht: "&amp;IF(K321&gt;0,"Tarifwechel; ","")&amp;IF(L321&gt;0,"doppelten Kostenabzug; ","")&amp;IF(M321&gt;0," Abweichungen vom gerichtl. festgelegten Ausgleichswert; ","")&amp;IF(N321&gt;0," Verzinsung zwischen EzE und RK geltend machen",""))</f>
        <v/>
      </c>
      <c r="H321" s="397"/>
      <c r="K321" s="1144"/>
      <c r="L321" s="1144"/>
      <c r="M321" s="1144"/>
      <c r="N321" s="1144"/>
      <c r="P321" s="140">
        <f t="shared" si="30"/>
        <v>0</v>
      </c>
    </row>
    <row r="322" spans="1:16">
      <c r="A322" s="591" t="str">
        <f t="shared" si="28"/>
        <v/>
      </c>
      <c r="B322" s="591">
        <f>ROW()</f>
        <v>322</v>
      </c>
      <c r="F322" s="618" t="str">
        <f t="shared" si="29"/>
        <v/>
      </c>
      <c r="G322" s="615" t="str">
        <f t="shared" si="31"/>
        <v/>
      </c>
      <c r="H322" s="397"/>
      <c r="K322" s="1144"/>
      <c r="L322" s="1144"/>
      <c r="M322" s="1144"/>
      <c r="N322" s="1144"/>
      <c r="P322" s="140">
        <f t="shared" si="30"/>
        <v>0</v>
      </c>
    </row>
    <row r="323" spans="1:16">
      <c r="A323" s="591" t="str">
        <f t="shared" si="28"/>
        <v/>
      </c>
      <c r="B323" s="591">
        <f>ROW()</f>
        <v>323</v>
      </c>
      <c r="F323" s="618" t="str">
        <f t="shared" si="29"/>
        <v/>
      </c>
      <c r="G323" s="615" t="str">
        <f t="shared" si="31"/>
        <v/>
      </c>
      <c r="H323" s="397"/>
      <c r="K323" s="1144"/>
      <c r="L323" s="1144"/>
      <c r="M323" s="1144"/>
      <c r="N323" s="1144"/>
      <c r="P323" s="140">
        <f t="shared" si="30"/>
        <v>0</v>
      </c>
    </row>
    <row r="324" spans="1:16">
      <c r="A324" s="591" t="str">
        <f t="shared" si="28"/>
        <v/>
      </c>
      <c r="B324" s="591">
        <f>ROW()</f>
        <v>324</v>
      </c>
      <c r="F324" s="618" t="str">
        <f t="shared" si="29"/>
        <v/>
      </c>
      <c r="G324" s="615" t="str">
        <f t="shared" si="31"/>
        <v/>
      </c>
      <c r="H324" s="397"/>
      <c r="K324" s="1144"/>
      <c r="L324" s="1144"/>
      <c r="M324" s="1144"/>
      <c r="N324" s="1144"/>
      <c r="P324" s="140">
        <f t="shared" si="30"/>
        <v>0</v>
      </c>
    </row>
    <row r="325" spans="1:16">
      <c r="A325" s="591" t="str">
        <f t="shared" si="28"/>
        <v/>
      </c>
      <c r="B325" s="591">
        <f>ROW()</f>
        <v>325</v>
      </c>
      <c r="F325" s="618" t="str">
        <f t="shared" si="29"/>
        <v/>
      </c>
      <c r="G325" s="615" t="str">
        <f t="shared" si="31"/>
        <v/>
      </c>
      <c r="H325" s="397"/>
      <c r="K325" s="1144"/>
      <c r="L325" s="1144"/>
      <c r="M325" s="1144"/>
      <c r="N325" s="1144"/>
      <c r="P325" s="140">
        <f t="shared" si="30"/>
        <v>0</v>
      </c>
    </row>
    <row r="326" spans="1:16">
      <c r="A326" s="591" t="str">
        <f t="shared" si="28"/>
        <v/>
      </c>
      <c r="B326" s="591">
        <f>ROW()</f>
        <v>326</v>
      </c>
      <c r="F326" s="618" t="str">
        <f t="shared" si="29"/>
        <v/>
      </c>
      <c r="G326" s="615" t="str">
        <f t="shared" si="31"/>
        <v/>
      </c>
      <c r="H326" s="397"/>
      <c r="K326" s="1144"/>
      <c r="L326" s="1144"/>
      <c r="M326" s="1144"/>
      <c r="N326" s="1144"/>
      <c r="P326" s="140">
        <f t="shared" si="30"/>
        <v>0</v>
      </c>
    </row>
    <row r="327" spans="1:16">
      <c r="A327" s="591" t="str">
        <f t="shared" si="28"/>
        <v/>
      </c>
      <c r="B327" s="591">
        <f>ROW()</f>
        <v>327</v>
      </c>
      <c r="F327" s="618" t="str">
        <f t="shared" si="29"/>
        <v/>
      </c>
      <c r="G327" s="615" t="str">
        <f t="shared" si="31"/>
        <v/>
      </c>
      <c r="H327" s="397"/>
      <c r="K327" s="1144"/>
      <c r="L327" s="1144"/>
      <c r="M327" s="1144"/>
      <c r="N327" s="1144"/>
      <c r="P327" s="140">
        <f t="shared" si="30"/>
        <v>0</v>
      </c>
    </row>
    <row r="328" spans="1:16">
      <c r="A328" s="591" t="str">
        <f t="shared" si="28"/>
        <v/>
      </c>
      <c r="B328" s="591">
        <f>ROW()</f>
        <v>328</v>
      </c>
      <c r="F328" s="618" t="str">
        <f t="shared" si="29"/>
        <v/>
      </c>
      <c r="G328" s="615" t="str">
        <f t="shared" si="31"/>
        <v/>
      </c>
      <c r="H328" s="397"/>
      <c r="K328" s="1144"/>
      <c r="L328" s="1144"/>
      <c r="M328" s="1144"/>
      <c r="N328" s="1144"/>
      <c r="P328" s="140">
        <f t="shared" si="30"/>
        <v>0</v>
      </c>
    </row>
    <row r="329" spans="1:16">
      <c r="A329" s="591" t="str">
        <f t="shared" si="28"/>
        <v/>
      </c>
      <c r="B329" s="591">
        <f>ROW()</f>
        <v>329</v>
      </c>
      <c r="F329" s="618" t="str">
        <f t="shared" si="29"/>
        <v/>
      </c>
      <c r="H329" s="397"/>
      <c r="K329" s="1144"/>
      <c r="L329" s="1144"/>
      <c r="M329" s="1144"/>
      <c r="N329" s="1144"/>
      <c r="P329" s="140">
        <f t="shared" si="30"/>
        <v>0</v>
      </c>
    </row>
    <row r="330" spans="1:16">
      <c r="A330" s="591" t="str">
        <f t="shared" si="28"/>
        <v/>
      </c>
      <c r="B330" s="591">
        <f>ROW()</f>
        <v>330</v>
      </c>
      <c r="F330" s="618" t="str">
        <f t="shared" si="29"/>
        <v/>
      </c>
      <c r="H330" s="397"/>
      <c r="K330" s="1144"/>
      <c r="L330" s="1144"/>
      <c r="M330" s="1144"/>
      <c r="N330" s="1144"/>
      <c r="P330" s="140">
        <f t="shared" si="30"/>
        <v>0</v>
      </c>
    </row>
    <row r="331" spans="1:16">
      <c r="A331" s="591" t="str">
        <f t="shared" si="28"/>
        <v/>
      </c>
      <c r="B331" s="591">
        <f>ROW()</f>
        <v>331</v>
      </c>
      <c r="F331" s="618" t="str">
        <f t="shared" si="29"/>
        <v/>
      </c>
      <c r="H331" s="397"/>
      <c r="K331" s="1144"/>
      <c r="L331" s="1144"/>
      <c r="M331" s="1144"/>
      <c r="N331" s="1144"/>
      <c r="P331" s="140">
        <f t="shared" si="30"/>
        <v>0</v>
      </c>
    </row>
    <row r="332" spans="1:16">
      <c r="A332" s="591" t="str">
        <f t="shared" si="28"/>
        <v/>
      </c>
      <c r="B332" s="591">
        <f>ROW()</f>
        <v>332</v>
      </c>
      <c r="F332" s="618" t="str">
        <f t="shared" si="29"/>
        <v/>
      </c>
      <c r="H332" s="397"/>
      <c r="K332" s="1144"/>
      <c r="L332" s="1144"/>
      <c r="M332" s="1144"/>
      <c r="N332" s="1144"/>
      <c r="P332" s="140">
        <f t="shared" si="30"/>
        <v>0</v>
      </c>
    </row>
    <row r="333" spans="1:16">
      <c r="A333" s="591" t="str">
        <f t="shared" si="28"/>
        <v/>
      </c>
      <c r="B333" s="591">
        <f>ROW()</f>
        <v>333</v>
      </c>
      <c r="F333" s="618" t="str">
        <f t="shared" si="29"/>
        <v/>
      </c>
      <c r="H333" s="397"/>
      <c r="K333" s="1144"/>
      <c r="L333" s="1144"/>
      <c r="M333" s="1144"/>
      <c r="N333" s="1144"/>
      <c r="P333" s="140">
        <f t="shared" si="30"/>
        <v>0</v>
      </c>
    </row>
    <row r="334" spans="1:16">
      <c r="A334" s="591" t="str">
        <f t="shared" si="28"/>
        <v/>
      </c>
      <c r="B334" s="591">
        <f>ROW()</f>
        <v>334</v>
      </c>
      <c r="F334" s="618" t="str">
        <f t="shared" si="29"/>
        <v/>
      </c>
      <c r="H334" s="397"/>
      <c r="K334" s="1144"/>
      <c r="L334" s="1144"/>
      <c r="M334" s="1144"/>
      <c r="N334" s="1144"/>
      <c r="P334" s="140">
        <f t="shared" si="30"/>
        <v>0</v>
      </c>
    </row>
    <row r="335" spans="1:16">
      <c r="A335" s="591" t="str">
        <f t="shared" si="28"/>
        <v/>
      </c>
      <c r="B335" s="591">
        <f>ROW()</f>
        <v>335</v>
      </c>
      <c r="F335" s="618" t="str">
        <f t="shared" si="29"/>
        <v/>
      </c>
      <c r="H335" s="397"/>
      <c r="K335" s="1144"/>
      <c r="L335" s="1144"/>
      <c r="M335" s="1144"/>
      <c r="N335" s="1144"/>
      <c r="P335" s="140">
        <f t="shared" si="30"/>
        <v>0</v>
      </c>
    </row>
    <row r="336" spans="1:16">
      <c r="A336" s="591" t="str">
        <f t="shared" si="28"/>
        <v/>
      </c>
      <c r="B336" s="591">
        <f>ROW()</f>
        <v>336</v>
      </c>
      <c r="F336" s="618" t="str">
        <f t="shared" si="29"/>
        <v/>
      </c>
      <c r="H336" s="397"/>
      <c r="K336" s="1144"/>
      <c r="L336" s="1144"/>
      <c r="M336" s="1144"/>
      <c r="N336" s="1144"/>
      <c r="P336" s="140">
        <f t="shared" si="30"/>
        <v>0</v>
      </c>
    </row>
    <row r="337" spans="1:16">
      <c r="A337" s="591" t="str">
        <f t="shared" si="28"/>
        <v/>
      </c>
      <c r="B337" s="591">
        <f>ROW()</f>
        <v>337</v>
      </c>
      <c r="F337" s="618" t="str">
        <f t="shared" si="29"/>
        <v/>
      </c>
      <c r="H337" s="397"/>
      <c r="K337" s="1144"/>
      <c r="L337" s="1144"/>
      <c r="M337" s="1144"/>
      <c r="N337" s="1144"/>
      <c r="P337" s="140">
        <f t="shared" si="30"/>
        <v>0</v>
      </c>
    </row>
    <row r="338" spans="1:16">
      <c r="A338" s="591" t="str">
        <f t="shared" si="28"/>
        <v/>
      </c>
      <c r="B338" s="591">
        <f>ROW()</f>
        <v>338</v>
      </c>
      <c r="F338" s="618" t="str">
        <f t="shared" si="29"/>
        <v/>
      </c>
      <c r="H338" s="397"/>
      <c r="K338" s="1144"/>
      <c r="L338" s="1144"/>
      <c r="M338" s="1144"/>
      <c r="N338" s="1144"/>
      <c r="P338" s="140">
        <f t="shared" si="30"/>
        <v>0</v>
      </c>
    </row>
    <row r="339" spans="1:16">
      <c r="A339" s="591" t="str">
        <f t="shared" si="28"/>
        <v/>
      </c>
      <c r="B339" s="591">
        <f>ROW()</f>
        <v>339</v>
      </c>
      <c r="F339" s="618" t="str">
        <f t="shared" si="29"/>
        <v/>
      </c>
      <c r="H339" s="397"/>
      <c r="K339" s="1144"/>
      <c r="L339" s="1144"/>
      <c r="M339" s="1144"/>
      <c r="N339" s="1144"/>
      <c r="P339" s="140">
        <f t="shared" si="30"/>
        <v>0</v>
      </c>
    </row>
    <row r="340" spans="1:16">
      <c r="A340" s="591" t="str">
        <f t="shared" si="28"/>
        <v/>
      </c>
      <c r="F340" s="618" t="str">
        <f t="shared" si="29"/>
        <v/>
      </c>
      <c r="H340" s="397"/>
      <c r="K340" s="1144"/>
      <c r="L340" s="1144"/>
      <c r="M340" s="1144"/>
      <c r="N340" s="1144"/>
      <c r="P340" s="140">
        <f t="shared" si="30"/>
        <v>0</v>
      </c>
    </row>
    <row r="341" spans="1:16">
      <c r="A341" s="591" t="str">
        <f t="shared" si="28"/>
        <v/>
      </c>
      <c r="F341" s="618" t="str">
        <f t="shared" si="29"/>
        <v/>
      </c>
      <c r="H341" s="397"/>
      <c r="K341" s="1144"/>
      <c r="L341" s="1144"/>
      <c r="M341" s="1144"/>
      <c r="N341" s="1144"/>
      <c r="P341" s="140">
        <f t="shared" si="30"/>
        <v>0</v>
      </c>
    </row>
    <row r="342" spans="1:16">
      <c r="A342" s="591" t="str">
        <f t="shared" si="28"/>
        <v/>
      </c>
      <c r="F342" s="618" t="str">
        <f t="shared" si="29"/>
        <v/>
      </c>
      <c r="H342" s="397"/>
      <c r="K342" s="1144"/>
      <c r="L342" s="1144"/>
      <c r="M342" s="1144"/>
      <c r="N342" s="1144"/>
    </row>
    <row r="343" spans="1:16">
      <c r="A343" s="591" t="str">
        <f t="shared" si="28"/>
        <v/>
      </c>
      <c r="F343" s="618" t="str">
        <f t="shared" si="29"/>
        <v/>
      </c>
      <c r="H343" s="397"/>
      <c r="K343" s="1144"/>
      <c r="L343" s="1144"/>
      <c r="M343" s="1144"/>
      <c r="N343" s="1144"/>
    </row>
    <row r="344" spans="1:16">
      <c r="A344" s="591" t="str">
        <f t="shared" si="28"/>
        <v/>
      </c>
      <c r="F344" s="618" t="str">
        <f t="shared" si="29"/>
        <v/>
      </c>
      <c r="H344" s="397"/>
      <c r="K344" s="1144"/>
      <c r="L344" s="1144"/>
      <c r="M344" s="1144"/>
      <c r="N344" s="1144"/>
    </row>
    <row r="345" spans="1:16">
      <c r="A345" s="591" t="str">
        <f t="shared" si="28"/>
        <v/>
      </c>
      <c r="F345" s="618" t="str">
        <f t="shared" si="29"/>
        <v/>
      </c>
      <c r="H345" s="397"/>
      <c r="K345" s="1144"/>
      <c r="L345" s="1144"/>
      <c r="M345" s="1144"/>
      <c r="N345" s="1144"/>
    </row>
    <row r="346" spans="1:16">
      <c r="A346" s="591" t="str">
        <f t="shared" si="28"/>
        <v/>
      </c>
      <c r="F346" s="618" t="str">
        <f t="shared" si="29"/>
        <v/>
      </c>
      <c r="H346" s="397"/>
      <c r="K346" s="1144"/>
      <c r="L346" s="1144"/>
      <c r="M346" s="1144"/>
      <c r="N346" s="1144"/>
    </row>
    <row r="347" spans="1:16">
      <c r="A347" s="591" t="str">
        <f t="shared" si="28"/>
        <v/>
      </c>
      <c r="F347" s="618" t="str">
        <f t="shared" si="29"/>
        <v/>
      </c>
      <c r="H347" s="397"/>
      <c r="K347" s="1144"/>
      <c r="L347" s="1144"/>
      <c r="M347" s="1144"/>
      <c r="N347" s="1144"/>
    </row>
    <row r="348" spans="1:16">
      <c r="A348" s="591" t="str">
        <f t="shared" si="28"/>
        <v/>
      </c>
      <c r="F348" s="618" t="str">
        <f t="shared" si="29"/>
        <v/>
      </c>
      <c r="H348" s="397"/>
      <c r="K348" s="1144"/>
      <c r="L348" s="1144"/>
      <c r="M348" s="1144"/>
      <c r="N348" s="1144"/>
    </row>
    <row r="349" spans="1:16">
      <c r="A349" s="591" t="str">
        <f t="shared" si="28"/>
        <v/>
      </c>
      <c r="F349" s="618" t="str">
        <f t="shared" si="29"/>
        <v/>
      </c>
      <c r="H349" s="397"/>
      <c r="K349" s="1144"/>
      <c r="L349" s="1144"/>
      <c r="M349" s="1144"/>
      <c r="N349" s="1144"/>
    </row>
    <row r="350" spans="1:16">
      <c r="A350" s="591" t="str">
        <f t="shared" si="28"/>
        <v/>
      </c>
      <c r="F350" s="618" t="str">
        <f t="shared" si="29"/>
        <v/>
      </c>
      <c r="H350" s="397"/>
      <c r="K350" s="1144"/>
      <c r="L350" s="1144"/>
      <c r="M350" s="1144"/>
      <c r="N350" s="1144"/>
    </row>
    <row r="351" spans="1:16">
      <c r="A351" s="591" t="str">
        <f t="shared" si="28"/>
        <v/>
      </c>
      <c r="F351" s="618" t="str">
        <f t="shared" si="29"/>
        <v/>
      </c>
      <c r="H351" s="397"/>
      <c r="K351" s="1144"/>
      <c r="L351" s="1144"/>
      <c r="M351" s="1144"/>
      <c r="N351" s="1144"/>
    </row>
    <row r="352" spans="1:16">
      <c r="A352" s="591" t="str">
        <f t="shared" si="28"/>
        <v/>
      </c>
      <c r="F352" s="618" t="str">
        <f t="shared" si="29"/>
        <v/>
      </c>
      <c r="H352" s="397"/>
      <c r="K352" s="1144"/>
      <c r="L352" s="1144"/>
      <c r="M352" s="1144"/>
      <c r="N352" s="1144"/>
    </row>
    <row r="353" spans="1:6">
      <c r="A353" s="591" t="str">
        <f t="shared" si="28"/>
        <v/>
      </c>
      <c r="F353" s="618" t="str">
        <f t="shared" si="29"/>
        <v/>
      </c>
    </row>
    <row r="354" spans="1:6">
      <c r="A354" s="591" t="str">
        <f t="shared" si="28"/>
        <v/>
      </c>
      <c r="F354" s="618" t="str">
        <f t="shared" si="29"/>
        <v/>
      </c>
    </row>
    <row r="355" spans="1:6">
      <c r="A355" s="591" t="str">
        <f t="shared" si="28"/>
        <v/>
      </c>
      <c r="F355" s="618" t="s">
        <v>465</v>
      </c>
    </row>
    <row r="356" spans="1:6">
      <c r="A356" s="591" t="str">
        <f t="shared" si="28"/>
        <v/>
      </c>
      <c r="F356" s="618" t="s">
        <v>465</v>
      </c>
    </row>
    <row r="357" spans="1:6">
      <c r="A357" s="591" t="str">
        <f t="shared" si="28"/>
        <v/>
      </c>
      <c r="F357" s="618" t="s">
        <v>465</v>
      </c>
    </row>
    <row r="358" spans="1:6">
      <c r="A358" s="591" t="str">
        <f t="shared" ref="A358:A421" si="32">C358&amp;IF(D358=0,""," v. "&amp;TEXT(D358,"TT.MM.JJJ"))</f>
        <v/>
      </c>
      <c r="F358" s="618" t="s">
        <v>465</v>
      </c>
    </row>
    <row r="359" spans="1:6">
      <c r="A359" s="591" t="str">
        <f t="shared" si="32"/>
        <v/>
      </c>
      <c r="F359" s="618" t="s">
        <v>465</v>
      </c>
    </row>
    <row r="360" spans="1:6">
      <c r="A360" s="591" t="str">
        <f t="shared" si="32"/>
        <v/>
      </c>
      <c r="F360" s="618" t="s">
        <v>465</v>
      </c>
    </row>
    <row r="361" spans="1:6">
      <c r="A361" s="591" t="str">
        <f t="shared" si="32"/>
        <v/>
      </c>
      <c r="F361" s="618" t="s">
        <v>465</v>
      </c>
    </row>
    <row r="362" spans="1:6">
      <c r="A362" s="591" t="str">
        <f t="shared" si="32"/>
        <v/>
      </c>
      <c r="F362" s="618" t="s">
        <v>465</v>
      </c>
    </row>
    <row r="363" spans="1:6">
      <c r="A363" s="591" t="str">
        <f t="shared" si="32"/>
        <v/>
      </c>
      <c r="F363" s="618" t="s">
        <v>465</v>
      </c>
    </row>
    <row r="364" spans="1:6">
      <c r="A364" s="591" t="str">
        <f t="shared" si="32"/>
        <v/>
      </c>
      <c r="F364" s="618" t="s">
        <v>465</v>
      </c>
    </row>
    <row r="365" spans="1:6">
      <c r="A365" s="591" t="str">
        <f t="shared" si="32"/>
        <v/>
      </c>
      <c r="F365" s="618" t="s">
        <v>465</v>
      </c>
    </row>
    <row r="366" spans="1:6">
      <c r="A366" s="591" t="str">
        <f t="shared" si="32"/>
        <v/>
      </c>
      <c r="F366" s="618" t="s">
        <v>465</v>
      </c>
    </row>
    <row r="367" spans="1:6">
      <c r="A367" s="591" t="str">
        <f t="shared" si="32"/>
        <v/>
      </c>
      <c r="F367" s="618" t="s">
        <v>465</v>
      </c>
    </row>
    <row r="368" spans="1:6">
      <c r="A368" s="591" t="str">
        <f t="shared" si="32"/>
        <v/>
      </c>
      <c r="F368" s="618" t="s">
        <v>465</v>
      </c>
    </row>
    <row r="369" spans="1:6">
      <c r="A369" s="591" t="str">
        <f t="shared" si="32"/>
        <v/>
      </c>
      <c r="F369" s="618" t="s">
        <v>465</v>
      </c>
    </row>
    <row r="370" spans="1:6">
      <c r="A370" s="591" t="str">
        <f t="shared" si="32"/>
        <v/>
      </c>
      <c r="F370" s="618" t="s">
        <v>465</v>
      </c>
    </row>
    <row r="371" spans="1:6">
      <c r="A371" s="591" t="str">
        <f t="shared" si="32"/>
        <v/>
      </c>
      <c r="F371" s="618" t="s">
        <v>465</v>
      </c>
    </row>
    <row r="372" spans="1:6">
      <c r="A372" s="591" t="str">
        <f t="shared" si="32"/>
        <v/>
      </c>
      <c r="F372" s="618" t="s">
        <v>465</v>
      </c>
    </row>
    <row r="373" spans="1:6">
      <c r="A373" s="591" t="str">
        <f t="shared" si="32"/>
        <v/>
      </c>
      <c r="F373" s="618" t="s">
        <v>465</v>
      </c>
    </row>
    <row r="374" spans="1:6">
      <c r="A374" s="591" t="str">
        <f t="shared" si="32"/>
        <v/>
      </c>
      <c r="F374" s="618" t="s">
        <v>465</v>
      </c>
    </row>
    <row r="375" spans="1:6">
      <c r="A375" s="591" t="str">
        <f t="shared" si="32"/>
        <v/>
      </c>
      <c r="F375" s="618" t="s">
        <v>465</v>
      </c>
    </row>
    <row r="376" spans="1:6">
      <c r="A376" s="591" t="str">
        <f t="shared" si="32"/>
        <v/>
      </c>
      <c r="F376" s="618" t="s">
        <v>465</v>
      </c>
    </row>
    <row r="377" spans="1:6">
      <c r="A377" s="591" t="str">
        <f t="shared" si="32"/>
        <v/>
      </c>
      <c r="F377" s="618" t="s">
        <v>465</v>
      </c>
    </row>
    <row r="378" spans="1:6">
      <c r="A378" s="591" t="str">
        <f t="shared" si="32"/>
        <v/>
      </c>
      <c r="F378" s="618" t="s">
        <v>465</v>
      </c>
    </row>
    <row r="379" spans="1:6">
      <c r="A379" s="591" t="str">
        <f t="shared" si="32"/>
        <v/>
      </c>
      <c r="F379" s="618" t="s">
        <v>465</v>
      </c>
    </row>
    <row r="380" spans="1:6">
      <c r="A380" s="591" t="str">
        <f t="shared" si="32"/>
        <v/>
      </c>
      <c r="F380" s="618" t="s">
        <v>465</v>
      </c>
    </row>
    <row r="381" spans="1:6">
      <c r="A381" s="591" t="str">
        <f t="shared" si="32"/>
        <v/>
      </c>
      <c r="F381" s="618" t="s">
        <v>465</v>
      </c>
    </row>
    <row r="382" spans="1:6">
      <c r="A382" s="591" t="str">
        <f t="shared" si="32"/>
        <v/>
      </c>
      <c r="F382" s="618" t="s">
        <v>465</v>
      </c>
    </row>
    <row r="383" spans="1:6">
      <c r="A383" s="591" t="str">
        <f t="shared" si="32"/>
        <v/>
      </c>
      <c r="F383" s="618" t="s">
        <v>465</v>
      </c>
    </row>
    <row r="384" spans="1:6">
      <c r="A384" s="591" t="str">
        <f t="shared" si="32"/>
        <v/>
      </c>
      <c r="F384" s="618" t="s">
        <v>465</v>
      </c>
    </row>
    <row r="385" spans="1:6">
      <c r="A385" s="591" t="str">
        <f t="shared" si="32"/>
        <v/>
      </c>
      <c r="F385" s="618" t="s">
        <v>465</v>
      </c>
    </row>
    <row r="386" spans="1:6">
      <c r="A386" s="591" t="str">
        <f t="shared" si="32"/>
        <v/>
      </c>
      <c r="F386" s="618" t="s">
        <v>465</v>
      </c>
    </row>
    <row r="387" spans="1:6">
      <c r="A387" s="591" t="str">
        <f t="shared" si="32"/>
        <v/>
      </c>
      <c r="F387" s="618" t="s">
        <v>465</v>
      </c>
    </row>
    <row r="388" spans="1:6">
      <c r="A388" s="591" t="str">
        <f t="shared" si="32"/>
        <v/>
      </c>
      <c r="F388" s="618" t="s">
        <v>465</v>
      </c>
    </row>
    <row r="389" spans="1:6">
      <c r="A389" s="591" t="str">
        <f t="shared" si="32"/>
        <v/>
      </c>
      <c r="F389" s="618" t="s">
        <v>465</v>
      </c>
    </row>
    <row r="390" spans="1:6">
      <c r="A390" s="591" t="str">
        <f t="shared" si="32"/>
        <v/>
      </c>
      <c r="F390" s="618" t="s">
        <v>465</v>
      </c>
    </row>
    <row r="391" spans="1:6">
      <c r="A391" s="591" t="str">
        <f t="shared" si="32"/>
        <v/>
      </c>
      <c r="F391" s="618" t="s">
        <v>465</v>
      </c>
    </row>
    <row r="392" spans="1:6">
      <c r="A392" s="591" t="str">
        <f t="shared" si="32"/>
        <v/>
      </c>
      <c r="F392" s="618" t="s">
        <v>465</v>
      </c>
    </row>
    <row r="393" spans="1:6">
      <c r="A393" s="591" t="str">
        <f t="shared" si="32"/>
        <v/>
      </c>
      <c r="F393" s="618" t="s">
        <v>465</v>
      </c>
    </row>
    <row r="394" spans="1:6">
      <c r="A394" s="591" t="str">
        <f t="shared" si="32"/>
        <v/>
      </c>
      <c r="F394" s="618" t="s">
        <v>465</v>
      </c>
    </row>
    <row r="395" spans="1:6">
      <c r="A395" s="591" t="str">
        <f t="shared" si="32"/>
        <v/>
      </c>
      <c r="F395" s="618" t="s">
        <v>465</v>
      </c>
    </row>
    <row r="396" spans="1:6">
      <c r="A396" s="591" t="str">
        <f t="shared" si="32"/>
        <v/>
      </c>
      <c r="F396" s="618" t="s">
        <v>465</v>
      </c>
    </row>
    <row r="397" spans="1:6">
      <c r="A397" s="591" t="str">
        <f t="shared" si="32"/>
        <v/>
      </c>
      <c r="F397" s="618" t="s">
        <v>465</v>
      </c>
    </row>
    <row r="398" spans="1:6">
      <c r="A398" s="591" t="str">
        <f t="shared" si="32"/>
        <v/>
      </c>
      <c r="F398" s="618" t="s">
        <v>465</v>
      </c>
    </row>
    <row r="399" spans="1:6">
      <c r="A399" s="591" t="str">
        <f t="shared" si="32"/>
        <v/>
      </c>
      <c r="F399" s="618" t="s">
        <v>465</v>
      </c>
    </row>
    <row r="400" spans="1:6">
      <c r="A400" s="591" t="str">
        <f t="shared" si="32"/>
        <v/>
      </c>
      <c r="F400" s="618" t="s">
        <v>465</v>
      </c>
    </row>
    <row r="401" spans="1:6">
      <c r="A401" s="591" t="str">
        <f t="shared" si="32"/>
        <v/>
      </c>
      <c r="F401" s="618" t="s">
        <v>465</v>
      </c>
    </row>
    <row r="402" spans="1:6">
      <c r="A402" s="591" t="str">
        <f t="shared" si="32"/>
        <v/>
      </c>
      <c r="F402" s="618" t="s">
        <v>465</v>
      </c>
    </row>
    <row r="403" spans="1:6">
      <c r="A403" s="591" t="str">
        <f t="shared" si="32"/>
        <v/>
      </c>
      <c r="F403" s="618" t="s">
        <v>465</v>
      </c>
    </row>
    <row r="404" spans="1:6">
      <c r="A404" s="591" t="str">
        <f t="shared" si="32"/>
        <v/>
      </c>
      <c r="F404" s="618" t="s">
        <v>465</v>
      </c>
    </row>
    <row r="405" spans="1:6">
      <c r="A405" s="591" t="str">
        <f t="shared" si="32"/>
        <v/>
      </c>
      <c r="F405" s="618" t="s">
        <v>465</v>
      </c>
    </row>
    <row r="406" spans="1:6">
      <c r="A406" s="591" t="str">
        <f t="shared" si="32"/>
        <v/>
      </c>
      <c r="F406" s="618" t="s">
        <v>465</v>
      </c>
    </row>
    <row r="407" spans="1:6">
      <c r="A407" s="591" t="str">
        <f t="shared" si="32"/>
        <v/>
      </c>
      <c r="F407" s="618" t="s">
        <v>465</v>
      </c>
    </row>
    <row r="408" spans="1:6">
      <c r="A408" s="591" t="str">
        <f t="shared" si="32"/>
        <v/>
      </c>
      <c r="F408" s="618" t="s">
        <v>465</v>
      </c>
    </row>
    <row r="409" spans="1:6">
      <c r="A409" s="591" t="str">
        <f t="shared" si="32"/>
        <v/>
      </c>
      <c r="F409" s="618" t="s">
        <v>465</v>
      </c>
    </row>
    <row r="410" spans="1:6">
      <c r="A410" s="591" t="str">
        <f t="shared" si="32"/>
        <v/>
      </c>
      <c r="F410" s="618" t="s">
        <v>465</v>
      </c>
    </row>
    <row r="411" spans="1:6">
      <c r="A411" s="591" t="str">
        <f t="shared" si="32"/>
        <v/>
      </c>
      <c r="F411" s="618" t="s">
        <v>465</v>
      </c>
    </row>
    <row r="412" spans="1:6">
      <c r="A412" s="591" t="str">
        <f t="shared" si="32"/>
        <v/>
      </c>
      <c r="F412" s="618" t="s">
        <v>465</v>
      </c>
    </row>
    <row r="413" spans="1:6">
      <c r="A413" s="591" t="str">
        <f t="shared" si="32"/>
        <v/>
      </c>
      <c r="F413" s="618" t="s">
        <v>465</v>
      </c>
    </row>
    <row r="414" spans="1:6">
      <c r="A414" s="591" t="str">
        <f t="shared" si="32"/>
        <v/>
      </c>
      <c r="F414" s="618" t="s">
        <v>465</v>
      </c>
    </row>
    <row r="415" spans="1:6">
      <c r="A415" s="591" t="str">
        <f t="shared" si="32"/>
        <v/>
      </c>
      <c r="F415" s="618" t="s">
        <v>465</v>
      </c>
    </row>
    <row r="416" spans="1:6">
      <c r="A416" s="591" t="str">
        <f t="shared" si="32"/>
        <v/>
      </c>
      <c r="F416" s="618" t="s">
        <v>465</v>
      </c>
    </row>
    <row r="417" spans="1:6">
      <c r="A417" s="591" t="str">
        <f t="shared" si="32"/>
        <v/>
      </c>
      <c r="F417" s="618" t="s">
        <v>465</v>
      </c>
    </row>
    <row r="418" spans="1:6">
      <c r="A418" s="591" t="str">
        <f t="shared" si="32"/>
        <v/>
      </c>
      <c r="F418" s="618" t="s">
        <v>465</v>
      </c>
    </row>
    <row r="419" spans="1:6">
      <c r="A419" s="591" t="str">
        <f t="shared" si="32"/>
        <v/>
      </c>
      <c r="F419" s="618" t="s">
        <v>465</v>
      </c>
    </row>
    <row r="420" spans="1:6">
      <c r="A420" s="591" t="str">
        <f t="shared" si="32"/>
        <v/>
      </c>
      <c r="F420" s="618" t="s">
        <v>465</v>
      </c>
    </row>
    <row r="421" spans="1:6">
      <c r="A421" s="591" t="str">
        <f t="shared" si="32"/>
        <v/>
      </c>
      <c r="F421" s="618" t="s">
        <v>465</v>
      </c>
    </row>
    <row r="422" spans="1:6">
      <c r="A422" s="591" t="str">
        <f t="shared" ref="A422:A466" si="33">C422&amp;IF(D422=0,""," v. "&amp;TEXT(D422,"TT.MM.JJJ"))</f>
        <v/>
      </c>
      <c r="F422" s="618" t="s">
        <v>465</v>
      </c>
    </row>
    <row r="423" spans="1:6">
      <c r="A423" s="591" t="str">
        <f t="shared" si="33"/>
        <v/>
      </c>
      <c r="F423" s="618" t="s">
        <v>465</v>
      </c>
    </row>
    <row r="424" spans="1:6">
      <c r="A424" s="591" t="str">
        <f t="shared" si="33"/>
        <v/>
      </c>
      <c r="F424" s="618" t="s">
        <v>465</v>
      </c>
    </row>
    <row r="425" spans="1:6">
      <c r="A425" s="591" t="str">
        <f t="shared" si="33"/>
        <v/>
      </c>
      <c r="F425" s="618" t="s">
        <v>465</v>
      </c>
    </row>
    <row r="426" spans="1:6">
      <c r="A426" s="591" t="str">
        <f t="shared" si="33"/>
        <v/>
      </c>
      <c r="F426" s="618" t="s">
        <v>465</v>
      </c>
    </row>
    <row r="427" spans="1:6">
      <c r="A427" s="591" t="str">
        <f t="shared" si="33"/>
        <v/>
      </c>
      <c r="F427" s="618" t="s">
        <v>465</v>
      </c>
    </row>
    <row r="428" spans="1:6">
      <c r="A428" s="591" t="str">
        <f t="shared" si="33"/>
        <v/>
      </c>
      <c r="F428" s="618" t="s">
        <v>465</v>
      </c>
    </row>
    <row r="429" spans="1:6">
      <c r="A429" s="591" t="str">
        <f t="shared" si="33"/>
        <v/>
      </c>
      <c r="F429" s="618" t="s">
        <v>465</v>
      </c>
    </row>
    <row r="430" spans="1:6">
      <c r="A430" s="591" t="str">
        <f t="shared" si="33"/>
        <v/>
      </c>
      <c r="F430" s="618" t="s">
        <v>465</v>
      </c>
    </row>
    <row r="431" spans="1:6">
      <c r="A431" s="591" t="str">
        <f t="shared" si="33"/>
        <v/>
      </c>
      <c r="F431" s="618" t="s">
        <v>465</v>
      </c>
    </row>
    <row r="432" spans="1:6">
      <c r="A432" s="591" t="str">
        <f t="shared" si="33"/>
        <v/>
      </c>
    </row>
    <row r="433" spans="1:1">
      <c r="A433" s="591" t="str">
        <f t="shared" si="33"/>
        <v/>
      </c>
    </row>
    <row r="434" spans="1:1">
      <c r="A434" s="591" t="str">
        <f t="shared" si="33"/>
        <v/>
      </c>
    </row>
    <row r="435" spans="1:1">
      <c r="A435" s="591" t="str">
        <f t="shared" si="33"/>
        <v/>
      </c>
    </row>
    <row r="436" spans="1:1">
      <c r="A436" s="591" t="str">
        <f t="shared" si="33"/>
        <v/>
      </c>
    </row>
    <row r="437" spans="1:1">
      <c r="A437" s="591" t="str">
        <f t="shared" si="33"/>
        <v/>
      </c>
    </row>
    <row r="438" spans="1:1">
      <c r="A438" s="591" t="str">
        <f t="shared" si="33"/>
        <v/>
      </c>
    </row>
    <row r="439" spans="1:1">
      <c r="A439" s="591" t="str">
        <f t="shared" si="33"/>
        <v/>
      </c>
    </row>
    <row r="440" spans="1:1">
      <c r="A440" s="591" t="str">
        <f t="shared" si="33"/>
        <v/>
      </c>
    </row>
    <row r="441" spans="1:1">
      <c r="A441" s="591" t="str">
        <f t="shared" si="33"/>
        <v/>
      </c>
    </row>
    <row r="442" spans="1:1">
      <c r="A442" s="591" t="str">
        <f t="shared" si="33"/>
        <v/>
      </c>
    </row>
    <row r="443" spans="1:1">
      <c r="A443" s="591" t="str">
        <f t="shared" si="33"/>
        <v/>
      </c>
    </row>
    <row r="444" spans="1:1">
      <c r="A444" s="591" t="str">
        <f t="shared" si="33"/>
        <v/>
      </c>
    </row>
    <row r="445" spans="1:1">
      <c r="A445" s="591" t="str">
        <f t="shared" si="33"/>
        <v/>
      </c>
    </row>
    <row r="446" spans="1:1">
      <c r="A446" s="591" t="str">
        <f t="shared" si="33"/>
        <v/>
      </c>
    </row>
    <row r="447" spans="1:1">
      <c r="A447" s="591" t="str">
        <f t="shared" si="33"/>
        <v/>
      </c>
    </row>
    <row r="448" spans="1:1">
      <c r="A448" s="591" t="str">
        <f t="shared" si="33"/>
        <v/>
      </c>
    </row>
    <row r="449" spans="1:1">
      <c r="A449" s="591" t="str">
        <f t="shared" si="33"/>
        <v/>
      </c>
    </row>
    <row r="450" spans="1:1">
      <c r="A450" s="591" t="str">
        <f t="shared" si="33"/>
        <v/>
      </c>
    </row>
    <row r="451" spans="1:1">
      <c r="A451" s="591" t="str">
        <f t="shared" si="33"/>
        <v/>
      </c>
    </row>
    <row r="452" spans="1:1">
      <c r="A452" s="591" t="str">
        <f t="shared" si="33"/>
        <v/>
      </c>
    </row>
    <row r="453" spans="1:1">
      <c r="A453" s="591" t="str">
        <f t="shared" si="33"/>
        <v/>
      </c>
    </row>
    <row r="454" spans="1:1">
      <c r="A454" s="591" t="str">
        <f t="shared" si="33"/>
        <v/>
      </c>
    </row>
    <row r="455" spans="1:1">
      <c r="A455" s="591" t="str">
        <f t="shared" si="33"/>
        <v/>
      </c>
    </row>
    <row r="456" spans="1:1">
      <c r="A456" s="591" t="str">
        <f t="shared" si="33"/>
        <v/>
      </c>
    </row>
    <row r="457" spans="1:1">
      <c r="A457" s="591" t="str">
        <f t="shared" si="33"/>
        <v/>
      </c>
    </row>
    <row r="458" spans="1:1">
      <c r="A458" s="591" t="str">
        <f t="shared" si="33"/>
        <v/>
      </c>
    </row>
    <row r="459" spans="1:1">
      <c r="A459" s="591" t="str">
        <f t="shared" si="33"/>
        <v/>
      </c>
    </row>
    <row r="460" spans="1:1">
      <c r="A460" s="591" t="str">
        <f t="shared" si="33"/>
        <v/>
      </c>
    </row>
    <row r="461" spans="1:1">
      <c r="A461" s="591" t="str">
        <f t="shared" si="33"/>
        <v/>
      </c>
    </row>
    <row r="462" spans="1:1">
      <c r="A462" s="591" t="str">
        <f t="shared" si="33"/>
        <v/>
      </c>
    </row>
    <row r="463" spans="1:1">
      <c r="A463" s="591" t="str">
        <f t="shared" si="33"/>
        <v/>
      </c>
    </row>
    <row r="464" spans="1:1">
      <c r="A464" s="591" t="str">
        <f t="shared" si="33"/>
        <v/>
      </c>
    </row>
    <row r="465" spans="1:1">
      <c r="A465" s="591" t="str">
        <f t="shared" si="33"/>
        <v/>
      </c>
    </row>
    <row r="466" spans="1:1">
      <c r="A466" s="591" t="str">
        <f t="shared" si="33"/>
        <v/>
      </c>
    </row>
  </sheetData>
  <sheetProtection sort="0" autoFilter="0"/>
  <sortState xmlns:xlrd2="http://schemas.microsoft.com/office/spreadsheetml/2017/richdata2" ref="A6:P319">
    <sortCondition ref="A6:A319"/>
  </sortState>
  <mergeCells count="4">
    <mergeCell ref="C2:G2"/>
    <mergeCell ref="C1:G1"/>
    <mergeCell ref="S6:AJ6"/>
    <mergeCell ref="F4:F5"/>
  </mergeCells>
  <hyperlinks>
    <hyperlink ref="O144" r:id="rId1" display="https://hpv-versorgungsausgleich.de/fileadmin/nd_hpv-versorgungsausgleich/download/gd/avb_f.pdf" xr:uid="{0CAF4EB1-D042-471C-A976-88E69BD14EC9}"/>
    <hyperlink ref="O286" r:id="rId2" display="https://www.union-investment.de/Magnolia/Shared/Broschueren/a2f040e1f7e49c74c587b3f78cdd0856.0.0/Teilungsordnung_Januar_2021.pdf" xr:uid="{768F8DDB-3B7E-4F9A-86F5-FC17B3640A58}"/>
    <hyperlink ref="O248" r:id="rId3" display="https://www.ruv.de/dam/privatkunden/downloads/teilungsordnungen/RVL_AG_TO_20200301.pdf" xr:uid="{134ABBDA-4438-4A41-AC72-EB5DA8D77952}"/>
    <hyperlink ref="O271" r:id="rId4" display="https://www.sparkassenversicherung.de/export/sites/svag/_resources/download_galerien/service/daten/72-337-0617.pdf" xr:uid="{E47C21EE-7C97-4BD3-8754-F59D5F1231EB}"/>
    <hyperlink ref="O190" r:id="rId5" display="https://www.lvm.de/cms/061637b8-3f2b-4571-93b4-3d4d4480acb4/081-teilungsordnung-lebensversicherung-rentenversicherung-l272.pdf" xr:uid="{3514757A-7A5B-4C05-892A-FBD2817D092E}"/>
    <hyperlink ref="O243" r:id="rId6" display="https://www.provinzial.de/export/sites/pvn/_resources/download/privat_vorsorge/teilungsordnung/Teilungsordnung_Nord.pdf" xr:uid="{1EAC1DA7-5FDA-4638-BF82-6901F4892B06}"/>
    <hyperlink ref="O225" r:id="rId7" display="https://www.pb-versicherung.de/documents/Teilungsordnung PB Lebensversicherung Ja-1.pdf" xr:uid="{EA73524D-1568-44C7-99D5-7D38E1C1FADA}"/>
    <hyperlink ref="O278" r:id="rId8" display="https://silo.tips/download/stand-swiss-life-ag-niederlassung-fr-deutschland-im-folgenden-swiss-life-ag-teil" xr:uid="{FD6D0C59-E7DE-4765-A29D-657EE2FA2DF0}"/>
    <hyperlink ref="O12" r:id="rId9" display="https://www.allianz.de/content/dam/onemarketing/azde/azd/teilungsordnung/krklas122012.pdf" xr:uid="{39A4B1FE-9DE7-4EB8-9A36-1C9340047F9E}"/>
    <hyperlink ref="O210" r:id="rId10" display="https://www.neueleben.de/static/files/Service/Teilungsordnung_nl_20180801.pdf" xr:uid="{69E48D76-8457-4177-BB21-F02FC236F9A3}"/>
    <hyperlink ref="O292" r:id="rId11" display="C:\Users\Hau%C3%9F\Downloads\Satzung 2017.pdf" xr:uid="{80CB60E6-3CEA-4E3E-83A5-0987A2E2FEA6}"/>
    <hyperlink ref="O232" r:id="rId12" display="C:\Users\Hau%C3%9F\Downloads\Satzung 2017.pdf" xr:uid="{376E70F1-FEC5-41AE-983F-6EB86AC146AD}"/>
    <hyperlink ref="O206" r:id="rId13" xr:uid="{0601567F-81B5-4D85-B157-A3B916501EE4}"/>
    <hyperlink ref="O205" r:id="rId14" xr:uid="{3F5C39E3-49F5-4115-B100-26760A7B266A}"/>
    <hyperlink ref="O36" r:id="rId15" display="Teilungsordnung" xr:uid="{367E893B-863A-4F9B-B2FC-5A5C53812E64}"/>
    <hyperlink ref="O297" r:id="rId16" display="https://druckstuecke.volkswohl-bund.de/api/products/411/documents/Teilungsordnung_Direktversicherung_und_private_Altersversorgung_.pdf" xr:uid="{62ECAE6D-9107-4A43-B7FF-5E4FCEE0B154}"/>
    <hyperlink ref="O230" r:id="rId17" xr:uid="{ACFCF1CC-9BCE-4620-8BB4-34A0D1FD3A98}"/>
    <hyperlink ref="O277" r:id="rId18" display="https://docplayer.org/7085059-Stand-november-2013-swiss-life-ag-teilungsordnung-zum-versorgungsausgleich-inhaltsverzeichnis-praeambel-1-anwendungsbereich.html" xr:uid="{6E20BDE1-291B-4820-AF21-5A62B107C5C3}"/>
    <hyperlink ref="O263" r:id="rId19" display="https://docplayer.org/15092608-Besondere-versicherungsbedingungen-teilungsordnung.html" xr:uid="{035C2F26-832E-494E-9A5C-4198002305BE}"/>
    <hyperlink ref="O318" r:id="rId20" display="https://docplayer.org/23644504-Teilungsordnung-versorgungstraeger-zurich-deutscher-herold-ueberbetriebliche-unterstuetzungskasse-e-v-zdhuk-1-anwendungsbereich.html" xr:uid="{EFD8926F-0372-4000-A552-57667003CCC6}"/>
    <hyperlink ref="O77" r:id="rId21" display="https://docplayer.org/898437-Taetigkeitsplan-fuer-die-teilung-von-lebensversicherungen-auf-grundlage-des-gesetzes-zur-strukturreform-des-versorgungsausgleichs-teilungsordnung.html" xr:uid="{2EEA17E1-C2BE-4385-BF33-AE0821DD4658}"/>
    <hyperlink ref="O78" r:id="rId22" display="https://docplayer.org/898437-Taetigkeitsplan-fuer-die-teilung-von-lebensversicherungen-auf-grundlage-des-gesetzes-zur-strukturreform-des-versorgungsausgleichs-teilungsordnung.html" xr:uid="{E6B669DE-6E52-4B7B-B67E-A225F37555E9}"/>
    <hyperlink ref="O142" r:id="rId23" display="https://docplayer.org/898437-Taetigkeitsplan-fuer-die-teilung-von-lebensversicherungen-auf-grundlage-des-gesetzes-zur-strukturreform-des-versorgungsausgleichs-teilungsordnung.html" xr:uid="{B9F0ADDC-0BE0-4E51-97CE-2872D463ACE4}"/>
    <hyperlink ref="O198" r:id="rId24" xr:uid="{00F0F99B-12B5-4477-8C52-CAB96BCF9334}"/>
    <hyperlink ref="O58" r:id="rId25" display="https://docplayer.org/30893347-Teilungsordnung-inhaltsverzeichnis-vorwort-1-anwendungsbereich-2-form-des-versorgungsausgleichs-3-bestimmung-des-ausgleichswertes.html" xr:uid="{4E7FD4C2-722B-4B6E-84B8-EEBFE3E867AC}"/>
    <hyperlink ref="O285" r:id="rId26" display="https://docplayer.org/23644555-Teilungsordnung-der-unilever-deutschland-gruppe-stand.html" xr:uid="{6B93B06B-3AE0-4663-9923-788558901C03}"/>
    <hyperlink ref="O317" r:id="rId27" display="https://docplayer.org/6126612-Ordnung-fuer-die-interne-und-externe-teilung-von-lebensversicherungsvertraegen-aufgrund-des-gesetzes-ueber-den-versorgungsausgleich.html" xr:uid="{448A95FC-2775-461B-9208-256C76302D21}"/>
    <hyperlink ref="O156" r:id="rId28" display="https://docplayer.org/8153720-Hdi-pensionskasse-ag-pbpk-bestandssegment.html" xr:uid="{C44A750E-62DF-497A-A5FE-A496E8CA222F}"/>
    <hyperlink ref="O291" r:id="rId29" display="https://docplayer.org/6838556-Richtlinie-zum-versorgungsausgleich-gemaess-58a-abs-1-vaps-richtl-versausgl-der-versorgungsanstalt-der-deutschen-bundespost.html" xr:uid="{35B15B41-69AC-4912-AA39-C8104DB25B78}"/>
    <hyperlink ref="O235" r:id="rId30" display="https://docplayer.org/42705354-Allianz-lebensversicherungs-ag-vertragsgesellschaft-der-presse-versorgung.html" xr:uid="{689563E7-CE72-4E09-A66D-0B602175D71B}"/>
    <hyperlink ref="O130" r:id="rId31" xr:uid="{D39ADF8A-1AE9-4FB2-9981-FAA0B63F454B}"/>
    <hyperlink ref="O228" r:id="rId32" display="https://www.neueleben.de/static/files/Service/Teilungsordnung_nl_20180801.pdf" xr:uid="{7B8D193B-02D0-4069-B641-C4EF9821E53F}"/>
    <hyperlink ref="O233" r:id="rId33" display="https://www.psvag.de/fileadmin/doc/220/rechtliche_grundlagen/teilungsordnung.pdf" xr:uid="{368EA091-768B-4449-B08C-C4B1FB38573F}"/>
    <hyperlink ref="O240" r:id="rId34" display="https://www.vgh.de/export/sites/vgh/_resources/downloads/pdf/privat_versicherungen/vorsorgeundvermoegen/Teilungsordnung_PH_01.05.2016.pdf" xr:uid="{265E1CA3-90B5-4852-90BB-643E679415C5}"/>
    <hyperlink ref="O97" r:id="rId35" display="https://www.dws.de/de-DE/AssetDownload/Index/?filename=Teilungsordnung%20DWS%20Investment%20GmbH%202022%2006.pdf&amp;assetGuid=52ca4b21-2d03-4c79-9442-da45c9531d53&amp;source=DWS" xr:uid="{0E937C4B-4B27-421A-80C9-DE4AB5D5633C}"/>
    <hyperlink ref="J241" r:id="rId36" xr:uid="{F62ECF11-C075-488D-8D7C-75AC76199A5A}"/>
    <hyperlink ref="J13" r:id="rId37" xr:uid="{CA557E38-B026-448D-8397-286C7B63B107}"/>
    <hyperlink ref="O262"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9" r:id="rId40" display="http://www.hpv-versorgungsausgleich.de/index.php?id=4779" xr:uid="{993A39F1-E214-4685-B253-8642D15D44BB}"/>
    <hyperlink ref="O11" r:id="rId41" display="http://www.hpv-versorgungsausgleich.de/index.php?id=4779" xr:uid="{528D569B-22DC-491E-B219-EF638CB8E185}"/>
    <hyperlink ref="O39" r:id="rId42" display="http://www.hpv-versorgungsausgleich.de/index.php?id=4779" xr:uid="{01D4B421-D2CD-4FA4-9A91-AECBDE089002}"/>
    <hyperlink ref="O17:O27" r:id="rId43" display="http://www.hpv-versorgungsausgleich.de/index.php?id=4779" xr:uid="{A734958E-560B-4206-B507-8D892DC50DC5}"/>
    <hyperlink ref="O5:O32" r:id="rId44" display="http://www.hpv-versorgungsausgleich.de/index.php?id=4779" xr:uid="{BC0B1D4B-6BD8-43D5-ABD4-CDD1F3D61DEC}"/>
    <hyperlink ref="O37:O39" r:id="rId45" display="http://www.hpv-versorgungsausgleich.de/index.php?id=4779" xr:uid="{ADDC0EC5-B50D-4F01-96F4-AD76C84F9F24}"/>
    <hyperlink ref="O42:O54" r:id="rId46" display="http://www.hpv-versorgungsausgleich.de/index.php?id=4779" xr:uid="{36E8DF4A-9A24-473B-A86F-64F9E0E301E4}"/>
    <hyperlink ref="O108" r:id="rId47" display="http://www.hpv-versorgungsausgleich.de/index.php?id=4779" xr:uid="{FA9F7EC7-CAD2-4E4C-B558-2328ACE66EAD}"/>
    <hyperlink ref="O132" r:id="rId48" display="http://www.hpv-versorgungsausgleich.de/index.php?id=4779" xr:uid="{A83E358A-04F3-4646-8AAE-4C42F5C89DC0}"/>
    <hyperlink ref="O63:O68" r:id="rId49" display="http://www.hpv-versorgungsausgleich.de/index.php?id=4779" xr:uid="{AA3F4B1E-3357-4C43-8390-427AED3AF8C6}"/>
    <hyperlink ref="O71:O72" r:id="rId50" display="http://www.hpv-versorgungsausgleich.de/index.php?id=4779" xr:uid="{55E34C0B-E5FB-4F3C-A592-8020298D25E6}"/>
    <hyperlink ref="O77:O81" r:id="rId51" display="http://www.hpv-versorgungsausgleich.de/index.php?id=4779" xr:uid="{468655A1-8F25-4605-84D8-0BBE231D5294}"/>
    <hyperlink ref="O208" r:id="rId52" display="http://www.hpv-versorgungsausgleich.de/index.php?id=4779" xr:uid="{1818DEB4-B1D9-4A04-9A3D-ECB249CBD565}"/>
    <hyperlink ref="O214" r:id="rId53" display="http://www.hpv-versorgungsausgleich.de/index.php?id=4779" xr:uid="{69D80E22-42E2-4952-9718-3262881677B6}"/>
    <hyperlink ref="O99:O106" r:id="rId54" display="http://www.hpv-versorgungsausgleich.de/index.php?id=4779" xr:uid="{16C58223-98C9-4756-8483-CACC046F4278}"/>
    <hyperlink ref="O293" r:id="rId55" display="http://www.hpv-versorgungsausgleich.de/index.php?id=4779" xr:uid="{F2F9784D-7CB8-4A71-B10D-BDD1C2D2E695}"/>
    <hyperlink ref="O319" r:id="rId56" display="http://www.hpv-versorgungsausgleich.de/index.php?id=4779" xr:uid="{7B69C7D2-E74E-485B-914F-F8F7D1E9945E}"/>
    <hyperlink ref="O238" r:id="rId57" display="C:\Users\Hau%C3%9F\Downloads\leben-u-rente_alle-produkte_angaben-provinzial-teilungsordnung_pr-lebensversicherung.pdf" xr:uid="{52389196-DB28-4A5E-9822-D23B698D7C5A}"/>
    <hyperlink ref="O227" r:id="rId58" display="https://www.pb-versicherung.de/documents/Teilungsordnung PB Lebensversicherung Ok.pdf" xr:uid="{E3148DD9-903C-4172-B3A2-6BFB4CD93DF3}"/>
    <hyperlink ref="O157" r:id="rId59" display="http://www.hpv-versorgungsausgleich.de/index.php?id=4779" xr:uid="{71F46660-5647-44E2-8068-0760DA7F34C4}"/>
    <hyperlink ref="O154" r:id="rId60" display="C:\Users\Hau%C3%9F\Downloads\Teilungsordnung_HDI-Lebensversicherung_AG.pdf" xr:uid="{ECCED91D-8569-44AF-BB8F-6A5EF69A3B5F}"/>
    <hyperlink ref="O153" r:id="rId61" display="https://www.hdi.de/downloads/de/privatkunden/service/Telungsordnung_HLV_2020.pdf" xr:uid="{0627C112-FF6F-4C22-9E56-D1A04CBEC4CE}"/>
    <hyperlink ref="O237" r:id="rId62" display="https://flgruppe.de/wp-content/uploads/2021/03/Teilungsordnung_Pro_bAV_Pensionskasse_AG_27.08.2018_.pdf" xr:uid="{0FC7C55B-1194-4614-887C-3FE0B13387A4}"/>
    <hyperlink ref="O90" r:id="rId63" display="https://www.deutscher-pensionsfonds.com/-/media/project/zwp/deutscher-pensionsfonds/docs/dpag-teilungsordnung-pensionsfonds-3-63_2021_11.pdf" xr:uid="{7E9D4A05-3388-4343-8025-3392A2594EA0}"/>
    <hyperlink ref="O288" r:id="rId64" display="https://www.vdva-unterstuetzungskasse.de/rmedia/media/vdva_unterstuetzungskasse/dokumente_3/vdva-teilungsordnung_to-bolz.pdf" xr:uid="{418FD86F-D0E4-424F-9B8E-282038787FFE}"/>
    <hyperlink ref="O246" r:id="rId65" display="https://www.psvag.de/fileadmin/doc/220/rechtliche_grundlagen/teilungsordnung.pdf" xr:uid="{BE070D42-7984-4141-BE6D-869280C3C719}"/>
    <hyperlink ref="O74" r:id="rId66" display="https://www.yumpu.com/de/document/read/2556832/seite-1-von-4-teilungsordnung-der-dekabank-fur-" xr:uid="{FE1C3497-24D2-49B5-8365-EA6DABDFF63F}"/>
    <hyperlink ref="O75"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125" defaultRowHeight="14.25"/>
  <cols>
    <col min="1" max="1" width="2.625" style="137" customWidth="1"/>
    <col min="2" max="119" width="6.125" customWidth="1"/>
  </cols>
  <sheetData>
    <row r="1" spans="1:121" s="130" customFormat="1" ht="11.2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tabSelected="1" showRuler="0" view="pageLayout" topLeftCell="A4" zoomScale="98" zoomScaleNormal="115" zoomScalePageLayoutView="98" workbookViewId="0">
      <selection activeCell="I24" sqref="I24"/>
    </sheetView>
  </sheetViews>
  <sheetFormatPr baseColWidth="10" defaultColWidth="0" defaultRowHeight="14.25" zeroHeight="1"/>
  <cols>
    <col min="1" max="1" width="3.125" customWidth="1"/>
    <col min="2" max="2" width="10.625" customWidth="1"/>
    <col min="3" max="3" width="2" customWidth="1"/>
    <col min="4" max="4" width="25.625" customWidth="1"/>
    <col min="5" max="5" width="23.5" customWidth="1"/>
    <col min="6" max="6" width="27.625" customWidth="1"/>
    <col min="7" max="7" width="25.5" customWidth="1"/>
    <col min="8" max="9" width="24.625" customWidth="1"/>
    <col min="10" max="10" width="10.625" customWidth="1"/>
    <col min="11" max="11" width="17.125" hidden="1" customWidth="1"/>
    <col min="12" max="12" width="0" hidden="1" customWidth="1"/>
    <col min="13" max="16384" width="10.625" hidden="1"/>
  </cols>
  <sheetData>
    <row r="1" spans="3:11" ht="64.349999999999994" hidden="1" customHeight="1"/>
    <row r="2" spans="3:11" ht="64.349999999999994" hidden="1" customHeight="1"/>
    <row r="3" spans="3:11" ht="64.349999999999994" hidden="1" customHeight="1"/>
    <row r="4" spans="3:11" ht="15" customHeight="1"/>
    <row r="5" spans="3:11" s="1330" customFormat="1" ht="32.25" customHeight="1">
      <c r="C5" s="2290" t="s">
        <v>2019</v>
      </c>
      <c r="D5" s="2290"/>
      <c r="E5" s="2290"/>
      <c r="F5" s="2290"/>
      <c r="G5" s="2290"/>
      <c r="H5" s="2290"/>
      <c r="I5" s="2290"/>
      <c r="J5" s="1329"/>
    </row>
    <row r="6" spans="3:11" ht="18">
      <c r="C6" s="2291" t="s">
        <v>212</v>
      </c>
      <c r="D6" s="2291"/>
      <c r="E6" s="2291"/>
      <c r="F6" s="2291"/>
      <c r="G6" s="2291"/>
      <c r="H6" s="2291"/>
      <c r="I6" s="2291"/>
      <c r="J6" s="1119"/>
    </row>
    <row r="7" spans="3:11" ht="23.25">
      <c r="C7" s="2292" t="s">
        <v>345</v>
      </c>
      <c r="D7" s="2292"/>
      <c r="E7" s="2292"/>
      <c r="F7" s="2292"/>
      <c r="G7" s="2292"/>
      <c r="H7" s="2292"/>
      <c r="I7" s="2292"/>
      <c r="J7" s="1120"/>
      <c r="K7" s="1120"/>
    </row>
    <row r="8" spans="3:11" ht="18">
      <c r="C8" s="2291" t="s">
        <v>213</v>
      </c>
      <c r="D8" s="2291"/>
      <c r="E8" s="2291"/>
      <c r="F8" s="2291"/>
      <c r="G8" s="2291"/>
      <c r="H8" s="2291"/>
      <c r="I8" s="2291"/>
      <c r="J8" s="1119"/>
    </row>
    <row r="9" spans="3:11" s="127" customFormat="1" ht="12.75">
      <c r="C9" s="2274" t="s">
        <v>214</v>
      </c>
      <c r="D9" s="2274"/>
      <c r="E9" s="2274"/>
      <c r="F9" s="2274"/>
      <c r="G9" s="2274"/>
      <c r="H9" s="2274"/>
      <c r="I9" s="2274"/>
    </row>
    <row r="10" spans="3:11" s="127" customFormat="1" ht="12.75">
      <c r="C10" s="2274" t="s">
        <v>215</v>
      </c>
      <c r="D10" s="2274"/>
      <c r="E10" s="2274"/>
      <c r="F10" s="2274"/>
      <c r="G10" s="2274"/>
      <c r="H10" s="2274"/>
      <c r="I10" s="2274"/>
    </row>
    <row r="11" spans="3:11" s="127" customFormat="1" ht="12.75">
      <c r="C11" s="2305" t="s">
        <v>216</v>
      </c>
      <c r="D11" s="2305"/>
      <c r="E11" s="2305"/>
      <c r="F11" s="2305"/>
      <c r="G11" s="2305"/>
      <c r="H11" s="2305"/>
      <c r="I11" s="2305"/>
      <c r="J11" s="1121"/>
    </row>
    <row r="12" spans="3:11" s="127" customFormat="1" ht="12.75">
      <c r="C12" s="2274" t="s">
        <v>1240</v>
      </c>
      <c r="D12" s="2274"/>
      <c r="E12" s="2274"/>
      <c r="F12" s="2274"/>
      <c r="G12" s="2274"/>
      <c r="H12" s="2274"/>
      <c r="I12" s="2274"/>
    </row>
    <row r="13" spans="3:11" s="127" customFormat="1" ht="12.75">
      <c r="C13" s="2274"/>
      <c r="D13" s="2274"/>
      <c r="E13" s="2274"/>
      <c r="F13" s="1122" t="s">
        <v>1239</v>
      </c>
      <c r="G13" s="1122" t="s">
        <v>1241</v>
      </c>
      <c r="H13" s="2307"/>
      <c r="I13" s="2307"/>
    </row>
    <row r="14" spans="3:11" s="127" customFormat="1" ht="13.5" thickBot="1">
      <c r="C14" s="1123"/>
      <c r="D14" s="1123"/>
      <c r="E14" s="1123"/>
      <c r="F14" s="1124"/>
      <c r="G14" s="1124"/>
      <c r="H14" s="1123"/>
      <c r="I14" s="1123"/>
    </row>
    <row r="15" spans="3:11" ht="24" customHeight="1" thickBot="1">
      <c r="C15" s="1136" t="str">
        <f>"Version "&amp;TEXT(MONTH(Enddatum),"00")&amp;"/"&amp;TEXT(YEAR(Enddatum),"####")</f>
        <v>Version 03/2025</v>
      </c>
      <c r="D15" s="1054"/>
      <c r="E15" s="2302" t="s">
        <v>1205</v>
      </c>
      <c r="F15" s="2302"/>
      <c r="G15" s="1075" t="s">
        <v>1200</v>
      </c>
      <c r="H15" s="2303" t="s">
        <v>1201</v>
      </c>
      <c r="I15" s="2304"/>
    </row>
    <row r="16" spans="3:11" ht="7.5" customHeight="1" thickBot="1">
      <c r="C16" s="1125"/>
      <c r="D16" s="1125"/>
      <c r="E16" s="1126"/>
      <c r="F16" s="1126"/>
      <c r="G16" s="1127"/>
      <c r="H16" s="1127"/>
      <c r="I16" s="1127"/>
    </row>
    <row r="17" spans="2:11" s="1118" customFormat="1" ht="24" customHeight="1">
      <c r="C17" s="2306" t="s">
        <v>542</v>
      </c>
      <c r="D17" s="2306"/>
      <c r="E17" s="2306"/>
      <c r="F17" s="2306"/>
      <c r="G17" s="2306"/>
      <c r="H17" s="2309" t="s">
        <v>1968</v>
      </c>
      <c r="I17" s="2310"/>
    </row>
    <row r="18" spans="2:11" s="1118" customFormat="1" ht="24" customHeight="1">
      <c r="B18" s="2110"/>
      <c r="C18" s="2308" t="s">
        <v>1429</v>
      </c>
      <c r="D18" s="2308"/>
      <c r="E18" s="2308"/>
      <c r="F18" s="2308"/>
      <c r="G18" s="1200"/>
      <c r="H18" s="2311"/>
      <c r="I18" s="2312"/>
    </row>
    <row r="19" spans="2:11" s="318" customFormat="1" ht="21" customHeight="1">
      <c r="C19" s="2297" t="s">
        <v>326</v>
      </c>
      <c r="D19" s="2297"/>
      <c r="E19" s="2297"/>
      <c r="F19" s="2297"/>
      <c r="G19" s="2298"/>
      <c r="H19" s="2319" t="s">
        <v>1313</v>
      </c>
      <c r="I19" s="2320"/>
    </row>
    <row r="20" spans="2:11" s="318" customFormat="1" ht="22.5" customHeight="1">
      <c r="C20" s="2297" t="s">
        <v>325</v>
      </c>
      <c r="D20" s="2297"/>
      <c r="E20" s="2297"/>
      <c r="F20" s="2297"/>
      <c r="G20" s="2298"/>
      <c r="H20" s="2322" t="s">
        <v>1314</v>
      </c>
      <c r="I20" s="2323"/>
    </row>
    <row r="21" spans="2:11" s="318" customFormat="1" ht="22.5" customHeight="1">
      <c r="C21" s="2297" t="s">
        <v>346</v>
      </c>
      <c r="D21" s="2297"/>
      <c r="E21" s="2297"/>
      <c r="F21" s="2297"/>
      <c r="G21" s="2298"/>
      <c r="H21" s="2322"/>
      <c r="I21" s="2323"/>
    </row>
    <row r="22" spans="2:11" s="318" customFormat="1" ht="21" customHeight="1">
      <c r="C22" s="2297" t="s">
        <v>1236</v>
      </c>
      <c r="D22" s="2297"/>
      <c r="E22" s="2297"/>
      <c r="F22" s="2297"/>
      <c r="G22" s="2298"/>
      <c r="H22" s="2322" t="s">
        <v>1243</v>
      </c>
      <c r="I22" s="2323"/>
    </row>
    <row r="23" spans="2:11" s="318" customFormat="1" ht="21" hidden="1" customHeight="1">
      <c r="C23" s="2299" t="s">
        <v>1235</v>
      </c>
      <c r="D23" s="2299"/>
      <c r="E23" s="2299"/>
      <c r="F23" s="2299"/>
      <c r="G23" s="2300"/>
      <c r="H23" s="2324" t="s">
        <v>1969</v>
      </c>
      <c r="I23" s="2325"/>
      <c r="J23"/>
    </row>
    <row r="24" spans="2:11" s="318" customFormat="1" ht="21" customHeight="1" thickBot="1">
      <c r="B24" s="1319"/>
      <c r="C24" s="2299" t="s">
        <v>2015</v>
      </c>
      <c r="D24" s="2299"/>
      <c r="E24" s="2299"/>
      <c r="F24" s="2299"/>
      <c r="G24" s="2300"/>
      <c r="H24" s="2257" t="s">
        <v>2013</v>
      </c>
      <c r="I24" s="2258" t="s">
        <v>2014</v>
      </c>
      <c r="J24" s="1116"/>
    </row>
    <row r="25" spans="2:11" s="318" customFormat="1" ht="21" customHeight="1">
      <c r="B25" s="2110"/>
      <c r="C25" s="2299" t="s">
        <v>2016</v>
      </c>
      <c r="D25" s="2299"/>
      <c r="E25" s="2299"/>
      <c r="F25" s="2259"/>
      <c r="G25" s="2260"/>
      <c r="H25" s="2328" t="s">
        <v>1244</v>
      </c>
      <c r="I25" s="2329"/>
    </row>
    <row r="26" spans="2:11" s="318" customFormat="1" ht="21" customHeight="1">
      <c r="C26" s="2297" t="s">
        <v>2017</v>
      </c>
      <c r="D26" s="2297"/>
      <c r="E26" s="2297"/>
      <c r="F26" s="2297"/>
      <c r="G26" s="2298"/>
      <c r="H26" s="2328"/>
      <c r="I26" s="2329"/>
      <c r="J26"/>
    </row>
    <row r="27" spans="2:11" s="318" customFormat="1" ht="21" hidden="1" customHeight="1">
      <c r="C27" s="2297" t="s">
        <v>1237</v>
      </c>
      <c r="D27" s="2297"/>
      <c r="E27" s="2297"/>
      <c r="F27" s="2297"/>
      <c r="G27" s="2298"/>
      <c r="H27" s="2328"/>
      <c r="I27" s="2329"/>
      <c r="J27"/>
    </row>
    <row r="28" spans="2:11" s="318" customFormat="1" ht="21" hidden="1" customHeight="1">
      <c r="C28" s="2299" t="s">
        <v>1103</v>
      </c>
      <c r="D28" s="2299"/>
      <c r="E28" s="2299"/>
      <c r="F28" s="2299"/>
      <c r="G28" s="2300"/>
      <c r="H28" s="2328"/>
      <c r="I28" s="2329"/>
      <c r="J28"/>
      <c r="K28"/>
    </row>
    <row r="29" spans="2:11" s="318" customFormat="1" ht="21" hidden="1" customHeight="1">
      <c r="C29" s="1150" t="s">
        <v>1238</v>
      </c>
      <c r="D29" s="1150"/>
      <c r="E29" s="1311"/>
      <c r="F29" s="2301" t="s">
        <v>1295</v>
      </c>
      <c r="G29" s="2301"/>
      <c r="H29" s="2328"/>
      <c r="I29" s="2329"/>
      <c r="J29" s="871"/>
      <c r="K29" s="947"/>
    </row>
    <row r="30" spans="2:11" s="318" customFormat="1" ht="21" customHeight="1">
      <c r="C30" s="2321" t="s">
        <v>2018</v>
      </c>
      <c r="D30" s="2321"/>
      <c r="E30" s="2321"/>
      <c r="F30" s="2321"/>
      <c r="G30" s="2321"/>
      <c r="H30" s="2328"/>
      <c r="I30" s="2329"/>
    </row>
    <row r="31" spans="2:11" s="319" customFormat="1" ht="21" customHeight="1">
      <c r="B31" s="317"/>
      <c r="D31" s="1128" t="s">
        <v>1104</v>
      </c>
      <c r="E31" s="1128" t="s">
        <v>1105</v>
      </c>
      <c r="F31" s="1128" t="s">
        <v>1106</v>
      </c>
      <c r="G31" s="1128" t="s">
        <v>1107</v>
      </c>
      <c r="H31" s="2328"/>
      <c r="I31" s="2329"/>
    </row>
    <row r="32" spans="2:11" s="319" customFormat="1" ht="21" customHeight="1">
      <c r="B32" s="317"/>
      <c r="D32" s="1129" t="s">
        <v>1110</v>
      </c>
      <c r="E32" s="1130" t="s">
        <v>1111</v>
      </c>
      <c r="F32" s="1130" t="s">
        <v>1112</v>
      </c>
      <c r="G32" s="2256" t="s">
        <v>1855</v>
      </c>
      <c r="H32" s="2328"/>
      <c r="I32" s="2329"/>
      <c r="J32" s="5"/>
      <c r="K32" s="5"/>
    </row>
    <row r="33" spans="1:12" s="319" customFormat="1" ht="21" customHeight="1" thickBot="1">
      <c r="B33" s="317"/>
      <c r="D33" s="1128" t="s">
        <v>1108</v>
      </c>
      <c r="E33" s="1128" t="s">
        <v>1109</v>
      </c>
      <c r="F33" s="1130"/>
      <c r="G33" s="2256"/>
      <c r="H33" s="2326" t="s">
        <v>1239</v>
      </c>
      <c r="I33" s="2327"/>
      <c r="J33" s="5"/>
      <c r="K33" s="5"/>
    </row>
    <row r="34" spans="1:12" s="318" customFormat="1" ht="21" customHeight="1">
      <c r="C34" s="2296" t="str">
        <f ca="1">"9. Berechnungsparameter für die gesetzliche Rentenversicherung und den Versorgungsausgleich von 1970 bis "&amp;YEAR(TODAY())</f>
        <v>9. Berechnungsparameter für die gesetzliche Rentenversicherung und den Versorgungsausgleich von 1970 bis 2025</v>
      </c>
      <c r="D34" s="2296"/>
      <c r="E34" s="2296"/>
      <c r="F34" s="2296"/>
      <c r="G34" s="2296"/>
      <c r="H34" s="2296"/>
      <c r="I34" s="2296"/>
      <c r="J34" s="1117"/>
      <c r="K34" s="1117"/>
    </row>
    <row r="35" spans="1:12" ht="18" hidden="1">
      <c r="C35" s="2296" t="str">
        <f ca="1">"13. Berechnungsparameter für die gesetzliche Rentenversicherung und den Versorgungsausgleich von 1970 bis "&amp;YEAR(TODAY())</f>
        <v>13. Berechnungsparameter für die gesetzliche Rentenversicherung und den Versorgungsausgleich von 1970 bis 2025</v>
      </c>
      <c r="D35" s="2296"/>
      <c r="E35" s="2296"/>
      <c r="F35" s="2296"/>
      <c r="G35" s="2296"/>
      <c r="H35" s="2296"/>
      <c r="I35" s="2296"/>
      <c r="J35" s="1335"/>
      <c r="K35" s="1335"/>
    </row>
    <row r="36" spans="1:12" ht="15.6" hidden="1" customHeight="1">
      <c r="C36" s="2318"/>
      <c r="D36" s="2318"/>
      <c r="E36" s="2318"/>
      <c r="F36" s="2318"/>
      <c r="G36" s="2318"/>
      <c r="H36" s="2318"/>
      <c r="I36" s="2318"/>
      <c r="J36" s="2318"/>
      <c r="K36" s="2318"/>
      <c r="L36" s="369"/>
    </row>
    <row r="37" spans="1:12">
      <c r="C37" s="2293" t="s">
        <v>1242</v>
      </c>
      <c r="D37" s="2294"/>
      <c r="E37" s="2294"/>
      <c r="F37" s="2294"/>
      <c r="G37" s="2294"/>
      <c r="H37" s="2294"/>
      <c r="I37" s="2294"/>
    </row>
    <row r="38" spans="1:12">
      <c r="C38" s="2295"/>
      <c r="D38" s="2295"/>
      <c r="E38" s="2295"/>
      <c r="F38" s="2295"/>
      <c r="G38" s="2295"/>
      <c r="H38" s="2295"/>
      <c r="I38" s="2295"/>
    </row>
    <row r="39" spans="1:12" ht="15.75">
      <c r="C39" s="2315" t="s">
        <v>1180</v>
      </c>
      <c r="D39" s="2316"/>
      <c r="E39" s="2316"/>
      <c r="F39" s="2316"/>
      <c r="G39" s="2316"/>
      <c r="H39" s="2316"/>
      <c r="I39" s="2317"/>
    </row>
    <row r="40" spans="1:12" s="1327" customFormat="1" ht="14.25" customHeight="1">
      <c r="B40" s="1328"/>
      <c r="C40" s="2313" t="s">
        <v>1513</v>
      </c>
      <c r="D40" s="2313"/>
      <c r="E40" s="2313"/>
      <c r="F40" s="2313"/>
      <c r="G40" s="2313"/>
      <c r="H40" s="2313"/>
      <c r="I40" s="2313"/>
      <c r="J40" s="1328"/>
      <c r="K40" s="1328"/>
      <c r="L40" s="1328"/>
    </row>
    <row r="41" spans="1:12" s="1327" customFormat="1">
      <c r="A41" s="1328"/>
      <c r="B41" s="1328"/>
      <c r="C41" s="2314"/>
      <c r="D41" s="2314"/>
      <c r="E41" s="2314"/>
      <c r="F41" s="2314"/>
      <c r="G41" s="2314"/>
      <c r="H41" s="2314"/>
      <c r="I41" s="2314"/>
      <c r="J41" s="1328"/>
      <c r="K41" s="1328"/>
      <c r="L41" s="1328"/>
    </row>
    <row r="42" spans="1:12" s="1327" customFormat="1">
      <c r="A42" s="1328"/>
      <c r="B42" s="1328"/>
      <c r="C42" s="2314"/>
      <c r="D42" s="2314"/>
      <c r="E42" s="2314"/>
      <c r="F42" s="2314"/>
      <c r="G42" s="2314"/>
      <c r="H42" s="2314"/>
      <c r="I42" s="2314"/>
      <c r="J42" s="1328"/>
      <c r="K42" s="1328"/>
      <c r="L42" s="1328"/>
    </row>
    <row r="43" spans="1:12" s="1327" customFormat="1">
      <c r="A43" s="1328"/>
      <c r="B43" s="1328"/>
      <c r="C43" s="2314"/>
      <c r="D43" s="2314"/>
      <c r="E43" s="2314"/>
      <c r="F43" s="2314"/>
      <c r="G43" s="2314"/>
      <c r="H43" s="2314"/>
      <c r="I43" s="2314"/>
      <c r="J43" s="1328"/>
      <c r="K43" s="1328"/>
      <c r="L43" s="1328"/>
    </row>
    <row r="44" spans="1:12" s="1327" customFormat="1">
      <c r="A44" s="1328"/>
      <c r="B44" s="1328"/>
      <c r="C44" s="2314"/>
      <c r="D44" s="2314"/>
      <c r="E44" s="2314"/>
      <c r="F44" s="2314"/>
      <c r="G44" s="2314"/>
      <c r="H44" s="2314"/>
      <c r="I44" s="2314"/>
      <c r="J44" s="1328"/>
      <c r="K44" s="1328"/>
      <c r="L44" s="1328"/>
    </row>
    <row r="45" spans="1:12" s="1327" customFormat="1">
      <c r="A45" s="1328"/>
      <c r="B45" s="1328"/>
      <c r="C45" s="2314"/>
      <c r="D45" s="2314"/>
      <c r="E45" s="2314"/>
      <c r="F45" s="2314"/>
      <c r="G45" s="2314"/>
      <c r="H45" s="2314"/>
      <c r="I45" s="2314"/>
      <c r="J45" s="1328"/>
      <c r="K45" s="1328"/>
      <c r="L45" s="1328"/>
    </row>
    <row r="46" spans="1:12" s="1327" customFormat="1">
      <c r="A46" s="1328"/>
      <c r="B46" s="1328"/>
      <c r="C46" s="2314"/>
      <c r="D46" s="2314"/>
      <c r="E46" s="2314"/>
      <c r="F46" s="2314"/>
      <c r="G46" s="2314"/>
      <c r="H46" s="2314"/>
      <c r="I46" s="2314"/>
      <c r="J46" s="1328"/>
      <c r="K46" s="1328"/>
      <c r="L46" s="1328"/>
    </row>
    <row r="47" spans="1:12" s="1327" customFormat="1">
      <c r="A47" s="1328"/>
      <c r="B47" s="1328"/>
      <c r="C47" s="2314"/>
      <c r="D47" s="2314"/>
      <c r="E47" s="2314"/>
      <c r="F47" s="2314"/>
      <c r="G47" s="2314"/>
      <c r="H47" s="2314"/>
      <c r="I47" s="2314"/>
      <c r="J47" s="1328"/>
      <c r="K47" s="1328"/>
      <c r="L47" s="1328"/>
    </row>
    <row r="48" spans="1:12" s="1327" customFormat="1">
      <c r="A48" s="1328"/>
      <c r="B48" s="1328"/>
      <c r="C48" s="2314"/>
      <c r="D48" s="2314"/>
      <c r="E48" s="2314"/>
      <c r="F48" s="2314"/>
      <c r="G48" s="2314"/>
      <c r="H48" s="2314"/>
      <c r="I48" s="2314"/>
      <c r="J48" s="1328"/>
      <c r="K48" s="1328"/>
      <c r="L48" s="1328"/>
    </row>
    <row r="49" spans="3:9">
      <c r="C49" s="2314"/>
      <c r="D49" s="2314"/>
      <c r="E49" s="2314"/>
      <c r="F49" s="2314"/>
      <c r="G49" s="2314"/>
      <c r="H49" s="2314"/>
      <c r="I49" s="2314"/>
    </row>
  </sheetData>
  <mergeCells count="39">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 ref="C10:I10"/>
    <mergeCell ref="H15:I15"/>
    <mergeCell ref="C11:I11"/>
    <mergeCell ref="C17:G17"/>
    <mergeCell ref="C12:I12"/>
    <mergeCell ref="C13:E13"/>
    <mergeCell ref="H13:I13"/>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E15:F15"/>
    <mergeCell ref="C9:I9"/>
  </mergeCells>
  <phoneticPr fontId="52"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G15" r:id="rId2" xr:uid="{017C6885-E9BE-4701-BA5F-CF51AC03560F}"/>
    <hyperlink ref="H15" r:id="rId3" xr:uid="{34A3C1BD-D646-46BA-897F-7895238081D4}"/>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4" xr:uid="{0119AB39-938D-4DE6-B771-416C820554EA}"/>
    <hyperlink ref="C30:G30" location="'Dies &amp; Das'!A1" display="11. &quot;Dies &amp; Das&quot; - hilfreiche kleine Berechnungstools für Familienrechtleriinen und Familienrechtler" xr:uid="{AF3B49A6-5CE4-460B-9CCE-F9A03B3281BD}"/>
    <hyperlink ref="F13" r:id="rId5" xr:uid="{812EBF93-BC9B-46C1-BD13-07D4EE3C25D0}"/>
    <hyperlink ref="G13" r:id="rId6" xr:uid="{0AB836E0-9CBE-4EEE-987F-3768138E3B61}"/>
    <hyperlink ref="C39:I39" r:id="rId7"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8" display="Der Kaffeerunde beitreten" xr:uid="{7B8C3D09-73F0-4249-866C-1B862140EA24}"/>
    <hyperlink ref="C35:I35" location="Rentenparameter" display="Rentenparameter" xr:uid="{3D17C642-86E2-4D06-BE44-946E87860842}"/>
    <hyperlink ref="H24" r:id="rId9" xr:uid="{948723F4-5169-4D0F-B467-24FD7A54A823}"/>
    <hyperlink ref="I24" r:id="rId10" xr:uid="{F2A3349D-0283-4A5C-828F-BCAF822A3A0D}"/>
  </hyperlinks>
  <printOptions horizontalCentered="1" verticalCentered="1"/>
  <pageMargins left="0.31496062992125984" right="0.31496062992125984" top="0.39370078740157483" bottom="0.39370078740157483" header="0.31496062992125984" footer="0.31496062992125984"/>
  <pageSetup paperSize="9" scale="72" orientation="landscape" r:id="rId11"/>
  <drawing r:id="rId1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Zeros="0" zoomScale="90" zoomScaleNormal="90" workbookViewId="0">
      <selection activeCell="V3" sqref="V3"/>
    </sheetView>
  </sheetViews>
  <sheetFormatPr baseColWidth="10" defaultColWidth="0" defaultRowHeight="12.75" zeroHeight="1"/>
  <cols>
    <col min="1" max="1" width="3.125" style="127" customWidth="1"/>
    <col min="2" max="3" width="4.125" style="127" customWidth="1"/>
    <col min="4" max="4" width="24.625" style="127" customWidth="1"/>
    <col min="5" max="5" width="12.625" style="127" customWidth="1"/>
    <col min="6" max="7" width="11.625" style="127" customWidth="1"/>
    <col min="8" max="8" width="4.625" style="127" customWidth="1"/>
    <col min="9" max="11" width="6.125" style="127" customWidth="1"/>
    <col min="12" max="12" width="7.125" style="127" customWidth="1"/>
    <col min="13" max="14" width="6.125" style="127" customWidth="1"/>
    <col min="15" max="16" width="6.625" style="127" customWidth="1"/>
    <col min="17" max="17" width="6.125" style="127" customWidth="1"/>
    <col min="18" max="18" width="3.5" style="127" customWidth="1"/>
    <col min="19" max="22" width="11.625" style="127" customWidth="1"/>
    <col min="23" max="23" width="1" style="127" hidden="1" customWidth="1"/>
    <col min="24" max="24" width="3.125" style="127" hidden="1" customWidth="1"/>
    <col min="25" max="27" width="12.5" style="127" customWidth="1"/>
    <col min="28" max="29" width="14.625" style="127" customWidth="1"/>
    <col min="30" max="30" width="4.625" style="127" customWidth="1"/>
    <col min="31" max="31" width="4.125" style="2109" hidden="1" customWidth="1"/>
    <col min="32" max="32" width="6.625" style="1509" hidden="1" customWidth="1"/>
    <col min="33" max="34" width="10.625" style="127" hidden="1" customWidth="1"/>
    <col min="35" max="35" width="12.125" style="127" hidden="1" customWidth="1"/>
    <col min="36" max="40" width="10.625" style="144" hidden="1" customWidth="1"/>
    <col min="41" max="52" width="10.625" style="1238" hidden="1" customWidth="1"/>
    <col min="53" max="53" width="11.125" style="1238" hidden="1" customWidth="1"/>
    <col min="54" max="58" width="10.625" style="127" hidden="1" customWidth="1"/>
    <col min="59" max="59" width="11.625" style="127" hidden="1" customWidth="1"/>
    <col min="60" max="60" width="10.625" style="127" hidden="1" customWidth="1"/>
    <col min="61" max="61" width="11" style="127" hidden="1" customWidth="1"/>
    <col min="62" max="66" width="10.625" style="127" hidden="1" customWidth="1"/>
    <col min="67" max="16384" width="1.5" style="127" hidden="1"/>
  </cols>
  <sheetData>
    <row r="1" spans="1:60" s="1554" customFormat="1" ht="17.100000000000001" customHeight="1" thickBot="1">
      <c r="A1" s="1527">
        <v>1.06</v>
      </c>
      <c r="B1" s="2330" t="s">
        <v>1412</v>
      </c>
      <c r="C1" s="2330"/>
      <c r="D1" s="2330"/>
      <c r="E1" s="2330"/>
      <c r="F1" s="2330"/>
      <c r="G1" s="2330"/>
      <c r="H1" s="2330"/>
      <c r="I1" s="2330"/>
      <c r="J1" s="2330"/>
      <c r="K1" s="2330"/>
      <c r="L1" s="2330"/>
      <c r="M1" s="2330"/>
      <c r="N1" s="2330"/>
      <c r="O1" s="2330"/>
      <c r="P1" s="2330"/>
      <c r="Q1" s="2330"/>
      <c r="R1" s="2331" t="str">
        <f>IF(V3&gt;Enddatum,"Download neue Version hier klicken!","")</f>
        <v/>
      </c>
      <c r="S1" s="2331"/>
      <c r="T1" s="2331"/>
      <c r="U1" s="2331"/>
      <c r="V1" s="2331"/>
      <c r="W1" s="25"/>
      <c r="X1" s="25"/>
      <c r="AB1" s="1558"/>
      <c r="AC1" s="1558"/>
      <c r="AD1" s="2101">
        <v>1</v>
      </c>
      <c r="AE1" s="2107"/>
      <c r="AF1" s="976">
        <v>1</v>
      </c>
      <c r="AG1" s="2376" t="s">
        <v>1538</v>
      </c>
      <c r="AH1" s="2376" t="s">
        <v>1539</v>
      </c>
      <c r="AI1" s="1559"/>
      <c r="AK1" s="1554" t="s">
        <v>175</v>
      </c>
      <c r="AL1" s="1560" t="s">
        <v>176</v>
      </c>
      <c r="AM1" s="1560"/>
      <c r="AN1" s="1560"/>
      <c r="AO1" s="2378" t="s">
        <v>1485</v>
      </c>
      <c r="AP1" s="2378"/>
      <c r="AQ1" s="2378"/>
      <c r="AR1" s="2378"/>
    </row>
    <row r="2" spans="1:60" s="1528" customFormat="1" ht="17.100000000000001" customHeight="1" thickTop="1" thickBot="1">
      <c r="B2" s="2403" t="s">
        <v>1580</v>
      </c>
      <c r="C2" s="2404"/>
      <c r="D2" s="2404"/>
      <c r="E2" s="2404"/>
      <c r="F2" s="2404"/>
      <c r="G2" s="2404"/>
      <c r="H2" s="2404"/>
      <c r="I2" s="2404"/>
      <c r="J2" s="2404"/>
      <c r="K2" s="2404"/>
      <c r="L2" s="2404"/>
      <c r="M2" s="2404"/>
      <c r="N2" s="2404"/>
      <c r="O2" s="2384" t="str">
        <f>"Aktualisierungsstand:  "&amp;TEXT(Enddatum,"TT.MM.JJJJ")</f>
        <v>Aktualisierungsstand:  31.03.2025</v>
      </c>
      <c r="P2" s="2384"/>
      <c r="Q2" s="2385"/>
      <c r="R2" s="2400" t="str">
        <f>IF(V3&gt;Enddatum,"Achtung, Daten liegen nur bis "&amp;TEXT(Enddatum,"TT.MM.JJ")&amp;" vor!","2. Ehezeitl. Versorgungserwerb"&amp;IF(AND(Dat_EzA&gt;0,Dat_EzE&gt;0)," in "&amp;TEXT(YEARFRAC(Dat_EzA,Dat_EzE,3),"0,00")&amp;" Ehejahren",""))</f>
        <v>2. Ehezeitl. Versorgungserwerb</v>
      </c>
      <c r="S2" s="2401"/>
      <c r="T2" s="2401"/>
      <c r="U2" s="2401"/>
      <c r="V2" s="2402"/>
      <c r="W2" s="1172"/>
      <c r="X2" s="2570" t="s">
        <v>1459</v>
      </c>
      <c r="Y2" s="2573" t="s">
        <v>1583</v>
      </c>
      <c r="Z2" s="2574"/>
      <c r="AA2" s="2575"/>
      <c r="AB2" s="2416" t="s">
        <v>1929</v>
      </c>
      <c r="AC2" s="2417"/>
      <c r="AD2" s="2093">
        <v>1</v>
      </c>
      <c r="AE2" s="2107"/>
      <c r="AF2" s="976">
        <v>2</v>
      </c>
      <c r="AG2" s="2377"/>
      <c r="AH2" s="2376"/>
      <c r="AI2" s="1559"/>
      <c r="AJ2" s="1528" t="s">
        <v>7</v>
      </c>
      <c r="AK2" s="1528" t="e">
        <f>ROUND(YEARFRAC(T6,V3,3),2)</f>
        <v>#VALUE!</v>
      </c>
      <c r="AL2" s="1561" t="e">
        <f>ROUND(YEARFRAC(Dat_GebDat_F,Dat_EzE,3),2)</f>
        <v>#VALUE!</v>
      </c>
      <c r="AM2" s="1561"/>
      <c r="AN2" s="1561"/>
      <c r="AO2" s="1562" t="s">
        <v>1480</v>
      </c>
      <c r="AP2" s="1446" t="s">
        <v>1482</v>
      </c>
      <c r="AQ2" s="1446" t="s">
        <v>503</v>
      </c>
      <c r="AR2" s="1562" t="s">
        <v>1484</v>
      </c>
    </row>
    <row r="3" spans="1:60" s="1528" customFormat="1" ht="17.100000000000001" customHeight="1">
      <c r="B3" s="2405"/>
      <c r="C3" s="2406"/>
      <c r="D3" s="2406"/>
      <c r="E3" s="2406"/>
      <c r="F3" s="2406"/>
      <c r="G3" s="2406"/>
      <c r="H3" s="2406"/>
      <c r="I3" s="2406"/>
      <c r="J3" s="2406"/>
      <c r="K3" s="2406"/>
      <c r="L3" s="2406"/>
      <c r="M3" s="2406"/>
      <c r="N3" s="2406"/>
      <c r="O3" s="2386"/>
      <c r="P3" s="2386"/>
      <c r="Q3" s="2387"/>
      <c r="R3" s="2397"/>
      <c r="S3" s="1643" t="s">
        <v>1373</v>
      </c>
      <c r="T3" s="1180"/>
      <c r="U3" s="2026" t="s">
        <v>1938</v>
      </c>
      <c r="V3" s="1276"/>
      <c r="W3" s="1172"/>
      <c r="X3" s="2570"/>
      <c r="Y3" s="2413" t="s">
        <v>1478</v>
      </c>
      <c r="Z3" s="2414"/>
      <c r="AA3" s="2415"/>
      <c r="AB3" s="2418"/>
      <c r="AC3" s="2419"/>
      <c r="AD3" s="2094">
        <v>2</v>
      </c>
      <c r="AE3" s="2107"/>
      <c r="AF3" s="1528">
        <v>23</v>
      </c>
      <c r="AG3" s="2377"/>
      <c r="AH3" s="2376"/>
      <c r="AI3" s="1563"/>
      <c r="AJ3" s="1562" t="s">
        <v>1481</v>
      </c>
      <c r="AK3" s="1564">
        <v>2</v>
      </c>
      <c r="AL3" s="1561"/>
      <c r="AM3" s="1561"/>
      <c r="AN3" s="1561"/>
      <c r="AO3" s="1565" t="s">
        <v>219</v>
      </c>
      <c r="AP3" s="1566" t="s">
        <v>1384</v>
      </c>
      <c r="AQ3" s="1566" t="s">
        <v>1370</v>
      </c>
      <c r="AR3" s="1565" t="s">
        <v>1393</v>
      </c>
      <c r="AS3" s="2341" t="s">
        <v>1418</v>
      </c>
      <c r="AT3" s="2342"/>
      <c r="AU3" s="2342"/>
      <c r="AV3" s="2342"/>
      <c r="AW3" s="2342"/>
      <c r="AX3" s="2342"/>
      <c r="AY3" s="2342"/>
      <c r="AZ3" s="2342"/>
      <c r="BA3" s="2342"/>
      <c r="BB3" s="2342"/>
      <c r="BC3" s="2342"/>
      <c r="BD3" s="2342"/>
      <c r="BE3" s="2342"/>
      <c r="BF3" s="2343"/>
      <c r="BG3" s="2340" t="s">
        <v>1666</v>
      </c>
    </row>
    <row r="4" spans="1:60" s="1528" customFormat="1" ht="18" customHeight="1">
      <c r="B4" s="2364" t="s">
        <v>1504</v>
      </c>
      <c r="C4" s="2365"/>
      <c r="D4" s="2365"/>
      <c r="E4" s="2388"/>
      <c r="F4" s="2389"/>
      <c r="G4" s="2390"/>
      <c r="H4" s="2348"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349"/>
      <c r="J4" s="2349"/>
      <c r="K4" s="2349"/>
      <c r="L4" s="2349"/>
      <c r="M4" s="2349"/>
      <c r="N4" s="2349"/>
      <c r="O4" s="2349"/>
      <c r="P4" s="2349"/>
      <c r="Q4" s="2350"/>
      <c r="R4" s="2397"/>
      <c r="S4" s="2394" t="s">
        <v>1506</v>
      </c>
      <c r="T4" s="2394"/>
      <c r="U4" s="2571" t="s">
        <v>1507</v>
      </c>
      <c r="V4" s="2572"/>
      <c r="W4" s="1172"/>
      <c r="X4" s="2570"/>
      <c r="Y4" s="2413"/>
      <c r="Z4" s="2414"/>
      <c r="AA4" s="2415"/>
      <c r="AB4" s="2409" t="s">
        <v>1953</v>
      </c>
      <c r="AC4" s="2410"/>
      <c r="AD4" s="2093">
        <v>3</v>
      </c>
      <c r="AE4" s="2107"/>
      <c r="AF4" s="1528">
        <v>50</v>
      </c>
      <c r="AG4" s="2377"/>
      <c r="AH4" s="2376"/>
      <c r="AI4" s="1563"/>
      <c r="AJ4" s="1562" t="s">
        <v>1415</v>
      </c>
      <c r="AK4" s="1562" t="e">
        <f>VLOOKUP(V3,aktRW,2)</f>
        <v>#N/A</v>
      </c>
      <c r="AL4" s="1561"/>
      <c r="AM4" s="1561"/>
      <c r="AN4" s="1561"/>
      <c r="AO4" s="1562" t="s">
        <v>265</v>
      </c>
      <c r="AP4" s="1446" t="s">
        <v>1402</v>
      </c>
      <c r="AQ4" s="1446" t="s">
        <v>1371</v>
      </c>
      <c r="AR4" s="1567" t="s">
        <v>1390</v>
      </c>
      <c r="AS4" s="1568" t="s">
        <v>1369</v>
      </c>
      <c r="AT4" s="1562"/>
      <c r="AU4" s="1562"/>
      <c r="AV4" s="1446" t="s">
        <v>7</v>
      </c>
      <c r="AW4" s="1446"/>
      <c r="AX4" s="1446" t="s">
        <v>281</v>
      </c>
      <c r="AY4" s="1446" t="s">
        <v>282</v>
      </c>
      <c r="AZ4" s="1446" t="s">
        <v>174</v>
      </c>
      <c r="BA4" s="1446" t="s">
        <v>1416</v>
      </c>
      <c r="BB4" s="1446" t="s">
        <v>1417</v>
      </c>
      <c r="BC4" s="1446" t="s">
        <v>1496</v>
      </c>
      <c r="BD4" s="1446" t="s">
        <v>1495</v>
      </c>
      <c r="BE4" s="1446" t="s">
        <v>1367</v>
      </c>
      <c r="BF4" s="1569" t="s">
        <v>1419</v>
      </c>
      <c r="BG4" s="2340"/>
    </row>
    <row r="5" spans="1:60" s="1528" customFormat="1" ht="18" customHeight="1" thickBot="1">
      <c r="B5" s="2364" t="s">
        <v>1505</v>
      </c>
      <c r="C5" s="2365"/>
      <c r="D5" s="2365"/>
      <c r="E5" s="2391"/>
      <c r="F5" s="2392"/>
      <c r="G5" s="2393"/>
      <c r="H5" s="2351"/>
      <c r="I5" s="2352"/>
      <c r="J5" s="2352"/>
      <c r="K5" s="2352"/>
      <c r="L5" s="2352"/>
      <c r="M5" s="2352"/>
      <c r="N5" s="2352"/>
      <c r="O5" s="2352"/>
      <c r="P5" s="2352"/>
      <c r="Q5" s="2353"/>
      <c r="R5" s="2397"/>
      <c r="S5" s="1314" t="s">
        <v>618</v>
      </c>
      <c r="T5" s="1314" t="str">
        <f>IFERROR("Alter: "&amp;IF(Dat_EzE="","",IF(T6="","",TEXT(Dat_AlterM,"0,00"))),"")</f>
        <v xml:space="preserve">Alter: </v>
      </c>
      <c r="U5" s="1315" t="s">
        <v>618</v>
      </c>
      <c r="V5" s="1316" t="str">
        <f>IFERROR("Alter: "&amp;IF(Dat_EzE="","",IF(V6="","",TEXT(Dat_AlterF,"0,00"))),"")</f>
        <v xml:space="preserve">Alter: </v>
      </c>
      <c r="W5" s="980"/>
      <c r="X5" s="2570"/>
      <c r="Y5" s="2413"/>
      <c r="Z5" s="2414"/>
      <c r="AA5" s="2415"/>
      <c r="AB5" s="2409"/>
      <c r="AC5" s="2410"/>
      <c r="AD5" s="2094">
        <v>4</v>
      </c>
      <c r="AE5" s="2107"/>
      <c r="AF5" s="976"/>
      <c r="AG5" s="2377"/>
      <c r="AH5" s="2376"/>
      <c r="AI5" s="1563"/>
      <c r="AJ5" s="1562" t="s">
        <v>1476</v>
      </c>
      <c r="AK5" s="1562" t="e">
        <f>VLOOKUP(Dat_EzE,Umrechnungsfaktoren_BeitraginEP,2)</f>
        <v>#N/A</v>
      </c>
      <c r="AL5" s="1561"/>
      <c r="AM5" s="1561"/>
      <c r="AN5" s="1561"/>
      <c r="AO5" s="1562"/>
      <c r="AP5" s="1446" t="s">
        <v>1403</v>
      </c>
      <c r="AQ5" s="1446" t="s">
        <v>1483</v>
      </c>
      <c r="AR5" s="1567"/>
      <c r="AS5" s="1568" t="s">
        <v>175</v>
      </c>
      <c r="AT5" s="1562" t="s">
        <v>1453</v>
      </c>
      <c r="AU5" s="1564" t="b">
        <v>0</v>
      </c>
      <c r="AV5" s="1570" t="str">
        <f>IF(T6="","",ROUND(YEARFRAC(T6,V3,0),2))</f>
        <v/>
      </c>
      <c r="AW5" s="1571" t="str">
        <f>IF(OR(T6="",V3=""),"",DATE(YEAR(T6)+65,MONTH(T6)+VLOOKUP(YEAR(T6),Renteneintrittstabelle,2),DAY(T6)+1))</f>
        <v/>
      </c>
      <c r="AX5" s="1572" t="e">
        <f>ROUND(VLOOKUP(AV$5,CHOOSE(IF(IF(Dat_RentnerM,AV5,AR10)&lt;60,60,IF(AR10&gt;67,67,AR10))-59,HRIR60,HRIR61,HRIR62,HRIR63,HRIR64,HRIR,HRIR66,HRIR67),IF(Dat_Unisex,26,8))*0.55,4)</f>
        <v>#VALUE!</v>
      </c>
      <c r="AY5" s="1572" t="e">
        <f>ROUND(IF(Dat_RentnerM,0,VLOOKUP(AV$5,CHOOSE(IF(AR10&lt;60,60,IF(AR10&gt;67,67,AR10))-59,HRIR60,HRIR61,HRIR62,HRIR63,HRIR64,HRIR,HRIR66,HRIR67),IF(Dat_Unisex,25,7))),4)</f>
        <v>#VALUE!</v>
      </c>
      <c r="AZ5" s="1570" t="e">
        <f>ROUND(IF(Dat_RentnerM,AV5,VLOOKUP(YEAR(T6),Renteneintrittstabelle,3)),4)</f>
        <v>#VALUE!</v>
      </c>
      <c r="BA5" s="2008">
        <f>IF(V3&lt;AW5,AZ5-AV5,0)</f>
        <v>0</v>
      </c>
      <c r="BB5" s="2008" t="e">
        <f>VLOOKUP(IF(AZ5&gt;AV5,AZ5,AV5),IF(Dat_Unisex,Lebenserwartung_N_V2,Lebenserwartung_M_V2),YEAR(T6)+IF(MONTH(T6)&gt;6,1,0)-1900+2)</f>
        <v>#VALUE!</v>
      </c>
      <c r="BC5" s="1446" t="e">
        <f>VLOOKUP(ROUND(AZ5,0),IF(Dat_Unisex,G_Kohorte_N,G_Kohorte_M),YEAR(T6)+IF(MONTH(T6)&gt;6,1,0)-1900+2)</f>
        <v>#VALUE!</v>
      </c>
      <c r="BD5" s="1574" t="e">
        <f>VLOOKUP(ROUND(AV5,0),IF(Dat_Unisex,G_Kohorte_N,G_Kohorte_M),YEAR(T$6)+IF(MONTH(T6)&gt;6,1,0)-1900+2)</f>
        <v>#VALUE!</v>
      </c>
      <c r="BE5" s="1575" t="e">
        <f>ROUND(IF(AV5&gt;AZ5,1,BC5/BD5),4)</f>
        <v>#VALUE!</v>
      </c>
      <c r="BF5" s="1576" t="e">
        <f>-PV(BilMoG-RententrendDRV,BA5,,-PV(BilMoG-RententrendDRV,Fallerfassung!BB5,1*12))*(1+AY5+AX5)*BE5</f>
        <v>#VALUE!</v>
      </c>
    </row>
    <row r="6" spans="1:60" s="1528" customFormat="1" ht="18" customHeight="1" thickBot="1">
      <c r="B6" s="2364" t="s">
        <v>1386</v>
      </c>
      <c r="C6" s="2365"/>
      <c r="D6" s="2365"/>
      <c r="E6" s="2374"/>
      <c r="F6" s="2375"/>
      <c r="G6" s="1522" t="s">
        <v>1387</v>
      </c>
      <c r="H6" s="2433"/>
      <c r="I6" s="2375"/>
      <c r="J6" s="2375"/>
      <c r="K6" s="2375"/>
      <c r="L6" s="2435" t="s">
        <v>1391</v>
      </c>
      <c r="M6" s="2435"/>
      <c r="N6" s="2435"/>
      <c r="O6" s="2425"/>
      <c r="P6" s="2426"/>
      <c r="Q6" s="2426"/>
      <c r="R6" s="2397"/>
      <c r="S6" s="1324"/>
      <c r="T6" s="1463" t="str">
        <f>IFERROR(IF(S6&gt;0,S6,IFERROR(IF(L9="","",VALUE(MID(L9,4,2)&amp;"."&amp;MID(L9,6,2)&amp;"."&amp;MID(L9,8,2))),VALUE(MID(L9,3,2)&amp;"."&amp;MID(L9,5,2)&amp;"."&amp;MID(L9,7,2)))),"")</f>
        <v/>
      </c>
      <c r="U6" s="1324"/>
      <c r="V6" s="1775" t="str">
        <f>IFERROR(IF(U6&gt;0,U6,IFERROR(IF(L10="","",VALUE(MID(L10,4,2)&amp;"."&amp;MID(L10,6,2)&amp;"."&amp;MID(L10,8,2))),VALUE(MID(L10,3,2)&amp;"."&amp;MID(L10,5,2)&amp;"."&amp;MID(L10,7,2)))),"")</f>
        <v/>
      </c>
      <c r="W6" s="1172"/>
      <c r="X6" s="2570"/>
      <c r="Y6" s="2578" t="str">
        <f>IF(AA10&gt;0,"alt.ReZi",IF(Dat_EzE&lt;BilMoGAnfang,"kein BilMoG",IF(AA10&gt;0,"manueller ReZins",IF(Bilanz_BilMoG10,IF(Dat_EzE&lt;BilMoG10Anfang,"n. vorhanden","BilMoG-10"),IF(Dat_EzE&lt;BilMoGAnfang,"kein BilMoG-7","BilMoG-7")))))</f>
        <v>kein BilMoG</v>
      </c>
      <c r="Z6" s="2579"/>
      <c r="AA6" s="2011">
        <f>+BilMoG</f>
        <v>0.06</v>
      </c>
      <c r="AB6" s="2409"/>
      <c r="AC6" s="2410"/>
      <c r="AD6" s="2093">
        <v>5</v>
      </c>
      <c r="AE6" s="2107"/>
      <c r="AF6" s="976"/>
      <c r="AG6" s="2377"/>
      <c r="AH6" s="2376"/>
      <c r="AI6" s="1577"/>
      <c r="AJ6" s="2420" t="s">
        <v>1535</v>
      </c>
      <c r="AK6" s="2420"/>
      <c r="AL6" s="1561"/>
      <c r="AM6" s="1561"/>
      <c r="AN6" s="1561"/>
      <c r="AO6" s="1562"/>
      <c r="AP6" s="1446"/>
      <c r="AQ6" s="1446" t="s">
        <v>13</v>
      </c>
      <c r="AR6" s="1567"/>
      <c r="AS6" s="1578" t="s">
        <v>176</v>
      </c>
      <c r="AT6" s="1579" t="s">
        <v>1454</v>
      </c>
      <c r="AU6" s="1580" t="b">
        <v>0</v>
      </c>
      <c r="AV6" s="1581" t="str">
        <f>IF(Dat_EzE="","",IF(V6="","",ROUND(YEARFRAC(V6,V3,0),2)))</f>
        <v/>
      </c>
      <c r="AW6" s="1582" t="str">
        <f>IF(OR(V6="",V3=""),"",DATE(YEAR(V6)+65,MONTH(V6)+VLOOKUP(YEAR(V6),Renteneintrittstabelle,2),DAY(V6)+1))</f>
        <v/>
      </c>
      <c r="AX6" s="1583" t="e">
        <f>ROUND(VLOOKUP(AV$6,CHOOSE(IF(IF(Dat_RentnerF,AV6,AS10)&lt;60,60,IF(AS10&gt;67,67,AS10))-59,HRIR60,HRIR61,HRIR62,HRIR63,HRIR64,HRIR,HRIR66,HRIR67),IF(Dat_Unisex,26,17))*0.55,4)</f>
        <v>#VALUE!</v>
      </c>
      <c r="AY6" s="1583" t="e">
        <f>ROUND(IF(Dat_RentnerF,0,VLOOKUP(AV6,CHOOSE(IF(AS10&lt;60,60,IF(AS10&gt;67,67,AS10))-59,HRIR60,HRIR61,HRIR62,HRIR63,HRIR64,HRIR,HRIR66,HRIR67),IF(Dat_Unisex,25,16))),4)</f>
        <v>#VALUE!</v>
      </c>
      <c r="AZ6" s="1581" t="e">
        <f>IF(Dat_RentnerF,AV6,VLOOKUP(YEAR(V6),Renteneintrittstabelle,3))</f>
        <v>#VALUE!</v>
      </c>
      <c r="BA6" s="2008">
        <f>IF(V3&lt;AW6,AZ6-AV6,0)</f>
        <v>0</v>
      </c>
      <c r="BB6" s="2009" t="e">
        <f>VLOOKUP(IF(AZ6&gt;AV6,AZ6,AV6),IF(Dat_Unisex,Lebenserwartung_N_V2,Lebenserwartung_F_V2),YEAR(V6)+IF(MONTH(V6)&gt;6,1,0)-1900+2)</f>
        <v>#VALUE!</v>
      </c>
      <c r="BC6" s="1584" t="e">
        <f>VLOOKUP(ROUND(AZ6,0),IF(Dat_Unisex,G_Kohorte_N,G_Kohorte_F),YEAR(V6)+IF(MONTH(V6)&gt;6,1,0)-1900+2)</f>
        <v>#VALUE!</v>
      </c>
      <c r="BD6" s="1585" t="e">
        <f>VLOOKUP(ROUND(AV6,0),IF(Dat_Unisex,G_Kohorte_N,G_Kohorte_F),YEAR(V$6)+IF(MONTH(V6)&gt;6,1,0)-1900+2)</f>
        <v>#VALUE!</v>
      </c>
      <c r="BE6" s="1586" t="e">
        <f>ROUND(IF(AV6&gt;AZ6,1,BC6/BD6),4)</f>
        <v>#VALUE!</v>
      </c>
      <c r="BF6" s="1587" t="e">
        <f>-PV(BilMoG-RententrendDRV,BA6,,-PV(BilMoG-RententrendDRV,Fallerfassung!BB6,1*12))*(1+AY6+AX6)*BE6</f>
        <v>#VALUE!</v>
      </c>
    </row>
    <row r="7" spans="1:60" s="1528" customFormat="1" ht="18" customHeight="1" thickBot="1">
      <c r="A7" s="1529"/>
      <c r="B7" s="2395" t="s">
        <v>1388</v>
      </c>
      <c r="C7" s="2396"/>
      <c r="D7" s="2396"/>
      <c r="E7" s="2354"/>
      <c r="F7" s="2355"/>
      <c r="G7" s="1523" t="s">
        <v>1387</v>
      </c>
      <c r="H7" s="2354"/>
      <c r="I7" s="2355"/>
      <c r="J7" s="2356"/>
      <c r="K7" s="2356"/>
      <c r="L7" s="2363" t="s">
        <v>1392</v>
      </c>
      <c r="M7" s="2363"/>
      <c r="N7" s="2363"/>
      <c r="O7" s="2372"/>
      <c r="P7" s="2373"/>
      <c r="Q7" s="2373"/>
      <c r="R7" s="2398"/>
      <c r="S7" s="1471" t="str">
        <f>IFERROR("Rente ab: 6"&amp;TEXT(5+VLOOKUP(YEAR(T6),Renteneintrittstabelle,2)/12,"#0,00"),"")</f>
        <v/>
      </c>
      <c r="T7" s="1325" t="str">
        <f>+AW5</f>
        <v/>
      </c>
      <c r="U7" s="1472" t="str">
        <f>IFERROR("Rente ab: 6"&amp;TEXT(5+VLOOKUP(YEAR(V6),Renteneintrittstabelle,2)/12,"#0,00"),"")</f>
        <v/>
      </c>
      <c r="V7" s="1313" t="str">
        <f>+AW6</f>
        <v/>
      </c>
      <c r="W7" s="1172"/>
      <c r="X7" s="2570"/>
      <c r="Y7" s="1531"/>
      <c r="Z7" s="2010"/>
      <c r="AA7" s="2012"/>
      <c r="AB7" s="2409"/>
      <c r="AC7" s="2410"/>
      <c r="AD7" s="2094">
        <v>6</v>
      </c>
      <c r="AE7" s="2107"/>
      <c r="AF7" s="976"/>
      <c r="AG7" s="2377"/>
      <c r="AH7" s="2376"/>
      <c r="AI7" s="1559"/>
      <c r="AJ7" s="2421"/>
      <c r="AK7" s="2421"/>
      <c r="AL7" s="1561"/>
      <c r="AM7" s="1561"/>
      <c r="AN7" s="1561"/>
      <c r="BB7" s="1528" t="e">
        <f>VLOOKUP(IF(AZ5&gt;AV5,AZ5,AV5),IF(Dat_Unisex,Lebenserwartung_N_V2,Lebenserwartung_M_V2),YEAR(T6)-1900+2)</f>
        <v>#VALUE!</v>
      </c>
      <c r="BC7" s="1528">
        <f>VLOOKUP(65,Lebenserwartung_F_V2,50+2)</f>
        <v>22.6</v>
      </c>
    </row>
    <row r="8" spans="1:60" s="1528" customFormat="1" ht="18" customHeight="1" thickTop="1">
      <c r="A8" s="2489" t="s">
        <v>1397</v>
      </c>
      <c r="B8" s="2557" t="s">
        <v>646</v>
      </c>
      <c r="C8" s="2558"/>
      <c r="D8" s="2558"/>
      <c r="E8" s="2558"/>
      <c r="F8" s="2558"/>
      <c r="G8" s="2558"/>
      <c r="H8" s="2558"/>
      <c r="I8" s="2559"/>
      <c r="J8" s="2453" t="str">
        <f>"3. gesetzliche Rentenversicherung, Dyn: "&amp;TEXT(RententrendDRV,"0,00%")</f>
        <v>3. gesetzliche Rentenversicherung, Dyn: 2,60%</v>
      </c>
      <c r="K8" s="2454"/>
      <c r="L8" s="2454"/>
      <c r="M8" s="2454"/>
      <c r="N8" s="2454"/>
      <c r="O8" s="2454"/>
      <c r="P8" s="2454"/>
      <c r="Q8" s="2455"/>
      <c r="R8" s="1826" t="s">
        <v>1394</v>
      </c>
      <c r="S8" s="2400" t="str">
        <f>IFERROR(IF(Dat_EzE&gt;Enddatum,"kein aktRW vorhanden","3. AusglW DRV aktRW EzE: "&amp;TEXT(VLOOKUP(V3,aktRW,2),"#0,00 €")&amp;" / "&amp;TEXT(VLOOKUP(V3,aktRW,3),"#0,00 €")),"ges.Rentenversicherung")</f>
        <v>ges.Rentenversicherung</v>
      </c>
      <c r="T8" s="2401"/>
      <c r="U8" s="2401"/>
      <c r="V8" s="2402"/>
      <c r="W8" s="1172"/>
      <c r="X8" s="2570"/>
      <c r="Y8" s="2332" t="s">
        <v>1928</v>
      </c>
      <c r="Z8" s="2333"/>
      <c r="AA8" s="2334"/>
      <c r="AB8" s="2409"/>
      <c r="AC8" s="2410"/>
      <c r="AD8" s="2093">
        <v>7</v>
      </c>
      <c r="AE8" s="2107"/>
      <c r="AF8" s="976"/>
      <c r="AG8" s="2377"/>
      <c r="AH8" s="2376"/>
      <c r="AI8" s="1588"/>
      <c r="AJ8" s="2422"/>
      <c r="AK8" s="2422"/>
      <c r="AL8" s="1589"/>
      <c r="AM8" s="1589"/>
      <c r="AN8" s="1589"/>
      <c r="AO8" s="2344" t="s">
        <v>1410</v>
      </c>
      <c r="AP8" s="2588"/>
      <c r="AQ8" s="1562"/>
      <c r="AR8" s="2344" t="s">
        <v>259</v>
      </c>
      <c r="AS8" s="2587"/>
      <c r="AT8" s="1590"/>
      <c r="AU8" s="1590"/>
      <c r="AV8" s="2580" t="s">
        <v>1414</v>
      </c>
      <c r="AW8" s="2580"/>
      <c r="AX8" s="2580"/>
      <c r="AZ8" s="1591" t="e">
        <f>PV(BilMoG-RententrendDRV,AS12,AX10*12)</f>
        <v>#VALUE!</v>
      </c>
    </row>
    <row r="9" spans="1:60" s="1528" customFormat="1" ht="18" customHeight="1">
      <c r="A9" s="2489"/>
      <c r="B9" s="2357"/>
      <c r="C9" s="2358"/>
      <c r="D9" s="2358"/>
      <c r="E9" s="2358"/>
      <c r="F9" s="2358"/>
      <c r="G9" s="2358"/>
      <c r="H9" s="2358"/>
      <c r="I9" s="2359"/>
      <c r="J9" s="2338" t="s">
        <v>1404</v>
      </c>
      <c r="K9" s="2339"/>
      <c r="L9" s="2467"/>
      <c r="M9" s="2468"/>
      <c r="N9" s="2469"/>
      <c r="O9" s="2381" t="s">
        <v>1409</v>
      </c>
      <c r="P9" s="2382"/>
      <c r="Q9" s="2383"/>
      <c r="R9" s="1637">
        <f>+AJ9</f>
        <v>0</v>
      </c>
      <c r="S9" s="2399"/>
      <c r="T9" s="2399"/>
      <c r="U9" s="2399"/>
      <c r="V9" s="2569"/>
      <c r="W9" s="1172"/>
      <c r="X9" s="2570"/>
      <c r="Y9" s="2335"/>
      <c r="Z9" s="2336"/>
      <c r="AA9" s="2337"/>
      <c r="AB9" s="2409"/>
      <c r="AC9" s="2410"/>
      <c r="AD9" s="2094">
        <v>8</v>
      </c>
      <c r="AE9" s="2107"/>
      <c r="AF9" s="976"/>
      <c r="AG9" s="2377"/>
      <c r="AH9" s="2376"/>
      <c r="AI9" s="1559"/>
      <c r="AJ9" s="1561">
        <f>IF(U9+S9&gt;0,1,0)</f>
        <v>0</v>
      </c>
      <c r="AK9" s="1561" t="s">
        <v>587</v>
      </c>
      <c r="AL9" s="1589" t="b">
        <v>0</v>
      </c>
      <c r="AM9" s="1589"/>
      <c r="AN9" s="1589"/>
      <c r="AO9" s="1562" t="s">
        <v>1406</v>
      </c>
      <c r="AP9" s="1592" t="e">
        <f>TEXT(DAY(T6),"00")&amp;TEXT(MONTH(T6),"00")&amp;RIGHT(YEAR(T6),2)</f>
        <v>#VALUE!</v>
      </c>
      <c r="AQ9" s="1562"/>
      <c r="AR9" s="1446" t="s">
        <v>175</v>
      </c>
      <c r="AS9" s="1593" t="s">
        <v>176</v>
      </c>
      <c r="AT9" s="1593"/>
      <c r="AU9" s="1593"/>
      <c r="AV9" s="1562"/>
      <c r="AW9" s="1562" t="s">
        <v>175</v>
      </c>
      <c r="AX9" s="1562" t="s">
        <v>176</v>
      </c>
      <c r="BB9" s="2344" t="s">
        <v>1413</v>
      </c>
      <c r="BC9" s="2344"/>
      <c r="BE9" s="2106" t="s">
        <v>1956</v>
      </c>
    </row>
    <row r="10" spans="1:60" s="1528" customFormat="1" ht="18" customHeight="1" thickBot="1">
      <c r="A10" s="2529" t="s">
        <v>1398</v>
      </c>
      <c r="B10" s="2357"/>
      <c r="C10" s="2358"/>
      <c r="D10" s="2358"/>
      <c r="E10" s="2358"/>
      <c r="F10" s="2358"/>
      <c r="G10" s="2358"/>
      <c r="H10" s="2358"/>
      <c r="I10" s="2359"/>
      <c r="J10" s="2338" t="s">
        <v>1405</v>
      </c>
      <c r="K10" s="2339"/>
      <c r="L10" s="2467"/>
      <c r="M10" s="2468"/>
      <c r="N10" s="2469"/>
      <c r="O10" s="2381" t="s">
        <v>1408</v>
      </c>
      <c r="P10" s="2382"/>
      <c r="Q10" s="2383"/>
      <c r="R10" s="1637" t="str">
        <f>IF(+AJ10=0,"",AJ10)</f>
        <v/>
      </c>
      <c r="S10" s="2451"/>
      <c r="T10" s="2478"/>
      <c r="U10" s="2451"/>
      <c r="V10" s="2452"/>
      <c r="W10" s="1172"/>
      <c r="X10" s="2570"/>
      <c r="Y10" s="2576" t="s">
        <v>1509</v>
      </c>
      <c r="Z10" s="2577"/>
      <c r="AA10" s="2013"/>
      <c r="AB10" s="2411"/>
      <c r="AC10" s="2412"/>
      <c r="AD10" s="2093">
        <v>9</v>
      </c>
      <c r="AE10" s="2107"/>
      <c r="AF10" s="976"/>
      <c r="AG10" s="2377"/>
      <c r="AH10" s="2376"/>
      <c r="AI10" s="1559"/>
      <c r="AJ10" s="1561">
        <f>IF(U10+S10&gt;0,MAX(AJ$9:AJ9)+1,0)</f>
        <v>0</v>
      </c>
      <c r="AK10" s="2421" t="str">
        <f>+AL13</f>
        <v>ausglpfl. Person (M, 50), Rente ab 67: 500 €, ReZins BilMoG-7 ab 2008
Rentenerwerb aus Ausgl.Wert der Quellversorgung in DRV</v>
      </c>
      <c r="AL10" s="2421"/>
      <c r="AM10" s="2488"/>
      <c r="AN10" s="2003"/>
      <c r="AO10" s="1562" t="s">
        <v>1407</v>
      </c>
      <c r="AP10" s="1594" t="e">
        <f>TEXT(DAY(V6),"00")&amp;TEXT(MONTH(V6),"00")&amp;RIGHT(YEAR(V6),2)</f>
        <v>#VALUE!</v>
      </c>
      <c r="AQ10" s="1562" t="s">
        <v>1380</v>
      </c>
      <c r="AR10" s="1595" t="e">
        <f>VLOOKUP(YEAR(T6),Renteneintrittstabelle,3)</f>
        <v>#VALUE!</v>
      </c>
      <c r="AS10" s="1596" t="e">
        <f>VLOOKUP(YEAR(V6),Renteneintrittstabelle,3)</f>
        <v>#VALUE!</v>
      </c>
      <c r="AT10" s="1567"/>
      <c r="AU10" s="1567"/>
      <c r="AV10" s="1562" t="s">
        <v>126</v>
      </c>
      <c r="AW10" s="1597">
        <f>IFERROR(S13*(1+RententrendDRV)^AR11,0)</f>
        <v>0</v>
      </c>
      <c r="AX10" s="1597">
        <f>IFERROR(U13*(1+RententrendDRV)^Fallerfassung!AS11,0)</f>
        <v>0</v>
      </c>
      <c r="AY10" s="1591"/>
      <c r="AZ10" s="1591"/>
      <c r="BB10" s="1562" t="s">
        <v>1019</v>
      </c>
      <c r="BC10" s="1597" t="e">
        <f>VLOOKUP(YEAR(V3),MonatlicheBezugsgroesse,2)*1.2</f>
        <v>#N/A</v>
      </c>
      <c r="BE10" s="2105">
        <v>1</v>
      </c>
      <c r="BG10" s="1591">
        <f>-PV(-RententrendDRV,23.4,353.27*12)</f>
        <v>138971.86416242787</v>
      </c>
    </row>
    <row r="11" spans="1:60" s="1528" customFormat="1" ht="18" customHeight="1" thickBot="1">
      <c r="A11" s="2529"/>
      <c r="B11" s="2357"/>
      <c r="C11" s="2358"/>
      <c r="D11" s="2358"/>
      <c r="E11" s="2358"/>
      <c r="F11" s="2358"/>
      <c r="G11" s="2358"/>
      <c r="H11" s="2358"/>
      <c r="I11" s="2359"/>
      <c r="J11" s="2364" t="s">
        <v>1477</v>
      </c>
      <c r="K11" s="2365"/>
      <c r="L11" s="2365"/>
      <c r="M11" s="2365"/>
      <c r="N11" s="2365"/>
      <c r="O11" s="2365"/>
      <c r="P11" s="2365"/>
      <c r="Q11" s="2365"/>
      <c r="R11" s="1637" t="str">
        <f>IF(+AJ11=0,"",AJ11)</f>
        <v/>
      </c>
      <c r="S11" s="2451"/>
      <c r="T11" s="2478"/>
      <c r="U11" s="2451"/>
      <c r="V11" s="2452"/>
      <c r="W11" s="1172"/>
      <c r="X11" s="2570"/>
      <c r="Y11" s="2479" t="s">
        <v>1628</v>
      </c>
      <c r="Z11" s="2480"/>
      <c r="AA11" s="2481"/>
      <c r="AB11" s="2465" t="s">
        <v>1930</v>
      </c>
      <c r="AC11" s="2466"/>
      <c r="AD11" s="2094">
        <v>10</v>
      </c>
      <c r="AE11" s="2107"/>
      <c r="AF11" s="976"/>
      <c r="AG11" s="2377"/>
      <c r="AH11" s="2376"/>
      <c r="AI11" s="1559"/>
      <c r="AJ11" s="1561">
        <f>IF(U11+S11&gt;0,MAX(AJ$9:AJ10)+1,0)</f>
        <v>0</v>
      </c>
      <c r="AK11" s="2421"/>
      <c r="AL11" s="2421"/>
      <c r="AM11" s="2488"/>
      <c r="AN11" s="2003"/>
      <c r="AO11" s="1562" t="s">
        <v>1411</v>
      </c>
      <c r="AP11" s="1562"/>
      <c r="AQ11" s="1562" t="s">
        <v>259</v>
      </c>
      <c r="AR11" s="1598" t="e">
        <f>IF(OR(AR10&lt;AV5,Dat_RentnerM),0,AR10-AV5)</f>
        <v>#VALUE!</v>
      </c>
      <c r="AS11" s="1596" t="e">
        <f>ROUND(IF(OR(Dat_RentnerF,AS10&lt;AV6),0,AS10-AV6),2)</f>
        <v>#VALUE!</v>
      </c>
      <c r="AT11" s="1567"/>
      <c r="AU11" s="1567"/>
      <c r="AV11" s="1562" t="s">
        <v>1424</v>
      </c>
      <c r="AW11" s="1597" t="e">
        <f>PV(BilMoG,AR11,,PV(BilMoG-RententrendDRV,AR12,AW10*12,,0)*BE5)*(1+AX5+AY5)</f>
        <v>#VALUE!</v>
      </c>
      <c r="AX11" s="1597" t="e">
        <f>PV(BilMoG,AS11,,PV(BilMoG-RententrendDRV,AS12,AX10*12))*BE6*(1+AX6+AY6)</f>
        <v>#VALUE!</v>
      </c>
      <c r="AY11" s="1599" t="s">
        <v>1426</v>
      </c>
      <c r="AZ11" s="1510" t="s">
        <v>1427</v>
      </c>
      <c r="BB11" s="1562" t="s">
        <v>1385</v>
      </c>
      <c r="BC11" s="1597" t="e">
        <f>VLOOKUP(YEAR(V3),Beitragsbemessungsgrenze,4)</f>
        <v>#N/A</v>
      </c>
      <c r="BE11" s="2105">
        <v>0</v>
      </c>
      <c r="BG11" s="2095" t="e">
        <f>U13*12*(1+RententrendDRV)^BA6</f>
        <v>#VALUE!</v>
      </c>
      <c r="BH11" s="1528" t="e">
        <f>+BG11/12</f>
        <v>#VALUE!</v>
      </c>
    </row>
    <row r="12" spans="1:60" s="1528" customFormat="1" ht="18" customHeight="1">
      <c r="A12" s="2529"/>
      <c r="B12" s="2560"/>
      <c r="C12" s="2561"/>
      <c r="D12" s="2561"/>
      <c r="E12" s="2561"/>
      <c r="F12" s="2561"/>
      <c r="G12" s="2561"/>
      <c r="H12" s="2561"/>
      <c r="I12" s="2562"/>
      <c r="J12" s="2366" t="s">
        <v>1512</v>
      </c>
      <c r="K12" s="2367"/>
      <c r="L12" s="2367"/>
      <c r="M12" s="2367"/>
      <c r="N12" s="2367"/>
      <c r="O12" s="2367"/>
      <c r="P12" s="2367"/>
      <c r="Q12" s="2368"/>
      <c r="R12" s="1638"/>
      <c r="S12" s="1755" t="s">
        <v>21</v>
      </c>
      <c r="T12" s="1755" t="str">
        <f>"Barwert "&amp;IF(Dat_Unisex,divers,"")</f>
        <v xml:space="preserve">Barwert </v>
      </c>
      <c r="U12" s="1756" t="s">
        <v>21</v>
      </c>
      <c r="V12" s="1757" t="str">
        <f>"Barwert "&amp;IF(Dat_Unisex,divers,"")</f>
        <v xml:space="preserve">Barwert </v>
      </c>
      <c r="W12" s="1172"/>
      <c r="X12" s="2570"/>
      <c r="Y12" s="1532" t="s">
        <v>126</v>
      </c>
      <c r="Z12" s="1533" t="s">
        <v>175</v>
      </c>
      <c r="AA12" s="1533" t="s">
        <v>176</v>
      </c>
      <c r="AB12" s="2016" t="s">
        <v>175</v>
      </c>
      <c r="AC12" s="2017" t="s">
        <v>176</v>
      </c>
      <c r="AD12" s="2093">
        <v>11</v>
      </c>
      <c r="AE12" s="2107"/>
      <c r="AF12" s="976"/>
      <c r="AG12" s="2377"/>
      <c r="AH12" s="2376"/>
      <c r="AI12" s="1600" t="str">
        <f>TEXT(AK12,"0000")</f>
        <v>0000</v>
      </c>
      <c r="AJ12" s="1561"/>
      <c r="AK12" s="1601">
        <v>5.5E-2</v>
      </c>
      <c r="AL12" s="1561"/>
      <c r="AM12" s="1561"/>
      <c r="AN12" s="1561"/>
      <c r="AO12" s="1562" t="e">
        <f>IF(OR(VALUE(RIGHT(L9,3))&gt;499,AP9&lt;&gt;AP12),1,0)</f>
        <v>#VALUE!</v>
      </c>
      <c r="AP12" s="1562" t="str">
        <f>MID(L9,IF(MID(L9,3,1)=" ",4,3),6)</f>
        <v/>
      </c>
      <c r="AQ12" s="1562" t="s">
        <v>258</v>
      </c>
      <c r="AR12" s="1598" t="e">
        <f>VLOOKUP(AV5+IF(Dat_RentnerM,0,AR11),IF(Dat_Unisex,Lebenserwartung_N_V2,Lebenserwartung_M_V2),YEAR(T6)+IF(MONTH(T6)&gt;6,1,0)-1900+2)</f>
        <v>#VALUE!</v>
      </c>
      <c r="AS12" s="1602" t="e">
        <f>VLOOKUP(AV6+IF(Dat_RentnerF,0,AS11),IF(Dat_Unisex,Lebenserwartung_N_V2,Lebenserwartung_F_V2),YEAR(V6)+IF(MONTH(V6)&gt;6,1,0)-1900+2)</f>
        <v>#VALUE!</v>
      </c>
      <c r="AT12" s="1596"/>
      <c r="AU12" s="1596"/>
      <c r="AV12" s="1562" t="s">
        <v>1268</v>
      </c>
      <c r="AW12" s="1597" t="e">
        <f>+S15*(1+RententrendDRV)^AR11</f>
        <v>#VALUE!</v>
      </c>
      <c r="AX12" s="1597" t="e">
        <f>U15*(1+RententrendDRV)^AS11</f>
        <v>#VALUE!</v>
      </c>
      <c r="AY12" s="1603" t="e">
        <f>+S16*(1+RententrendDRV)^Fallerfassung!AR11</f>
        <v>#VALUE!</v>
      </c>
      <c r="AZ12" s="1604" t="e">
        <f>+U16*(1+RententrendDRV)^Fallerfassung!AS11</f>
        <v>#VALUE!</v>
      </c>
      <c r="BB12" s="1562" t="s">
        <v>1389</v>
      </c>
      <c r="BC12" s="1597" t="e">
        <f>VLOOKUP(YEAR(V3),MonatlicheBezugsgroesse,2)*2.4</f>
        <v>#N/A</v>
      </c>
      <c r="BF12" s="1528" t="e">
        <f>Dat_Pension_M1*12*(1+RententrendDRV)^Dat_AZeit_M</f>
        <v>#VALUE!</v>
      </c>
      <c r="BG12" s="1528" t="e">
        <f>+BF12/12</f>
        <v>#VALUE!</v>
      </c>
    </row>
    <row r="13" spans="1:60" s="1528" customFormat="1" ht="18" customHeight="1" thickBot="1">
      <c r="A13" s="2529"/>
      <c r="B13" s="2357"/>
      <c r="C13" s="2358"/>
      <c r="D13" s="2358"/>
      <c r="E13" s="2358"/>
      <c r="F13" s="2358"/>
      <c r="G13" s="2358"/>
      <c r="H13" s="2358"/>
      <c r="I13" s="2359"/>
      <c r="J13" s="2369"/>
      <c r="K13" s="2370"/>
      <c r="L13" s="2370"/>
      <c r="M13" s="2370"/>
      <c r="N13" s="2370"/>
      <c r="O13" s="2370"/>
      <c r="P13" s="2370"/>
      <c r="Q13" s="2371"/>
      <c r="R13" s="1639"/>
      <c r="S13" s="1342" t="str">
        <f>IFERROR(ROUND((S9+IF(StDat_GrusiAdd,S11,0))*VLOOKUP(V3,aktRW,2)+S10*VLOOKUP(V3,aktRW,3),2),"")</f>
        <v/>
      </c>
      <c r="T13" s="1401">
        <f>IFERROR(AW11,0)</f>
        <v>0</v>
      </c>
      <c r="U13" s="1343" t="str">
        <f>IFERROR(ROUND((U9+IF(StDat_GrusiAdd,U11,0))*VLOOKUP(V3,aktRW,2)+U10*VLOOKUP(V3,aktRW,3),2),"")</f>
        <v/>
      </c>
      <c r="V13" s="1402">
        <f>IFERROR(AX11,0)</f>
        <v>0</v>
      </c>
      <c r="W13" s="1326"/>
      <c r="X13" s="1201"/>
      <c r="Y13" s="1534" t="s">
        <v>1575</v>
      </c>
      <c r="Z13" s="1342">
        <f>IFERROR(S$9/VLOOKUP(V3,Umrechnungsfaktoren,2)+IF(V3&gt;=Parameter!Q23,S10/VLOOKUP(V3,Umrechnungsfaktoren,3),0)+IF(StDat_GrusiAdd,S11,0)/VLOOKUP(V3,Umrechnungsfaktoren,2),0)</f>
        <v>0</v>
      </c>
      <c r="AA13" s="1343" t="str">
        <f>IFERROR(U$9/VLOOKUP(V3,Umrechnungsfaktoren,2)+IF(V3&gt;=Parameter!Q23,U10/VLOOKUP(V3,Umrechnungsfaktoren,3),0)+IF(StDat_GrusiAdd,U11,0)/VLOOKUP(V3,Umrechnungsfaktoren,2),"")</f>
        <v/>
      </c>
      <c r="AB13" s="2020">
        <f>IFERROR(-PV(-RententrendDRV,BB5,S13*12*(1+RententrendDRV)^BA5,,1)/IF(ReSummeM,BB5*12,1),0)</f>
        <v>0</v>
      </c>
      <c r="AC13" s="2023">
        <f>IFERROR(-PV(-RententrendDRV,BB6,U13*12*(1+RententrendDRV)^BA6,,1)/IF(ReSummeM,BB6*12,1),0)</f>
        <v>0</v>
      </c>
      <c r="AD13" s="2094">
        <v>12</v>
      </c>
      <c r="AE13" s="2107"/>
      <c r="AF13" s="976"/>
      <c r="AG13" s="1605"/>
      <c r="AH13" s="1591"/>
      <c r="AI13" s="1606"/>
      <c r="AJ13" s="1589"/>
      <c r="AK13" s="1589"/>
      <c r="AL13" s="2487" t="str">
        <f>IF(AL18&lt;&gt;"",AL18,"Alter der ausglpfl. Person: "&amp;TEXT(AF4,"##")&amp;" ReZins: "&amp;TEXT(P28,"0,00%")&amp;CHAR(10)&amp;AL17&amp;" Rentenertrag (Barwert) aus Ausgl.wert in DRV: "&amp;TEXT(AI38,"0,00%")&amp;" der auszugleichenden Versorgung")</f>
        <v>ausglpfl. Person (M, 50), Rente ab 67: 500 €, ReZins BilMoG-7 ab 2008
Rentenerwerb aus Ausgl.Wert der Quellversorgung in DRV</v>
      </c>
      <c r="AM13" s="1607"/>
      <c r="AN13" s="1607"/>
      <c r="AO13" s="1562" t="e">
        <f>IF(OR(VALUE(RIGHT(L10,3))&lt;500,AP13&lt;&gt;AP10),1,0)</f>
        <v>#VALUE!</v>
      </c>
      <c r="AP13" s="1562" t="str">
        <f>MID(L10,IF(MID(L10,3,1)=" ",4,3),6)</f>
        <v/>
      </c>
      <c r="AQ13" s="1562" t="s">
        <v>271</v>
      </c>
      <c r="AR13" s="1608">
        <f>IF(AA10&lt;&gt;"",AA10,IFERROR(VLOOKUP(V3,IF(Bilanz_BilMoG10,BilMoG10,BilmoGZins),16)/100,6%))</f>
        <v>0.06</v>
      </c>
      <c r="AS13" s="1609"/>
      <c r="AT13" s="1609"/>
      <c r="AU13" s="1609"/>
      <c r="AV13" s="1562" t="s">
        <v>1425</v>
      </c>
      <c r="AW13" s="1597" t="e">
        <f>PV(BilMoG,AR11,,PV(BilMoG-RententrendDRV,AR12,AW12*12,,1))*BE5*(1+AX5+AY5)</f>
        <v>#VALUE!</v>
      </c>
      <c r="AX13" s="1597" t="e">
        <f>PV(BilMoG,AS11,,PV(BilMoG-RententrendDRV,Fallerfassung!AS12,AX12*12))*BE6*(1+AX6+AY6)</f>
        <v>#VALUE!</v>
      </c>
      <c r="AY13" s="1610" t="e">
        <f>PV(BilMoG,AR11,,PV(BilMoG-RententrendDRV,Fallerfassung!AR12,AY12*12))*BE5*(1+AX5+AY5)</f>
        <v>#VALUE!</v>
      </c>
      <c r="AZ13" s="1611" t="e">
        <f>PV(BilMoG,AS11,,PV(BilMoG-RententrendDRV,Fallerfassung!AS12,AZ12*12))*BE6*(1+AX6+AY6)</f>
        <v>#VALUE!</v>
      </c>
      <c r="BB13" s="1562" t="s">
        <v>1375</v>
      </c>
      <c r="BC13" s="1564" t="b">
        <v>0</v>
      </c>
    </row>
    <row r="14" spans="1:60" s="1528" customFormat="1" ht="18" customHeight="1" thickTop="1" thickBot="1">
      <c r="A14" s="2529"/>
      <c r="B14" s="2360"/>
      <c r="C14" s="2361"/>
      <c r="D14" s="2361"/>
      <c r="E14" s="2361"/>
      <c r="F14" s="2361"/>
      <c r="G14" s="2361"/>
      <c r="H14" s="2361"/>
      <c r="I14" s="2362"/>
      <c r="J14" s="2436" t="str">
        <f>"4. Beamtenversorgung, Dynamik  "&amp;TEXT('Dies &amp; Das'!E3,"0,00%")</f>
        <v>4. Beamtenversorgung, Dynamik  2,60%</v>
      </c>
      <c r="K14" s="2437"/>
      <c r="L14" s="2437"/>
      <c r="M14" s="2437"/>
      <c r="N14" s="2437"/>
      <c r="O14" s="2437"/>
      <c r="P14" s="2437"/>
      <c r="Q14" s="2437"/>
      <c r="R14" s="1640"/>
      <c r="S14" s="1758" t="s">
        <v>1374</v>
      </c>
      <c r="T14" s="1758" t="str">
        <f>"Barwert "&amp;IF(Dat_Unisex,divers,"")</f>
        <v xml:space="preserve">Barwert </v>
      </c>
      <c r="U14" s="1759" t="s">
        <v>1374</v>
      </c>
      <c r="V14" s="1760" t="str">
        <f>"Barwert "&amp;IF(Dat_Unisex,divers,"")</f>
        <v xml:space="preserve">Barwert </v>
      </c>
      <c r="W14" s="1172"/>
      <c r="X14" s="1201"/>
      <c r="Y14" s="1535" t="s">
        <v>1268</v>
      </c>
      <c r="Z14" s="1536" t="s">
        <v>175</v>
      </c>
      <c r="AA14" s="1536" t="s">
        <v>176</v>
      </c>
      <c r="AB14" s="2438" t="s">
        <v>209</v>
      </c>
      <c r="AC14" s="2439"/>
      <c r="AD14" s="2093">
        <v>13</v>
      </c>
      <c r="AE14" s="2107"/>
      <c r="AF14" s="976">
        <v>2000</v>
      </c>
      <c r="AG14" s="1612">
        <v>53086.508000000002</v>
      </c>
      <c r="AH14" s="1612">
        <v>51732.500999999997</v>
      </c>
      <c r="AI14" s="1613">
        <f>+AH14/AG14</f>
        <v>0.97449432914291512</v>
      </c>
      <c r="AJ14" s="1589"/>
      <c r="AK14" s="1614">
        <f t="shared" ref="AK14:AK37" si="0">IFERROR(VLOOKUP(DATE(AF14,11,30),BilmoGZins,16)/100,5.5%)</f>
        <v>5.5E-2</v>
      </c>
      <c r="AL14" s="2487"/>
      <c r="AM14" s="1607" t="str">
        <f>TEXT(AF14,"####")&amp;" / "&amp;TEXT(AK14,"###,##%")</f>
        <v>2000 / 5,5%</v>
      </c>
      <c r="AN14" s="1607"/>
      <c r="AP14" s="1528" t="str">
        <f>LEFT(L9,6)</f>
        <v/>
      </c>
      <c r="AV14" s="1562" t="s">
        <v>1378</v>
      </c>
      <c r="AW14" s="1615" t="e">
        <f>+S19*(1+DynamikBerstdV)^AR11</f>
        <v>#VALUE!</v>
      </c>
      <c r="AX14" s="1597" t="e">
        <f>U19*(1+DynamikBerstdV)^AS11</f>
        <v>#VALUE!</v>
      </c>
      <c r="BE14" s="1591">
        <f>-PV(6%-2.6%,15.45,42.33*12)</f>
        <v>6027.3208263622946</v>
      </c>
    </row>
    <row r="15" spans="1:60" s="1528" customFormat="1" ht="18" customHeight="1" thickTop="1">
      <c r="A15" s="2529"/>
      <c r="B15" s="2536" t="str">
        <f>IF(TO_vorhanden&gt;12,"Eine TO eines Versorgungsträgers könnte gelistet sein!","(15) Kontrolle der Teilungsordnung (TO)")</f>
        <v>(15) Kontrolle der Teilungsordnung (TO)</v>
      </c>
      <c r="C15" s="2537"/>
      <c r="D15" s="2537"/>
      <c r="E15" s="2537"/>
      <c r="F15" s="2537"/>
      <c r="G15" s="2540" t="s">
        <v>1433</v>
      </c>
      <c r="H15" s="2541"/>
      <c r="I15" s="2542"/>
      <c r="J15" s="2423"/>
      <c r="K15" s="2424"/>
      <c r="L15" s="2424"/>
      <c r="M15" s="2424"/>
      <c r="N15" s="2424"/>
      <c r="O15" s="2424"/>
      <c r="P15" s="2424"/>
      <c r="Q15" s="2424"/>
      <c r="R15" s="1637" t="str">
        <f>IF(AJ15=0,"",AJ15)</f>
        <v/>
      </c>
      <c r="S15" s="1305"/>
      <c r="T15" s="1403">
        <f>IFERROR(AW13,0)</f>
        <v>0</v>
      </c>
      <c r="U15" s="1305"/>
      <c r="V15" s="1404">
        <f>IFERROR(AX13,0)</f>
        <v>0</v>
      </c>
      <c r="W15" s="1172"/>
      <c r="X15" s="1201"/>
      <c r="Y15" s="1537">
        <v>1</v>
      </c>
      <c r="Z15" s="2024" t="str">
        <f>IFERROR(S15/VLOOKUP(V$3,aktRW,2)/VLOOKUP(V$3,Umrechnungsfaktoren,2),"")</f>
        <v/>
      </c>
      <c r="AA15" s="2025" t="str">
        <f>IFERROR(U15/VLOOKUP(V$3,aktRW,2)/VLOOKUP(V$3,Umrechnungsfaktoren,2),"")</f>
        <v/>
      </c>
      <c r="AB15" s="2014">
        <f>IFERROR(-PV(-RententrendDRV,Dat_LZeit_M,Dat_Pension_M1*12*(1+RententrendDRV)^Dat_AZeit_M,,1)/IF(ReSummeM,Dat_LZeit_M*12,1),0)</f>
        <v>0</v>
      </c>
      <c r="AC15" s="2015">
        <f>IFERROR(-PV(-RententrendDRV,Dat_LZeit_F,Dat_Pension_F1*12*(1+RententrendDRV)^Dat_AZeit_F,,1)/IF(ReSummeM,Dat_LZeit_F*12,1),0)</f>
        <v>0</v>
      </c>
      <c r="AD15" s="2094">
        <v>14</v>
      </c>
      <c r="AE15" s="2107"/>
      <c r="AF15" s="976">
        <v>2001</v>
      </c>
      <c r="AG15" s="1612">
        <v>53086.508000000002</v>
      </c>
      <c r="AH15" s="1612">
        <v>53442.151700000002</v>
      </c>
      <c r="AI15" s="1613">
        <f t="shared" ref="AI15:AI37" si="1">+AH15/AG15</f>
        <v>1.0066993236774964</v>
      </c>
      <c r="AJ15" s="1589">
        <f>IF(U15+S15&gt;0,MAX(AJ$9:AJ14)+1,0)</f>
        <v>0</v>
      </c>
      <c r="AK15" s="1614">
        <f t="shared" si="0"/>
        <v>5.5E-2</v>
      </c>
      <c r="AL15" s="2487"/>
      <c r="AM15" s="1607" t="str">
        <f t="shared" ref="AM15:AM37" si="2">TEXT(AF15,"####")&amp;" / "&amp;TEXT(AK15,"###,##%")</f>
        <v>2001 / 5,5%</v>
      </c>
      <c r="AN15" s="1607"/>
      <c r="AO15" s="1528" t="s">
        <v>1927</v>
      </c>
      <c r="AP15" s="1529" t="b">
        <v>0</v>
      </c>
      <c r="AV15" s="1562" t="s">
        <v>1428</v>
      </c>
      <c r="AW15" s="1597" t="e">
        <f>PV(BilMoG,AR11,,PV(BilMoG-DynamikBerstdV,AR12,AW14*12,,1))*BE5*(1+AX5+AY5)</f>
        <v>#VALUE!</v>
      </c>
      <c r="AX15" s="1597" t="e">
        <f>PV(BilMoG,AS11,,PV(BilMoG-DynamikBerstdV,AS12,AX14*12))*BE6*(1+AX6+AY6)</f>
        <v>#VALUE!</v>
      </c>
      <c r="BD15" s="1591"/>
    </row>
    <row r="16" spans="1:60" s="1528" customFormat="1" ht="18" customHeight="1" thickBot="1">
      <c r="A16" s="2529"/>
      <c r="B16" s="2538"/>
      <c r="C16" s="2539"/>
      <c r="D16" s="2539"/>
      <c r="E16" s="2539"/>
      <c r="F16" s="2539"/>
      <c r="G16" s="2543"/>
      <c r="H16" s="2544"/>
      <c r="I16" s="2545"/>
      <c r="J16" s="2379"/>
      <c r="K16" s="2380"/>
      <c r="L16" s="2380"/>
      <c r="M16" s="2380"/>
      <c r="N16" s="2380"/>
      <c r="O16" s="2380"/>
      <c r="P16" s="2380"/>
      <c r="Q16" s="2380"/>
      <c r="R16" s="1637" t="str">
        <f>IF(AJ16=0,"",AJ16)</f>
        <v/>
      </c>
      <c r="S16" s="1333"/>
      <c r="T16" s="1401">
        <f>IFERROR(AY13,0)</f>
        <v>0</v>
      </c>
      <c r="U16" s="1333"/>
      <c r="V16" s="1402">
        <f>IFERROR(AZ13,0)</f>
        <v>0</v>
      </c>
      <c r="W16" s="1172"/>
      <c r="X16" s="1201"/>
      <c r="Y16" s="1538">
        <v>2</v>
      </c>
      <c r="Z16" s="1342" t="str">
        <f>IFERROR(+S16/VLOOKUP(V$3,aktRW,2)/VLOOKUP(V$3,Umrechnungsfaktoren,2),"")</f>
        <v/>
      </c>
      <c r="AA16" s="1343" t="str">
        <f>IFERROR(U16/VLOOKUP(V$3,aktRW,2)/VLOOKUP(V$3,Umrechnungsfaktoren,2),"")</f>
        <v/>
      </c>
      <c r="AB16" s="2021">
        <f>IFERROR(-PV(-RententrendDRV,Dat_LZeit_M,Dat_Pension_M2*12*(1+RententrendDRV)^Dat_AZeit_M,,1)/IF(ReSummeM,Dat_LZeit_M*12,1),0)</f>
        <v>0</v>
      </c>
      <c r="AC16" s="2022">
        <f>IFERROR(-PV(-RententrendDRV,Dat_LZeit_F,Dat_Pension_F2*12*(1+RententrendDRV)^Dat_AZeit_F,,1)/IF(ReSummeM,Dat_LZeit_F*12,1),0)</f>
        <v>0</v>
      </c>
      <c r="AD16" s="2093">
        <v>15</v>
      </c>
      <c r="AE16" s="2107"/>
      <c r="AF16" s="976">
        <v>2002</v>
      </c>
      <c r="AG16" s="1612">
        <v>53086.508000000002</v>
      </c>
      <c r="AH16" s="1612">
        <v>53154.326999999997</v>
      </c>
      <c r="AI16" s="1613">
        <f t="shared" si="1"/>
        <v>1.0012775185740226</v>
      </c>
      <c r="AJ16" s="1589">
        <f>IF(U16+S16&gt;0,MAX(AJ$9:AJ15)+1,0)</f>
        <v>0</v>
      </c>
      <c r="AK16" s="1614">
        <f t="shared" si="0"/>
        <v>5.5E-2</v>
      </c>
      <c r="AL16" s="2487"/>
      <c r="AM16" s="1607" t="str">
        <f t="shared" si="2"/>
        <v>2002 / 5,5%</v>
      </c>
      <c r="AN16" s="1607"/>
      <c r="BD16" s="1591"/>
    </row>
    <row r="17" spans="1:64" s="1528" customFormat="1" ht="18" customHeight="1" thickTop="1">
      <c r="A17" s="2529"/>
      <c r="B17" s="2549"/>
      <c r="C17" s="2550"/>
      <c r="D17" s="2550"/>
      <c r="E17" s="2550"/>
      <c r="F17" s="2550"/>
      <c r="G17" s="2546" t="str">
        <f>IFERROR('TO-Prüfung'!H7,"")</f>
        <v/>
      </c>
      <c r="H17" s="2547"/>
      <c r="I17" s="2548"/>
      <c r="J17" s="2436" t="str">
        <f>"5. Berufsständische Versorgungen, Dyn: "&amp;TEXT('Dies &amp; Das'!E9,"0,00%")</f>
        <v>5. Berufsständische Versorgungen, Dyn: 0,50%</v>
      </c>
      <c r="K17" s="2437"/>
      <c r="L17" s="2437"/>
      <c r="M17" s="2437"/>
      <c r="N17" s="2437"/>
      <c r="O17" s="2437"/>
      <c r="P17" s="2437"/>
      <c r="Q17" s="2437"/>
      <c r="R17" s="1640"/>
      <c r="S17" s="2475" t="s">
        <v>1379</v>
      </c>
      <c r="T17" s="2476"/>
      <c r="U17" s="2476"/>
      <c r="V17" s="2477"/>
      <c r="W17" s="1172"/>
      <c r="X17" s="1201"/>
      <c r="Y17" s="2482" t="str">
        <f>"10. KoKa d. berufsstd. Versorg.:"</f>
        <v>10. KoKa d. berufsstd. Versorg.:</v>
      </c>
      <c r="Z17" s="2483"/>
      <c r="AA17" s="2484"/>
      <c r="AB17" s="2438" t="s">
        <v>539</v>
      </c>
      <c r="AC17" s="2439"/>
      <c r="AD17" s="2094">
        <v>16</v>
      </c>
      <c r="AE17" s="2107"/>
      <c r="AF17" s="976">
        <v>2003</v>
      </c>
      <c r="AG17" s="1612">
        <v>53086.508000000002</v>
      </c>
      <c r="AH17" s="1616">
        <v>51735.291299999997</v>
      </c>
      <c r="AI17" s="1613">
        <f t="shared" si="1"/>
        <v>0.97454689052065724</v>
      </c>
      <c r="AJ17" s="1589"/>
      <c r="AK17" s="1614">
        <f t="shared" si="0"/>
        <v>5.5E-2</v>
      </c>
      <c r="AL17" s="1589" t="s">
        <v>829</v>
      </c>
      <c r="AM17" s="1607" t="str">
        <f t="shared" si="2"/>
        <v>2003 / 5,5%</v>
      </c>
      <c r="AN17" s="1607"/>
      <c r="AO17" s="2344" t="s">
        <v>1475</v>
      </c>
      <c r="AP17" s="2344"/>
      <c r="AQ17" s="2344"/>
      <c r="AR17" s="2344"/>
      <c r="AS17" s="2344"/>
      <c r="AT17" s="1446"/>
      <c r="AU17" s="1446"/>
      <c r="AV17" s="2470" t="s">
        <v>1957</v>
      </c>
      <c r="AW17" s="2470" t="s">
        <v>1958</v>
      </c>
      <c r="AX17" s="2470" t="s">
        <v>1959</v>
      </c>
      <c r="AY17" s="1562"/>
      <c r="AZ17" s="1562"/>
      <c r="BA17" s="2344" t="s">
        <v>1516</v>
      </c>
      <c r="BB17" s="2344"/>
      <c r="BC17" s="2344"/>
      <c r="BD17" s="1591"/>
      <c r="BI17" s="1591" t="e">
        <f>-PV(-RententrendDRV,AR27,Z27*12,,)</f>
        <v>#VALUE!</v>
      </c>
    </row>
    <row r="18" spans="1:64" s="1528" customFormat="1" ht="18" customHeight="1">
      <c r="A18" s="2529"/>
      <c r="B18" s="2551" t="str">
        <f>IFERROR('TO-Prüfung'!O13,"")</f>
        <v/>
      </c>
      <c r="C18" s="2552"/>
      <c r="D18" s="2552"/>
      <c r="E18" s="2552"/>
      <c r="F18" s="2552"/>
      <c r="G18" s="2552"/>
      <c r="H18" s="2552"/>
      <c r="I18" s="2553"/>
      <c r="J18" s="2456"/>
      <c r="K18" s="2457"/>
      <c r="L18" s="2457"/>
      <c r="M18" s="2457"/>
      <c r="N18" s="2457"/>
      <c r="O18" s="2457"/>
      <c r="P18" s="2457"/>
      <c r="Q18" s="2457"/>
      <c r="R18" s="1637"/>
      <c r="S18" s="1755" t="s">
        <v>21</v>
      </c>
      <c r="T18" s="1755" t="s">
        <v>1536</v>
      </c>
      <c r="U18" s="1756" t="s">
        <v>21</v>
      </c>
      <c r="V18" s="1757" t="s">
        <v>1537</v>
      </c>
      <c r="W18" s="1172"/>
      <c r="X18" s="1201"/>
      <c r="Y18" s="1683" t="s">
        <v>1542</v>
      </c>
      <c r="Z18" s="2043">
        <f>+BC19</f>
        <v>0</v>
      </c>
      <c r="AA18" s="2044">
        <f>+BC20</f>
        <v>0</v>
      </c>
      <c r="AB18" s="2043" t="s">
        <v>175</v>
      </c>
      <c r="AC18" s="2045" t="s">
        <v>176</v>
      </c>
      <c r="AD18" s="2093">
        <v>17</v>
      </c>
      <c r="AE18" s="2107"/>
      <c r="AF18" s="976">
        <v>2004</v>
      </c>
      <c r="AG18" s="1612">
        <v>53086.508000000002</v>
      </c>
      <c r="AH18" s="1616">
        <v>51809.852299999999</v>
      </c>
      <c r="AI18" s="1613">
        <f t="shared" si="1"/>
        <v>0.97595140934868041</v>
      </c>
      <c r="AJ18" s="1589"/>
      <c r="AK18" s="1614">
        <f t="shared" si="0"/>
        <v>5.5E-2</v>
      </c>
      <c r="AL18" s="1607" t="s">
        <v>1647</v>
      </c>
      <c r="AM18" s="1607" t="str">
        <f t="shared" si="2"/>
        <v>2004 / 5,5%</v>
      </c>
      <c r="AN18" s="1607"/>
      <c r="AO18" s="1617" t="s">
        <v>258</v>
      </c>
      <c r="AP18" s="1617" t="s">
        <v>1368</v>
      </c>
      <c r="AQ18" s="1562" t="s">
        <v>1490</v>
      </c>
      <c r="AR18" s="1562" t="s">
        <v>1491</v>
      </c>
      <c r="AS18" s="1617" t="s">
        <v>1367</v>
      </c>
      <c r="AT18" s="1617" t="s">
        <v>281</v>
      </c>
      <c r="AU18" s="1617" t="s">
        <v>282</v>
      </c>
      <c r="AV18" s="2470"/>
      <c r="AW18" s="2470"/>
      <c r="AX18" s="2470"/>
      <c r="AY18" s="1562" t="s">
        <v>175</v>
      </c>
      <c r="AZ18" s="1562" t="s">
        <v>176</v>
      </c>
      <c r="BA18" s="1562"/>
      <c r="BB18" s="1618"/>
      <c r="BC18" s="1562"/>
      <c r="BG18" s="1591" t="e">
        <f>ROUND(-PV(P27-RententrendDRV,IF(AP27=1,BB$5,BB$6),Y27*12),2)</f>
        <v>#VALUE!</v>
      </c>
    </row>
    <row r="19" spans="1:64" s="1528" customFormat="1" ht="18" customHeight="1" thickBot="1">
      <c r="A19" s="2529"/>
      <c r="B19" s="2554"/>
      <c r="C19" s="2555"/>
      <c r="D19" s="2555"/>
      <c r="E19" s="2555"/>
      <c r="F19" s="2555"/>
      <c r="G19" s="2555"/>
      <c r="H19" s="2555"/>
      <c r="I19" s="2556"/>
      <c r="J19" s="2423"/>
      <c r="K19" s="2424"/>
      <c r="L19" s="2424"/>
      <c r="M19" s="2424"/>
      <c r="N19" s="2424"/>
      <c r="O19" s="2424"/>
      <c r="P19" s="2424"/>
      <c r="Q19" s="2424"/>
      <c r="R19" s="1637" t="str">
        <f>IF(AJ19=0,"",AJ19)</f>
        <v/>
      </c>
      <c r="S19" s="1468"/>
      <c r="T19" s="2046"/>
      <c r="U19" s="1468"/>
      <c r="V19" s="1469"/>
      <c r="W19" s="1172"/>
      <c r="X19" s="1172"/>
      <c r="Y19" s="2076" t="s">
        <v>1543</v>
      </c>
      <c r="Z19" s="2039">
        <f>IFERROR(T20/Z18,0)</f>
        <v>0</v>
      </c>
      <c r="AA19" s="2040">
        <f>IFERROR(V20/AA18,0)</f>
        <v>0</v>
      </c>
      <c r="AB19" s="2041">
        <f>IFERROR(-PV(-DynamikBerstdV,AO19,S19*12*(1+DynamikBerstdV)^AP19,,1)/IF(ReSummeM,AO19*12,1),0)</f>
        <v>0</v>
      </c>
      <c r="AC19" s="2042">
        <f>IFERROR(-PV(-DynamikBerstdV,AO20,U19*12*(1+DynamikBerstdV)^AP20,,1)/IF(ReSummeM,AO20*12,1),0)</f>
        <v>0</v>
      </c>
      <c r="AD19" s="2094">
        <v>18</v>
      </c>
      <c r="AE19" s="2107"/>
      <c r="AF19" s="976">
        <v>2005</v>
      </c>
      <c r="AG19" s="1612">
        <v>53086.508000000002</v>
      </c>
      <c r="AH19" s="1616">
        <v>51991.378599999996</v>
      </c>
      <c r="AI19" s="1613">
        <f t="shared" si="1"/>
        <v>0.9793708525714292</v>
      </c>
      <c r="AJ19" s="1589">
        <f>IF(U19+S19&gt;0,MAX(AJ$9:AJ18)+1,0)</f>
        <v>0</v>
      </c>
      <c r="AK19" s="1614">
        <f t="shared" si="0"/>
        <v>5.5E-2</v>
      </c>
      <c r="AL19" s="1589"/>
      <c r="AM19" s="1607" t="str">
        <f t="shared" si="2"/>
        <v>2005 / 5,5%</v>
      </c>
      <c r="AN19" s="1607"/>
      <c r="AO19" s="1570" t="e">
        <f>+AR12</f>
        <v>#VALUE!</v>
      </c>
      <c r="AP19" s="1446" t="e">
        <f>+AR11</f>
        <v>#VALUE!</v>
      </c>
      <c r="AQ19" s="1562"/>
      <c r="AR19" s="1562"/>
      <c r="AS19" s="1575" t="e">
        <f>+BE5</f>
        <v>#VALUE!</v>
      </c>
      <c r="AT19" s="1572">
        <f>IFERROR(VLOOKUP(AV$5,CHOOSE(IF(IF(Dat_RentnerM,AV5,AR10)&lt;60,60,IF(AR10&gt;67,67,AR10))-59,HRIR60,HRIR61,HRIR62,HRIR63,HRIR64,HRIR,HRIR66,HRIR67),IF(Dat_Unisex,26,8))*0.6,0)</f>
        <v>0</v>
      </c>
      <c r="AU19" s="1572">
        <f>IFERROR(IF(Dat_RentnerM,0,VLOOKUP(AV$5,CHOOSE(IF(AR10&lt;60,60,IF(AR10&gt;67,67,AR10))-59,HRIR60,HRIR61,HRIR62,HRIR63,HRIR64,HRIR,HRIR66,HRIR67),IF(Dat_Unisex,25,7))),0)</f>
        <v>0</v>
      </c>
      <c r="AV19" s="1619" t="e">
        <f>-PV(BilMoG-DynamikBerstdV,AO19,AW14*12)</f>
        <v>#VALUE!</v>
      </c>
      <c r="AW19" s="1619" t="e">
        <f>-PV(BilMoG,AR11,,AV19)</f>
        <v>#VALUE!</v>
      </c>
      <c r="AX19" s="1620" t="e">
        <f>+AW19*(1+(AT19+AU19))*AS19</f>
        <v>#VALUE!</v>
      </c>
      <c r="AY19" s="1597" t="e">
        <f>+AX19</f>
        <v>#VALUE!</v>
      </c>
      <c r="AZ19" s="1597"/>
      <c r="BA19" s="1597" t="e">
        <f>IFERROR(T19*Dat_UFaktorEzE,0)*aktRW_DatErf</f>
        <v>#N/A</v>
      </c>
      <c r="BB19" s="1597">
        <f>IFERROR(BA19*(1+DynamikBerstdV)^Fallerfassung!AR11,0)</f>
        <v>0</v>
      </c>
      <c r="BC19" s="1597">
        <f>IFERROR(PV(BilMoG,AR11,,PV(Dat_BilMoG-RententrendDRV,Fallerfassung!AR12,Fallerfassung!BB19*12))*BE5*(1+AX5/0.55*0.6+AY5),0)</f>
        <v>0</v>
      </c>
    </row>
    <row r="20" spans="1:64" s="1528" customFormat="1" ht="17.100000000000001" customHeight="1" thickBot="1">
      <c r="A20" s="2529"/>
      <c r="B20" s="2563" t="s">
        <v>1500</v>
      </c>
      <c r="C20" s="2564"/>
      <c r="D20" s="2564"/>
      <c r="E20" s="2564"/>
      <c r="F20" s="2564"/>
      <c r="G20" s="2564"/>
      <c r="H20" s="2564"/>
      <c r="I20" s="2565"/>
      <c r="J20" s="2471"/>
      <c r="K20" s="2472"/>
      <c r="L20" s="2472"/>
      <c r="M20" s="2472"/>
      <c r="N20" s="2472"/>
      <c r="O20" s="2472"/>
      <c r="P20" s="2472"/>
      <c r="Q20" s="2472"/>
      <c r="R20" s="1641" t="str">
        <f>IF(AJ20=0,"",AJ20)</f>
        <v/>
      </c>
      <c r="S20" s="1407" t="str">
        <f>"Barwert "&amp;IF(Dat_Unisex,divers,"")</f>
        <v xml:space="preserve">Barwert </v>
      </c>
      <c r="T20" s="1408" t="str">
        <f>IFERROR(AY19,"")</f>
        <v/>
      </c>
      <c r="U20" s="1407" t="str">
        <f>+S20</f>
        <v xml:space="preserve">Barwert </v>
      </c>
      <c r="V20" s="1409" t="str">
        <f>IFERROR(AZ20,"")</f>
        <v/>
      </c>
      <c r="W20" s="1172"/>
      <c r="X20" s="1201"/>
      <c r="Y20" s="2519" t="s">
        <v>1952</v>
      </c>
      <c r="Z20" s="2520"/>
      <c r="AA20" s="2521"/>
      <c r="AB20" s="2440" t="str">
        <f>IF(ReSummeM,"Ø erwartbare monatl. Renten-leistung aus bAV und pAV","∑ der in bAV und pAV erwartbaren Rentenleistungen")</f>
        <v>∑ der in bAV und pAV erwartbaren Rentenleistungen</v>
      </c>
      <c r="AC20" s="2441"/>
      <c r="AD20" s="2093">
        <v>19</v>
      </c>
      <c r="AE20" s="2104"/>
      <c r="AF20" s="976">
        <v>2006</v>
      </c>
      <c r="AG20" s="1612">
        <v>53086.508000000002</v>
      </c>
      <c r="AH20" s="1616">
        <v>52850.847000000002</v>
      </c>
      <c r="AI20" s="1613">
        <f t="shared" si="1"/>
        <v>0.99556081179798073</v>
      </c>
      <c r="AJ20" s="1589"/>
      <c r="AK20" s="1614">
        <f t="shared" si="0"/>
        <v>5.5E-2</v>
      </c>
      <c r="AL20" s="1589"/>
      <c r="AM20" s="1607" t="str">
        <f t="shared" si="2"/>
        <v>2006 / 5,5%</v>
      </c>
      <c r="AN20" s="1607"/>
      <c r="AO20" s="1570" t="e">
        <f>AS12</f>
        <v>#VALUE!</v>
      </c>
      <c r="AP20" s="1446" t="e">
        <f>AS11</f>
        <v>#VALUE!</v>
      </c>
      <c r="AQ20" s="1562"/>
      <c r="AR20" s="1562"/>
      <c r="AS20" s="1575" t="e">
        <f>+BE6</f>
        <v>#VALUE!</v>
      </c>
      <c r="AT20" s="1572">
        <f>IFERROR(VLOOKUP(AV$6,CHOOSE(IF(IF(Dat_RentnerF,AV6,AS10)&lt;60,60,IF(AS10&gt;67,67,AS10))-59,HRIR60,HRIR61,HRIR62,HRIR63,HRIR64,HRIR,HRIR66,HRIR67),IF(Dat_Unisex,26,17))*0.6,0)</f>
        <v>0</v>
      </c>
      <c r="AU20" s="1572">
        <f>IFERROR(IF(Dat_RentnerF,0,VLOOKUP(AV$6,CHOOSE(IF(AS10&lt;60,60,IF(AS10&gt;67,67,AS10))-59,HRIR60,HRIR61,HRIR62,HRIR63,HRIR64,HRIR,HRIR66,HRIR67),IF(Dat_Unisex,25,16))),0)</f>
        <v>0</v>
      </c>
      <c r="AV20" s="1619" t="e">
        <f>-PV(BilMoG-DynamikBerstdV,AO20,AX14*12)</f>
        <v>#VALUE!</v>
      </c>
      <c r="AW20" s="1619" t="e">
        <f>-PV(BilMoG,Fallerfassung!AS11,,AV20)</f>
        <v>#VALUE!</v>
      </c>
      <c r="AX20" s="1620" t="e">
        <f>+AW20*(1+(AT20+AU20))*AS20</f>
        <v>#VALUE!</v>
      </c>
      <c r="AY20" s="1562"/>
      <c r="AZ20" s="1597" t="e">
        <f>+AX20</f>
        <v>#VALUE!</v>
      </c>
      <c r="BA20" s="1597" t="e">
        <f>IFERROR(V19*Dat_UFaktorEzE,0)*aktRW_DatErf</f>
        <v>#N/A</v>
      </c>
      <c r="BB20" s="1597">
        <f>IFERROR(BA20*(1+DynamikBerstdV)^Fallerfassung!AS11,0)</f>
        <v>0</v>
      </c>
      <c r="BC20" s="1597">
        <f>IFERROR(PV(BilMoG,AS11,,PV(Dat_BilMoG-RententrendDRV,Fallerfassung!AS12,Fallerfassung!BB20*12))*BE6*(1+AX6/0.55*0.6+AY6),0)</f>
        <v>0</v>
      </c>
    </row>
    <row r="21" spans="1:64" s="1528" customFormat="1" ht="17.25" customHeight="1" thickTop="1">
      <c r="A21" s="1530"/>
      <c r="B21" s="2453" t="s">
        <v>1581</v>
      </c>
      <c r="C21" s="2454"/>
      <c r="D21" s="2454"/>
      <c r="E21" s="2454"/>
      <c r="F21" s="2454"/>
      <c r="G21" s="2454"/>
      <c r="H21" s="2454"/>
      <c r="I21" s="2454"/>
      <c r="J21" s="2454"/>
      <c r="K21" s="2454"/>
      <c r="L21" s="2454"/>
      <c r="M21" s="2454"/>
      <c r="N21" s="2454"/>
      <c r="O21" s="2454"/>
      <c r="P21" s="2454"/>
      <c r="Q21" s="2455"/>
      <c r="R21" s="1642"/>
      <c r="S21" s="2508" t="s">
        <v>1578</v>
      </c>
      <c r="T21" s="2508"/>
      <c r="U21" s="2508"/>
      <c r="V21" s="2509"/>
      <c r="W21" s="1172"/>
      <c r="X21" s="2586" t="s">
        <v>1459</v>
      </c>
      <c r="Y21" s="2522"/>
      <c r="Z21" s="2523"/>
      <c r="AA21" s="2524"/>
      <c r="AB21" s="2442"/>
      <c r="AC21" s="2443"/>
      <c r="AD21" s="2094">
        <v>20</v>
      </c>
      <c r="AE21" s="2104"/>
      <c r="AF21" s="976">
        <v>2007</v>
      </c>
      <c r="AG21" s="1612">
        <v>53086.508000000002</v>
      </c>
      <c r="AH21" s="1616">
        <v>52212.732300000003</v>
      </c>
      <c r="AI21" s="1613">
        <f t="shared" si="1"/>
        <v>0.98354053161680932</v>
      </c>
      <c r="AJ21" s="1589"/>
      <c r="AK21" s="1614">
        <f t="shared" si="0"/>
        <v>5.5E-2</v>
      </c>
      <c r="AL21" s="1589"/>
      <c r="AM21" s="1607" t="str">
        <f t="shared" si="2"/>
        <v>2007 / 5,5%</v>
      </c>
      <c r="AN21" s="1607"/>
      <c r="AO21" s="1621"/>
      <c r="AP21" s="1561"/>
      <c r="AQ21" s="1622"/>
      <c r="AR21" s="1623"/>
      <c r="AS21" s="1624"/>
      <c r="AT21" s="1623"/>
      <c r="AU21" s="1623"/>
      <c r="AV21" s="1625"/>
      <c r="AW21" s="1625"/>
      <c r="AX21" s="1626"/>
      <c r="AZ21" s="1591"/>
      <c r="BB21" s="1591"/>
      <c r="BC21" s="1591"/>
    </row>
    <row r="22" spans="1:64" s="1528" customFormat="1" ht="17.25" customHeight="1">
      <c r="A22" s="2489"/>
      <c r="B22" s="2531" t="s">
        <v>268</v>
      </c>
      <c r="C22" s="2499" t="s">
        <v>1467</v>
      </c>
      <c r="D22" s="2535" t="s">
        <v>1464</v>
      </c>
      <c r="E22" s="2530" t="s">
        <v>1624</v>
      </c>
      <c r="F22" s="2533" t="s">
        <v>1625</v>
      </c>
      <c r="G22" s="2535" t="s">
        <v>1468</v>
      </c>
      <c r="H22" s="2516" t="s">
        <v>1494</v>
      </c>
      <c r="I22" s="2499" t="s">
        <v>1479</v>
      </c>
      <c r="J22" s="2499" t="s">
        <v>1466</v>
      </c>
      <c r="K22" s="2567" t="s">
        <v>1646</v>
      </c>
      <c r="L22" s="2568" t="s">
        <v>1849</v>
      </c>
      <c r="M22" s="2460" t="s">
        <v>1514</v>
      </c>
      <c r="N22" s="2460" t="s">
        <v>1515</v>
      </c>
      <c r="O22" s="2464" t="s">
        <v>1465</v>
      </c>
      <c r="P22" s="2464"/>
      <c r="Q22" s="2462" t="s">
        <v>1802</v>
      </c>
      <c r="R22" s="2510" t="s">
        <v>1396</v>
      </c>
      <c r="S22" s="2581" t="s">
        <v>1582</v>
      </c>
      <c r="T22" s="2581"/>
      <c r="U22" s="2581"/>
      <c r="V22" s="2582"/>
      <c r="W22" s="1172"/>
      <c r="X22" s="2586"/>
      <c r="Y22" s="2493" t="s">
        <v>1951</v>
      </c>
      <c r="Z22" s="2494"/>
      <c r="AA22" s="2495"/>
      <c r="AB22" s="2444" t="s">
        <v>1967</v>
      </c>
      <c r="AC22" s="2445"/>
      <c r="AD22" s="2093">
        <v>21</v>
      </c>
      <c r="AE22" s="2104"/>
      <c r="AF22" s="976">
        <v>2008</v>
      </c>
      <c r="AG22" s="1612">
        <v>53086.508000000002</v>
      </c>
      <c r="AH22" s="1616">
        <v>51348.516300000003</v>
      </c>
      <c r="AI22" s="1613">
        <f t="shared" si="1"/>
        <v>0.96726114100403815</v>
      </c>
      <c r="AJ22" s="1589"/>
      <c r="AK22" s="1614">
        <f t="shared" si="0"/>
        <v>5.5E-2</v>
      </c>
      <c r="AL22" s="1589"/>
      <c r="AM22" s="1607" t="str">
        <f t="shared" si="2"/>
        <v>2008 / 5,5%</v>
      </c>
      <c r="AN22" s="1607"/>
      <c r="AO22" s="1562" t="s">
        <v>1634</v>
      </c>
      <c r="AP22" s="1564">
        <v>19.715199999999999</v>
      </c>
      <c r="AR22" s="1528">
        <f>254.15*(1+0)^4.63</f>
        <v>254.15</v>
      </c>
      <c r="AT22" s="1591">
        <f>-PV(0,19.15,254.15*12*(1+0)^4.63,,1)</f>
        <v>58403.67</v>
      </c>
      <c r="AU22" s="1627"/>
      <c r="AV22" s="1626"/>
      <c r="AW22" s="1625"/>
      <c r="AX22" s="1628"/>
      <c r="AY22" s="1591">
        <f>-PV(1.5%,16.89,500*12)</f>
        <v>88936.869951674089</v>
      </c>
      <c r="BA22" s="2112" t="e">
        <f>VLOOKUP(CHOOSE(AP27,AV$5,AV$6),CHOOSE(IF(I27&lt;60,60,IF(I27&gt;67,67,I27))-59,HRIR60,HRIR61,HRIR62,HRIR63,HRIR64,HRIR,HRIR66,HRIR67),CHOOSE(AQ27,7,16,25))</f>
        <v>#VALUE!</v>
      </c>
    </row>
    <row r="23" spans="1:64" s="1528" customFormat="1" ht="17.25" customHeight="1">
      <c r="A23" s="2489"/>
      <c r="B23" s="2532"/>
      <c r="C23" s="2461"/>
      <c r="D23" s="2534"/>
      <c r="E23" s="2461"/>
      <c r="F23" s="2534"/>
      <c r="G23" s="2534"/>
      <c r="H23" s="2461"/>
      <c r="I23" s="2461"/>
      <c r="J23" s="2461"/>
      <c r="K23" s="2461"/>
      <c r="L23" s="2461"/>
      <c r="M23" s="2461"/>
      <c r="N23" s="2461"/>
      <c r="O23" s="2566" t="str">
        <f>IF(Dat_EzE&lt;BilMoGAnfang,"kein BilMoG",IF(AA10&gt;0,"manueller ReZins",IF(Bilanz_BilMoG10,IF(Dat_EzE&lt;BilMoG10Anfang,"kein BilMoG-10","BilMoG-10"),IF(Dat_EzE&lt;BilMoGAnfang,"kein BilMoG-7","BilMoG-7"))))</f>
        <v>kein BilMoG</v>
      </c>
      <c r="P23" s="2339"/>
      <c r="Q23" s="2463"/>
      <c r="R23" s="2511"/>
      <c r="S23" s="2581"/>
      <c r="T23" s="2581"/>
      <c r="U23" s="2581"/>
      <c r="V23" s="2582"/>
      <c r="W23" s="1172"/>
      <c r="X23" s="2586"/>
      <c r="Y23" s="2496"/>
      <c r="Z23" s="2497"/>
      <c r="AA23" s="2498"/>
      <c r="AB23" s="2446"/>
      <c r="AC23" s="2447"/>
      <c r="AD23" s="2094">
        <v>22</v>
      </c>
      <c r="AE23" s="2104"/>
      <c r="AF23" s="976">
        <v>2009</v>
      </c>
      <c r="AG23" s="1612">
        <v>53086.508000000002</v>
      </c>
      <c r="AH23" s="1616">
        <v>51622.173900000002</v>
      </c>
      <c r="AI23" s="1613">
        <f t="shared" si="1"/>
        <v>0.97241607792322671</v>
      </c>
      <c r="AJ23" s="1589"/>
      <c r="AK23" s="1614">
        <f t="shared" si="0"/>
        <v>5.2499999999999998E-2</v>
      </c>
      <c r="AL23" s="1589"/>
      <c r="AM23" s="1607" t="str">
        <f t="shared" si="2"/>
        <v>2009 / 5,25%</v>
      </c>
      <c r="AN23" s="1607"/>
      <c r="AY23" s="1591"/>
      <c r="BA23" s="1591"/>
      <c r="BB23" s="1528">
        <f>IF(I27&gt;67,67,I27)-59</f>
        <v>-59</v>
      </c>
      <c r="BF23" s="1528" t="s">
        <v>1933</v>
      </c>
      <c r="BG23" s="1529" t="b">
        <v>1</v>
      </c>
    </row>
    <row r="24" spans="1:64" s="1528" customFormat="1" ht="17.25" customHeight="1">
      <c r="A24" s="2490"/>
      <c r="B24" s="2532"/>
      <c r="C24" s="2461"/>
      <c r="D24" s="2534"/>
      <c r="E24" s="2461"/>
      <c r="F24" s="2534"/>
      <c r="G24" s="2534"/>
      <c r="H24" s="2461"/>
      <c r="I24" s="2461"/>
      <c r="J24" s="2461"/>
      <c r="K24" s="2461"/>
      <c r="L24" s="2461"/>
      <c r="M24" s="2461"/>
      <c r="N24" s="2461"/>
      <c r="O24" s="2514">
        <f>+AA6</f>
        <v>0.06</v>
      </c>
      <c r="P24" s="2515"/>
      <c r="Q24" s="2463"/>
      <c r="R24" s="2511"/>
      <c r="S24" s="2583" t="s">
        <v>1503</v>
      </c>
      <c r="T24" s="2584"/>
      <c r="U24" s="2584"/>
      <c r="V24" s="2585"/>
      <c r="W24" s="1172"/>
      <c r="X24" s="2586"/>
      <c r="Y24" s="2525" t="s">
        <v>1934</v>
      </c>
      <c r="Z24" s="2485" t="s">
        <v>1676</v>
      </c>
      <c r="AA24" s="2458" t="str">
        <f>IF(Dat_DRV_ReSumme,IF(ReSummeM,"Ø monatl. DRV-Rente in Leistungszeit","∑ erwartbarer Monatsrenten in der DRV"),"Barwert der Rente im EzE")</f>
        <v>∑ erwartbarer Monatsrenten in der DRV</v>
      </c>
      <c r="AB24" s="2446"/>
      <c r="AC24" s="2447"/>
      <c r="AD24" s="2093">
        <v>23</v>
      </c>
      <c r="AE24" s="2104"/>
      <c r="AF24" s="976">
        <v>2010</v>
      </c>
      <c r="AG24" s="1612">
        <v>53086.508000000002</v>
      </c>
      <c r="AH24" s="1616">
        <v>50175.5867</v>
      </c>
      <c r="AI24" s="1613">
        <f t="shared" si="1"/>
        <v>0.94516645736050298</v>
      </c>
      <c r="AJ24" s="1589"/>
      <c r="AK24" s="1614">
        <f t="shared" si="0"/>
        <v>5.1500000000000004E-2</v>
      </c>
      <c r="AL24" s="1589"/>
      <c r="AM24" s="1607" t="str">
        <f t="shared" si="2"/>
        <v>2010 / 5,15%</v>
      </c>
      <c r="AN24" s="1607"/>
      <c r="AO24" s="2344" t="s">
        <v>1460</v>
      </c>
      <c r="AP24" s="2344"/>
      <c r="AQ24" s="2344"/>
      <c r="AR24" s="2344"/>
      <c r="AS24" s="2344"/>
      <c r="AT24" s="2344"/>
      <c r="AU24" s="2344"/>
      <c r="AV24" s="2344"/>
      <c r="AW24" s="2344"/>
      <c r="AX24" s="2344"/>
      <c r="AY24" s="2344"/>
      <c r="AZ24" s="2344"/>
      <c r="BA24" s="2344"/>
      <c r="BB24" s="2344"/>
      <c r="BC24" s="2344"/>
      <c r="BD24" s="2345" t="s">
        <v>1191</v>
      </c>
      <c r="BE24" s="2346"/>
      <c r="BF24" s="2346"/>
      <c r="BG24" s="2347"/>
      <c r="BH24" s="1629" t="s">
        <v>1469</v>
      </c>
    </row>
    <row r="25" spans="1:64" s="1528" customFormat="1" ht="17.25" customHeight="1">
      <c r="A25" s="2490"/>
      <c r="B25" s="2532"/>
      <c r="C25" s="2461"/>
      <c r="D25" s="2534"/>
      <c r="E25" s="2461"/>
      <c r="F25" s="2534"/>
      <c r="G25" s="2534"/>
      <c r="H25" s="2461"/>
      <c r="I25" s="2461"/>
      <c r="J25" s="2461"/>
      <c r="K25" s="2461"/>
      <c r="L25" s="2461"/>
      <c r="M25" s="2461"/>
      <c r="N25" s="2461"/>
      <c r="O25" s="2513" t="s">
        <v>1400</v>
      </c>
      <c r="P25" s="2513"/>
      <c r="Q25" s="2463"/>
      <c r="R25" s="2511"/>
      <c r="S25" s="2583" t="s">
        <v>1395</v>
      </c>
      <c r="T25" s="2584"/>
      <c r="U25" s="2584"/>
      <c r="V25" s="2585"/>
      <c r="W25" s="1172"/>
      <c r="X25" s="2586"/>
      <c r="Y25" s="2526"/>
      <c r="Z25" s="2486"/>
      <c r="AA25" s="2459"/>
      <c r="AB25" s="2446"/>
      <c r="AC25" s="2447"/>
      <c r="AD25" s="2094">
        <v>24</v>
      </c>
      <c r="AE25" s="2104"/>
      <c r="AF25" s="976">
        <v>2011</v>
      </c>
      <c r="AG25" s="1612">
        <v>53086.508000000002</v>
      </c>
      <c r="AH25" s="1616">
        <v>53305.087699999996</v>
      </c>
      <c r="AI25" s="1613">
        <f t="shared" si="1"/>
        <v>1.0041174247136391</v>
      </c>
      <c r="AJ25" s="1589"/>
      <c r="AK25" s="1614">
        <f t="shared" si="0"/>
        <v>5.1399999999999994E-2</v>
      </c>
      <c r="AL25" s="1589"/>
      <c r="AM25" s="1607" t="str">
        <f t="shared" si="2"/>
        <v>2011 / 5,14%</v>
      </c>
      <c r="AN25" s="1607"/>
      <c r="AO25" s="1562"/>
      <c r="AP25" s="1562"/>
      <c r="AQ25" s="1562" t="s">
        <v>1372</v>
      </c>
      <c r="AR25" s="1564" t="b">
        <v>0</v>
      </c>
      <c r="AS25" s="1562"/>
      <c r="AT25" s="2473" t="s">
        <v>1490</v>
      </c>
      <c r="AU25" s="2473" t="s">
        <v>1491</v>
      </c>
      <c r="AV25" s="1562"/>
      <c r="AW25" s="1562"/>
      <c r="AX25" s="1562"/>
      <c r="AY25" s="2470" t="s">
        <v>1497</v>
      </c>
      <c r="AZ25" s="2470" t="s">
        <v>1594</v>
      </c>
      <c r="BA25" s="2470" t="s">
        <v>1595</v>
      </c>
      <c r="BB25" s="2344" t="s">
        <v>1593</v>
      </c>
      <c r="BC25" s="2344"/>
      <c r="BD25" s="1562"/>
      <c r="BE25" s="1562"/>
      <c r="BF25" s="1562" t="s">
        <v>175</v>
      </c>
      <c r="BG25" s="1562" t="s">
        <v>1423</v>
      </c>
      <c r="BH25" s="1608">
        <f>IF(V25+T25=0,0,ABS(IF(V25+T25&gt;0,(V25+T25)/F25-1,1)))</f>
        <v>0</v>
      </c>
      <c r="BI25" s="1630"/>
      <c r="BK25" s="1591">
        <v>68376</v>
      </c>
    </row>
    <row r="26" spans="1:64" s="1528" customFormat="1" ht="17.25" customHeight="1">
      <c r="A26" s="2490"/>
      <c r="B26" s="2532"/>
      <c r="C26" s="2461"/>
      <c r="D26" s="2534"/>
      <c r="E26" s="2461" t="s">
        <v>501</v>
      </c>
      <c r="F26" s="2534"/>
      <c r="G26" s="2534"/>
      <c r="H26" s="2461"/>
      <c r="I26" s="2461"/>
      <c r="J26" s="2461"/>
      <c r="K26" s="2461"/>
      <c r="L26" s="2461"/>
      <c r="M26" s="2461"/>
      <c r="N26" s="2461" t="s">
        <v>281</v>
      </c>
      <c r="O26" s="1524" t="s">
        <v>1399</v>
      </c>
      <c r="P26" s="1524" t="s">
        <v>1376</v>
      </c>
      <c r="Q26" s="2463"/>
      <c r="R26" s="2512"/>
      <c r="S26" s="1199" t="s">
        <v>21</v>
      </c>
      <c r="T26" s="1199" t="s">
        <v>561</v>
      </c>
      <c r="U26" s="1198" t="s">
        <v>21</v>
      </c>
      <c r="V26" s="1277" t="s">
        <v>561</v>
      </c>
      <c r="W26" s="1172"/>
      <c r="X26" s="2586"/>
      <c r="Y26" s="2526"/>
      <c r="Z26" s="2486"/>
      <c r="AA26" s="2459"/>
      <c r="AB26" s="2448"/>
      <c r="AC26" s="2449"/>
      <c r="AD26" s="2093">
        <v>25</v>
      </c>
      <c r="AE26" s="2104"/>
      <c r="AF26" s="976">
        <v>2012</v>
      </c>
      <c r="AG26" s="1612">
        <v>53086.508000000002</v>
      </c>
      <c r="AH26" s="1616">
        <v>51992.227400000003</v>
      </c>
      <c r="AI26" s="1613">
        <f t="shared" si="1"/>
        <v>0.97938684156810618</v>
      </c>
      <c r="AJ26" s="1589"/>
      <c r="AK26" s="1614">
        <f t="shared" si="0"/>
        <v>5.0499999999999996E-2</v>
      </c>
      <c r="AL26" s="1589"/>
      <c r="AM26" s="1607" t="str">
        <f t="shared" si="2"/>
        <v>2012 / 5,05%</v>
      </c>
      <c r="AN26" s="1607"/>
      <c r="AO26" s="1562" t="s">
        <v>1401</v>
      </c>
      <c r="AP26" s="1562" t="s">
        <v>614</v>
      </c>
      <c r="AQ26" s="1617" t="s">
        <v>1369</v>
      </c>
      <c r="AR26" s="1617" t="s">
        <v>258</v>
      </c>
      <c r="AS26" s="1617" t="s">
        <v>1368</v>
      </c>
      <c r="AT26" s="2474"/>
      <c r="AU26" s="2474"/>
      <c r="AV26" s="1617" t="s">
        <v>1367</v>
      </c>
      <c r="AW26" s="1617" t="s">
        <v>281</v>
      </c>
      <c r="AX26" s="1617" t="s">
        <v>282</v>
      </c>
      <c r="AY26" s="2470"/>
      <c r="AZ26" s="2470"/>
      <c r="BA26" s="2470"/>
      <c r="BB26" s="1562" t="s">
        <v>175</v>
      </c>
      <c r="BC26" s="1562" t="s">
        <v>176</v>
      </c>
      <c r="BD26" s="1446" t="s">
        <v>281</v>
      </c>
      <c r="BE26" s="1446" t="s">
        <v>282</v>
      </c>
      <c r="BF26" s="1562"/>
      <c r="BG26" s="1597"/>
      <c r="BH26" s="1608"/>
      <c r="BI26" s="1528" t="s">
        <v>1498</v>
      </c>
    </row>
    <row r="27" spans="1:64" s="1528" customFormat="1" ht="18" customHeight="1">
      <c r="A27" s="2490"/>
      <c r="B27" s="1331"/>
      <c r="C27" s="1175"/>
      <c r="D27" s="1339"/>
      <c r="E27" s="1176"/>
      <c r="F27" s="1176"/>
      <c r="G27" s="1176"/>
      <c r="H27" s="1352"/>
      <c r="I27" s="1353"/>
      <c r="J27" s="1354"/>
      <c r="K27" s="1354"/>
      <c r="L27" s="1355"/>
      <c r="M27" s="1341"/>
      <c r="N27" s="1356"/>
      <c r="O27" s="1400"/>
      <c r="P27" s="1526" t="str">
        <f t="shared" ref="P27:P38" si="3">IF(B27="","",IF(O27&lt;&gt;"",O27,BilMoG))</f>
        <v/>
      </c>
      <c r="Q27" s="1525" t="str">
        <f>IFERROR(IF(F27=0,"",1-(IF(B27="m",T27,V27))/F27),"")</f>
        <v/>
      </c>
      <c r="R27" s="1638" t="str">
        <f>IF(+AJ27&gt;0,AJ27,"")</f>
        <v/>
      </c>
      <c r="S27" s="1173" t="str">
        <f t="shared" ref="S27:S38" si="4">IF(OR(B27="",B27="w",L27="x"),"",IF(AND(B27="M",SUM(E27:G27)&gt;0,I27=""),"Renteneintritt?",IF(B27="m",IF(AND(OR(H27="K",H27="u"),E27=""),BK27,E27),0)))</f>
        <v/>
      </c>
      <c r="T27" s="1179">
        <f t="shared" ref="T27:T38" si="5">IF(OR(B27="w",B27="",L27="x"),,IFERROR(IF(AND(T$6="",B27="m"),"GebDat Mann?",IF(H27="K",CHOOSE(AP27,G27,0),IF(I27=0,0,IF(AND(G27&gt;0,AP27=1),G27,IF(B27="m",+BA27,0))))),""))</f>
        <v>0</v>
      </c>
      <c r="U27" s="1174" t="str">
        <f t="shared" ref="U27:U38" si="6">IF(OR(B27="",B27="m",L27="x"),"",IF(AND(SUM(E27:G27)&gt;0,I27="",B27="w"),"Renteneintritt?",IF(B27="W",IF(AND(OR(H27="K",H27="u"),E27=""),BK27,E27),0)))</f>
        <v/>
      </c>
      <c r="V27" s="1414">
        <f t="shared" ref="V27:V38" si="7">IF(OR(B27="",B27="m",L27="x"),0,IFERROR(IF(AND($V$6="",B27="w"),"GebDat Frau?",IF(H27="K",CHOOSE(AP27,0,G27),IF(I27=0,0,IF(AND(G27&gt;0,AP27=2),G27,IF(B27="w",BA27,0))))),0))</f>
        <v>0</v>
      </c>
      <c r="W27" s="1257"/>
      <c r="X27" s="1172"/>
      <c r="Y27" s="1540" t="str">
        <f t="shared" ref="Y27:Y38" si="8">IF(B27="","",IFERROR(ROUND(VLOOKUP(V$3,Umrechnungsfaktoren_BeitraginEP,2)*IF(B27="m",T27,V27)*$AK$4,2),0))</f>
        <v/>
      </c>
      <c r="Z27" s="1541" t="str">
        <f t="shared" ref="Z27:Z38" si="9">IF(B27="","",IFERROR(Y27*(1+RententrendDRV)^IF(B27="M",Dat_AZeit_M,Dat_AZeit_F),0))</f>
        <v/>
      </c>
      <c r="AA27" s="1539" t="str">
        <f>IF(B27="","",IF(SUM(S27:V27)=0,0,TEXT(BG27,"#.##0 €")&amp;IF(H27="u","**)","")))</f>
        <v/>
      </c>
      <c r="AB27" s="2027" t="str">
        <f t="shared" ref="AB27:AB38" si="10">IFERROR(IF(AP27=1,-PV(-K27,AR27,IF(E27=0,S27,E27)*12*(1+J27)^AS27,,1)/IF(ReSummeM,AR27*12,1),""),0)</f>
        <v/>
      </c>
      <c r="AC27" s="2028" t="str">
        <f t="shared" ref="AC27:AC38" si="11">IFERROR(IF(AP27=2,-PV(-K27,AR27,IF(E27=0,U27,E27)*12*(1+J27)^AS27,,1)/IF(ReSummeM,AR27*12,1),""),0)</f>
        <v/>
      </c>
      <c r="AD27" s="2094">
        <v>26</v>
      </c>
      <c r="AE27" s="2108"/>
      <c r="AF27" s="976">
        <v>2013</v>
      </c>
      <c r="AG27" s="1612">
        <v>53086.508000000002</v>
      </c>
      <c r="AH27" s="1616">
        <v>51818.584900000002</v>
      </c>
      <c r="AI27" s="1613">
        <f t="shared" si="1"/>
        <v>0.97611590688918548</v>
      </c>
      <c r="AJ27" s="1589">
        <f>IF(SUM(S27:V27)&gt;0,MAX(AJ$9:AJ26)+1,0)</f>
        <v>0</v>
      </c>
      <c r="AK27" s="1614">
        <f t="shared" si="0"/>
        <v>4.8899999999999999E-2</v>
      </c>
      <c r="AL27" s="1589" t="str">
        <f>IF(AR27+AS27=0,"","AZeit: "&amp;TEXT(AS27,"0,0")&amp;" /  Lzeit: "&amp;TEXT(AR27,"0,0"))</f>
        <v/>
      </c>
      <c r="AM27" s="1607" t="str">
        <f t="shared" si="2"/>
        <v>2013 / 4,89%</v>
      </c>
      <c r="AN27" s="1607"/>
      <c r="AO27" s="1570">
        <f t="shared" ref="AO27:AO38" si="12">IFERROR(CHOOSE(AP27,AV$5,AV$6),0)</f>
        <v>0</v>
      </c>
      <c r="AP27" s="1446">
        <f t="shared" ref="AP27:AP38" si="13">IF(B27="M",1,IF(B27="w",2,0))</f>
        <v>0</v>
      </c>
      <c r="AQ27" s="1446">
        <f t="shared" ref="AQ27:AQ38" si="14">IF(H27="u",3,IF(B27="m",1,IF(B27="w",2,)))</f>
        <v>0</v>
      </c>
      <c r="AR27" s="1570">
        <f t="shared" ref="AR27:AR38" si="15">IFERROR(ROUND(VLOOKUP(IF(I27&lt;CHOOSE(AP27,$AV$5,$AV$6),CHOOSE(AP27,$AV$5,$AV$6),I27),CHOOSE(AQ27,Lebenserwartung_M_V2,Lebenserwartung_F_V2,Lebenserwartung_N_V2),CHOOSE(AP27,YEAR(T$6)+IF(MONTH($T$6)&gt;6,1,0),YEAR(V$6)+IF(MONTH($V$6)&gt;6,1,0))-1900+2),3),0)</f>
        <v>0</v>
      </c>
      <c r="AS27" s="1570">
        <f t="shared" ref="AS27:AS38" si="16">IF(B27="",0,IF(I27-IF(AP27=1,AV$5,AV$6)&lt;0,0,I27-IF(AP27=1,AV$5,AV$6)))</f>
        <v>0</v>
      </c>
      <c r="AT27" s="1570">
        <f t="shared" ref="AT27:AT38" si="17">IFERROR(VLOOKUP(ROUND(I27,0),CHOOSE(AQ27,G_Kohorte_M,G_Kohorte_F,G_Kohorte_N),CHOOSE(AP27,YEAR(T$6)+IF(MONTH($T$6)&gt;6,1,0),YEAR(V$6)+IF(MONTH($V$6)&gt;6,1,0))-1900+2),0)</f>
        <v>0</v>
      </c>
      <c r="AU27" s="1570">
        <f t="shared" ref="AU27:AU38" si="18">IFERROR(VLOOKUP(ROUND(CHOOSE(AP27,AV$5,AV$6),0),CHOOSE(AQ27,G_Kohorte_M,G_Kohorte_F,G_Kohorte_N),CHOOSE(AP27,YEAR(T$6)+IF(MONTH($T$6)&gt;6,1,0),YEAR(V$6)+IF(MONTH($V$6)&gt;6,1,0))-1900+2),0)</f>
        <v>0</v>
      </c>
      <c r="AV27" s="1573">
        <f t="shared" ref="AV27:AV38" si="19">+IFERROR(ROUND(IF(AT27/AU27&gt;1,1,AT27/AU27),4),0)</f>
        <v>0</v>
      </c>
      <c r="AW27" s="1572">
        <f t="shared" ref="AW27:AW38" si="20">IFERROR(ROUND(VLOOKUP(CHOOSE(AP27,AV$5,AV$6),CHOOSE(IF(I27&lt;60,60,IF(I27&gt;67,67,I27))-59,HRIR60,HRIR61,HRIR62,HRIR63,HRIR64,HRIR,HRIR66,HRIR67),CHOOSE(AQ27,8,17,26))*N27,4),0)</f>
        <v>0</v>
      </c>
      <c r="AX27" s="1572">
        <f t="shared" ref="AX27:AX38" si="21">ROUND(IF(I27&lt;=IF(AP27=2,$AV$6,$AV$5),0,IFERROR(VLOOKUP(CHOOSE(AP27,AV$5,AV$6),CHOOSE(IF(I27&lt;60,60,IF(I27&gt;67,67,I27))-59,HRIR60,HRIR61,HRIR62,HRIR63,HRIR64,HRIR,HRIR66,HRIR67),CHOOSE(AQ27,7,16,25))*M27,0)),4)</f>
        <v>0</v>
      </c>
      <c r="AY27" s="1620" t="e">
        <f t="shared" ref="AY27:AY38" si="22">-PV(P27-K27,AR27,E27*(1+J27)^AS27*12)</f>
        <v>#VALUE!</v>
      </c>
      <c r="AZ27" s="1597" t="str">
        <f t="shared" ref="AZ27:AZ38" si="23">IFERROR(-PV(P27,AS27,,AY27),"")</f>
        <v/>
      </c>
      <c r="BA27" s="1597" t="str">
        <f t="shared" ref="BA27:BA38" si="24">IFERROR(IF(G27&gt;0,G27,+AZ27*(1+AX27+AW27)*AV27),"")</f>
        <v/>
      </c>
      <c r="BB27" s="1597">
        <f t="shared" ref="BB27:BB38" si="25">IFERROR(CHOOSE(AP27,S27,0)*(1+J27)^AS27,0)</f>
        <v>0</v>
      </c>
      <c r="BC27" s="1597" t="str">
        <f t="shared" ref="BC27:BC38" si="26">IFERROR(CHOOSE(AP27,0,U27)*(1+J27)^AS27,"")</f>
        <v/>
      </c>
      <c r="BD27" s="1572">
        <f t="shared" ref="BD27:BD38" si="27">IFERROR(ROUND(VLOOKUP(CHOOSE(AP27,AV$5,AV$6),CHOOSE(IF(I27&lt;60,60,IF(I27&gt;67,67,I27))-59,HRIR60,HRIR61,HRIR62,HRIR63,HRIR64,HRIR,HRIR66,HRIR67),CHOOSE(AQ27,8,17,26))*0.55,4),0)</f>
        <v>0</v>
      </c>
      <c r="BE27" s="1572">
        <f t="shared" ref="BE27:BE38" si="28">ROUND(IF(I27&lt;=IF(AP27=2,$AV$6,$AV$5),0,IFERROR(VLOOKUP(CHOOSE(AP27,AV$5,AV$6),CHOOSE(IF(I27&lt;60,60,IF(I27&gt;67,67,I27))-59,HRIR60,HRIR61,HRIR62,HRIR63,HRIR64,HRIR,HRIR66,HRIR67),CHOOSE(AQ27,7,16,25))*1,0)),4)</f>
        <v>0</v>
      </c>
      <c r="BF27" s="1562"/>
      <c r="BG27" s="1597">
        <f t="shared" ref="BG27:BG38" si="29">IFERROR(IF(Dat_DRV_ReSumme,-PV(-RententrendDRV,IF(AQ27=1,BB$5,BB$6),Z27*12,,1)/IF(ReSummeM,12*AR27,1),-PV(P27-RententrendDRV,CHOOSE(AP27,Dat_AZeit_M,Dat_AZeit_F),,-PV(P27-RententrendDRV,IF(AP27=1,BB$5,BB$6),Y27*12,,1)*(1+CHOOSE(AP27,AX$5+AY$5,AX$6+AY$6))*CHOOSE(AP27,BE$5,BE$6))),0)</f>
        <v>0</v>
      </c>
      <c r="BH27" s="1608">
        <f t="shared" ref="BH27:BH38" si="30">IF(V27+T27=0,0,ABS(IF(V27+T27&gt;0,(V27+T27)/F27-1,1)))</f>
        <v>0</v>
      </c>
      <c r="BI27" s="1591" t="e">
        <f>BA27/(1+AW27+AX27)</f>
        <v>#VALUE!</v>
      </c>
      <c r="BJ27" s="1591" t="e">
        <f>-FV(P27-J27,AS27,,-PMT(P27-K27,AR27,BI27)*(1)^-AS27/AV27)</f>
        <v>#VALUE!</v>
      </c>
      <c r="BK27" s="1591" t="e">
        <f>+BJ27/12</f>
        <v>#VALUE!</v>
      </c>
    </row>
    <row r="28" spans="1:64" s="1528" customFormat="1" ht="18" customHeight="1">
      <c r="A28" s="2490"/>
      <c r="B28" s="1331"/>
      <c r="C28" s="1175"/>
      <c r="D28" s="1339"/>
      <c r="E28" s="1176"/>
      <c r="F28" s="1176"/>
      <c r="G28" s="1176"/>
      <c r="H28" s="1352"/>
      <c r="I28" s="1353"/>
      <c r="J28" s="1354"/>
      <c r="K28" s="1354"/>
      <c r="L28" s="1355"/>
      <c r="M28" s="1341"/>
      <c r="N28" s="1356"/>
      <c r="O28" s="1400"/>
      <c r="P28" s="1526" t="str">
        <f t="shared" si="3"/>
        <v/>
      </c>
      <c r="Q28" s="1525" t="str">
        <f t="shared" ref="Q28:Q38" si="31">IFERROR(IF(F28=0,"",1-(IF(B28="m",T28,V28))/F28),"")</f>
        <v/>
      </c>
      <c r="R28" s="1638" t="str">
        <f>IF(+AJ28&gt;0,AJ28,"")</f>
        <v/>
      </c>
      <c r="S28" s="1173" t="str">
        <f t="shared" si="4"/>
        <v/>
      </c>
      <c r="T28" s="1179">
        <f t="shared" si="5"/>
        <v>0</v>
      </c>
      <c r="U28" s="1174" t="str">
        <f t="shared" si="6"/>
        <v/>
      </c>
      <c r="V28" s="1414">
        <f t="shared" si="7"/>
        <v>0</v>
      </c>
      <c r="W28" s="1326"/>
      <c r="X28" s="1172"/>
      <c r="Y28" s="1540" t="str">
        <f t="shared" si="8"/>
        <v/>
      </c>
      <c r="Z28" s="1541" t="str">
        <f t="shared" si="9"/>
        <v/>
      </c>
      <c r="AA28" s="1539" t="str">
        <f t="shared" ref="AA28:AA38" si="32">IF(B28="","",IF(SUM(S28:V28)=0,0,TEXT(BG28,"#.##0 €")&amp;IF(H28="u","**)","")))</f>
        <v/>
      </c>
      <c r="AB28" s="2027" t="str">
        <f t="shared" si="10"/>
        <v/>
      </c>
      <c r="AC28" s="2028" t="str">
        <f t="shared" si="11"/>
        <v/>
      </c>
      <c r="AD28" s="2093">
        <v>27</v>
      </c>
      <c r="AE28" s="2108"/>
      <c r="AF28" s="976">
        <v>2014</v>
      </c>
      <c r="AG28" s="1612">
        <v>53086.508000000002</v>
      </c>
      <c r="AH28" s="1616">
        <v>51656.880899999996</v>
      </c>
      <c r="AI28" s="1613">
        <f t="shared" si="1"/>
        <v>0.97306985985968397</v>
      </c>
      <c r="AJ28" s="1589">
        <f>IF(SUM(S28:V28)&gt;0,MAX(AJ$9:AJ27)+1,0)</f>
        <v>0</v>
      </c>
      <c r="AK28" s="1614">
        <f t="shared" si="0"/>
        <v>4.58E-2</v>
      </c>
      <c r="AL28" s="1589" t="str">
        <f t="shared" ref="AL28:AL38" si="33">IF(AR28+AS28=0,"","AZeit: "&amp;TEXT(AS28,"0,0")&amp;" /  Lzeit: "&amp;TEXT(AR28,"0,0"))</f>
        <v/>
      </c>
      <c r="AM28" s="1607" t="str">
        <f t="shared" si="2"/>
        <v>2014 / 4,58%</v>
      </c>
      <c r="AN28" s="1607"/>
      <c r="AO28" s="1570">
        <f t="shared" si="12"/>
        <v>0</v>
      </c>
      <c r="AP28" s="1446">
        <f t="shared" si="13"/>
        <v>0</v>
      </c>
      <c r="AQ28" s="1446">
        <f t="shared" si="14"/>
        <v>0</v>
      </c>
      <c r="AR28" s="1570">
        <f t="shared" si="15"/>
        <v>0</v>
      </c>
      <c r="AS28" s="1570">
        <f t="shared" si="16"/>
        <v>0</v>
      </c>
      <c r="AT28" s="1574">
        <f t="shared" si="17"/>
        <v>0</v>
      </c>
      <c r="AU28" s="1574">
        <f t="shared" si="18"/>
        <v>0</v>
      </c>
      <c r="AV28" s="1573">
        <f t="shared" si="19"/>
        <v>0</v>
      </c>
      <c r="AW28" s="2113">
        <f t="shared" si="20"/>
        <v>0</v>
      </c>
      <c r="AX28" s="2113">
        <f t="shared" si="21"/>
        <v>0</v>
      </c>
      <c r="AY28" s="1620" t="e">
        <f t="shared" si="22"/>
        <v>#VALUE!</v>
      </c>
      <c r="AZ28" s="1597" t="str">
        <f t="shared" si="23"/>
        <v/>
      </c>
      <c r="BA28" s="1597" t="str">
        <f t="shared" si="24"/>
        <v/>
      </c>
      <c r="BB28" s="1597">
        <f t="shared" si="25"/>
        <v>0</v>
      </c>
      <c r="BC28" s="1597" t="str">
        <f t="shared" si="26"/>
        <v/>
      </c>
      <c r="BD28" s="1572">
        <f t="shared" si="27"/>
        <v>0</v>
      </c>
      <c r="BE28" s="1572">
        <f t="shared" si="28"/>
        <v>0</v>
      </c>
      <c r="BF28" s="1562"/>
      <c r="BG28" s="1597">
        <f t="shared" si="29"/>
        <v>0</v>
      </c>
      <c r="BH28" s="1608">
        <f t="shared" si="30"/>
        <v>0</v>
      </c>
      <c r="BI28" s="1591" t="e">
        <f>BA28/(1+AW28+AX28)</f>
        <v>#VALUE!</v>
      </c>
      <c r="BJ28" s="1591" t="e">
        <f>-FV(P28-J28,AS28,,-PMT(P28-K28,AR28,BI28)*(1)^-AS28/AV28)</f>
        <v>#VALUE!</v>
      </c>
      <c r="BK28" s="1591" t="e">
        <f t="shared" ref="BK28:BK38" si="34">+BJ28/12</f>
        <v>#VALUE!</v>
      </c>
    </row>
    <row r="29" spans="1:64" s="1528" customFormat="1" ht="18" customHeight="1">
      <c r="A29" s="2490"/>
      <c r="B29" s="1331"/>
      <c r="C29" s="1175"/>
      <c r="D29" s="1339"/>
      <c r="E29" s="1176"/>
      <c r="F29" s="1176"/>
      <c r="G29" s="1176"/>
      <c r="H29" s="1352"/>
      <c r="I29" s="1353"/>
      <c r="J29" s="1354"/>
      <c r="K29" s="1354"/>
      <c r="L29" s="1355"/>
      <c r="M29" s="1341"/>
      <c r="N29" s="1356"/>
      <c r="O29" s="1400"/>
      <c r="P29" s="1526" t="str">
        <f t="shared" si="3"/>
        <v/>
      </c>
      <c r="Q29" s="1525" t="str">
        <f t="shared" si="31"/>
        <v/>
      </c>
      <c r="R29" s="1638" t="str">
        <f t="shared" ref="R29:R38" si="35">IF(+AJ29&gt;0,AJ29,"")</f>
        <v/>
      </c>
      <c r="S29" s="1173" t="str">
        <f t="shared" si="4"/>
        <v/>
      </c>
      <c r="T29" s="1179">
        <f t="shared" si="5"/>
        <v>0</v>
      </c>
      <c r="U29" s="1174" t="str">
        <f t="shared" si="6"/>
        <v/>
      </c>
      <c r="V29" s="1414">
        <f t="shared" si="7"/>
        <v>0</v>
      </c>
      <c r="W29" s="1172"/>
      <c r="X29" s="1172"/>
      <c r="Y29" s="1540" t="str">
        <f t="shared" si="8"/>
        <v/>
      </c>
      <c r="Z29" s="1541" t="str">
        <f t="shared" si="9"/>
        <v/>
      </c>
      <c r="AA29" s="1539" t="str">
        <f t="shared" si="32"/>
        <v/>
      </c>
      <c r="AB29" s="2027" t="str">
        <f t="shared" si="10"/>
        <v/>
      </c>
      <c r="AC29" s="2028" t="str">
        <f t="shared" si="11"/>
        <v/>
      </c>
      <c r="AD29" s="2094">
        <v>28</v>
      </c>
      <c r="AE29" s="2108"/>
      <c r="AF29" s="976">
        <v>2015</v>
      </c>
      <c r="AG29" s="1612">
        <v>53086.508000000002</v>
      </c>
      <c r="AH29" s="1616">
        <v>52997.950100000002</v>
      </c>
      <c r="AI29" s="1613">
        <f t="shared" si="1"/>
        <v>0.99833181907538537</v>
      </c>
      <c r="AJ29" s="1589">
        <f>IF(SUM(S29:V29)&gt;0,MAX(AJ$9:AJ28)+1,0)</f>
        <v>0</v>
      </c>
      <c r="AK29" s="1614">
        <f t="shared" si="0"/>
        <v>3.9399999999999998E-2</v>
      </c>
      <c r="AL29" s="1589" t="str">
        <f t="shared" si="33"/>
        <v/>
      </c>
      <c r="AM29" s="1607" t="str">
        <f t="shared" si="2"/>
        <v>2015 / 3,94%</v>
      </c>
      <c r="AN29" s="1607"/>
      <c r="AO29" s="1570">
        <f t="shared" si="12"/>
        <v>0</v>
      </c>
      <c r="AP29" s="1446">
        <f t="shared" si="13"/>
        <v>0</v>
      </c>
      <c r="AQ29" s="1446">
        <f t="shared" si="14"/>
        <v>0</v>
      </c>
      <c r="AR29" s="1570">
        <f t="shared" si="15"/>
        <v>0</v>
      </c>
      <c r="AS29" s="1570">
        <f t="shared" si="16"/>
        <v>0</v>
      </c>
      <c r="AT29" s="1574">
        <f t="shared" si="17"/>
        <v>0</v>
      </c>
      <c r="AU29" s="1574">
        <f t="shared" si="18"/>
        <v>0</v>
      </c>
      <c r="AV29" s="1573">
        <f t="shared" si="19"/>
        <v>0</v>
      </c>
      <c r="AW29" s="2113">
        <f t="shared" si="20"/>
        <v>0</v>
      </c>
      <c r="AX29" s="2113">
        <f t="shared" si="21"/>
        <v>0</v>
      </c>
      <c r="AY29" s="1620" t="e">
        <f t="shared" si="22"/>
        <v>#VALUE!</v>
      </c>
      <c r="AZ29" s="1597" t="str">
        <f t="shared" si="23"/>
        <v/>
      </c>
      <c r="BA29" s="1597" t="str">
        <f t="shared" si="24"/>
        <v/>
      </c>
      <c r="BB29" s="1597">
        <f t="shared" si="25"/>
        <v>0</v>
      </c>
      <c r="BC29" s="1597" t="str">
        <f t="shared" si="26"/>
        <v/>
      </c>
      <c r="BD29" s="1572">
        <f t="shared" si="27"/>
        <v>0</v>
      </c>
      <c r="BE29" s="1572">
        <f t="shared" si="28"/>
        <v>0</v>
      </c>
      <c r="BF29" s="1562"/>
      <c r="BG29" s="1597">
        <f t="shared" si="29"/>
        <v>0</v>
      </c>
      <c r="BH29" s="1608">
        <f t="shared" si="30"/>
        <v>0</v>
      </c>
      <c r="BI29" s="1591" t="e">
        <f>BA29/(1+AW29+AX29)</f>
        <v>#VALUE!</v>
      </c>
      <c r="BJ29" s="1591" t="e">
        <f>-FV(P29-J29,AS29,,(-PMT(P29-K29,AR29,BI29))/AV29)</f>
        <v>#VALUE!</v>
      </c>
      <c r="BK29" s="1591" t="e">
        <f t="shared" si="34"/>
        <v>#VALUE!</v>
      </c>
      <c r="BL29" s="1591"/>
    </row>
    <row r="30" spans="1:64" s="1528" customFormat="1" ht="18" customHeight="1">
      <c r="A30" s="2490"/>
      <c r="B30" s="1331"/>
      <c r="C30" s="1175"/>
      <c r="D30" s="1339"/>
      <c r="E30" s="1176"/>
      <c r="F30" s="1176"/>
      <c r="G30" s="1176"/>
      <c r="H30" s="1352"/>
      <c r="I30" s="1353"/>
      <c r="J30" s="1354"/>
      <c r="K30" s="1354"/>
      <c r="L30" s="1355"/>
      <c r="M30" s="1341"/>
      <c r="N30" s="1356"/>
      <c r="O30" s="1400"/>
      <c r="P30" s="1526" t="str">
        <f t="shared" si="3"/>
        <v/>
      </c>
      <c r="Q30" s="1525" t="str">
        <f t="shared" si="31"/>
        <v/>
      </c>
      <c r="R30" s="1638" t="str">
        <f t="shared" si="35"/>
        <v/>
      </c>
      <c r="S30" s="1173" t="str">
        <f t="shared" si="4"/>
        <v/>
      </c>
      <c r="T30" s="1179">
        <f t="shared" si="5"/>
        <v>0</v>
      </c>
      <c r="U30" s="1174" t="str">
        <f t="shared" si="6"/>
        <v/>
      </c>
      <c r="V30" s="1414">
        <f t="shared" si="7"/>
        <v>0</v>
      </c>
      <c r="W30" s="1172"/>
      <c r="X30" s="1172"/>
      <c r="Y30" s="1540" t="str">
        <f t="shared" si="8"/>
        <v/>
      </c>
      <c r="Z30" s="1541" t="str">
        <f t="shared" si="9"/>
        <v/>
      </c>
      <c r="AA30" s="1539" t="str">
        <f t="shared" si="32"/>
        <v/>
      </c>
      <c r="AB30" s="2027" t="str">
        <f t="shared" si="10"/>
        <v/>
      </c>
      <c r="AC30" s="2028" t="str">
        <f t="shared" si="11"/>
        <v/>
      </c>
      <c r="AD30" s="2093">
        <v>29</v>
      </c>
      <c r="AE30" s="2108"/>
      <c r="AF30" s="976">
        <v>2016</v>
      </c>
      <c r="AG30" s="1612">
        <v>53086.508000000002</v>
      </c>
      <c r="AH30" s="1616">
        <v>53750.841699999997</v>
      </c>
      <c r="AI30" s="1613">
        <f t="shared" si="1"/>
        <v>1.0125141721508597</v>
      </c>
      <c r="AJ30" s="1589">
        <f>IF(SUM(S30:V30)&gt;0,MAX(AJ$9:AJ29)+1,0)</f>
        <v>0</v>
      </c>
      <c r="AK30" s="1614">
        <f t="shared" si="0"/>
        <v>3.2799999999999996E-2</v>
      </c>
      <c r="AL30" s="1589" t="str">
        <f t="shared" si="33"/>
        <v/>
      </c>
      <c r="AM30" s="1607" t="str">
        <f t="shared" si="2"/>
        <v>2016 / 3,28%</v>
      </c>
      <c r="AN30" s="1607"/>
      <c r="AO30" s="1570">
        <f t="shared" si="12"/>
        <v>0</v>
      </c>
      <c r="AP30" s="1446">
        <f t="shared" si="13"/>
        <v>0</v>
      </c>
      <c r="AQ30" s="1446">
        <f t="shared" si="14"/>
        <v>0</v>
      </c>
      <c r="AR30" s="1570">
        <f t="shared" si="15"/>
        <v>0</v>
      </c>
      <c r="AS30" s="1570">
        <f t="shared" si="16"/>
        <v>0</v>
      </c>
      <c r="AT30" s="1574">
        <f t="shared" si="17"/>
        <v>0</v>
      </c>
      <c r="AU30" s="1574">
        <f t="shared" si="18"/>
        <v>0</v>
      </c>
      <c r="AV30" s="1573">
        <f t="shared" si="19"/>
        <v>0</v>
      </c>
      <c r="AW30" s="2113">
        <f t="shared" si="20"/>
        <v>0</v>
      </c>
      <c r="AX30" s="2113">
        <f t="shared" si="21"/>
        <v>0</v>
      </c>
      <c r="AY30" s="1620" t="e">
        <f t="shared" si="22"/>
        <v>#VALUE!</v>
      </c>
      <c r="AZ30" s="1597" t="str">
        <f t="shared" si="23"/>
        <v/>
      </c>
      <c r="BA30" s="1597" t="str">
        <f t="shared" si="24"/>
        <v/>
      </c>
      <c r="BB30" s="1597">
        <f t="shared" si="25"/>
        <v>0</v>
      </c>
      <c r="BC30" s="1597" t="str">
        <f t="shared" si="26"/>
        <v/>
      </c>
      <c r="BD30" s="1572">
        <f t="shared" si="27"/>
        <v>0</v>
      </c>
      <c r="BE30" s="1572">
        <f t="shared" si="28"/>
        <v>0</v>
      </c>
      <c r="BF30" s="1562"/>
      <c r="BG30" s="1597">
        <f t="shared" si="29"/>
        <v>0</v>
      </c>
      <c r="BH30" s="1608">
        <f t="shared" si="30"/>
        <v>0</v>
      </c>
      <c r="BI30" s="1591" t="e">
        <f t="shared" ref="BI30:BI38" si="36">BA30/(1+AW30+AX30)</f>
        <v>#VALUE!</v>
      </c>
      <c r="BJ30" s="1591" t="e">
        <f t="shared" ref="BJ30:BJ38" si="37">-FV(P30-J30,AS30,,-PMT(P30-K30,AR30,BI30)*(1)^-AS30/AV30)</f>
        <v>#VALUE!</v>
      </c>
      <c r="BK30" s="1591" t="e">
        <f t="shared" si="34"/>
        <v>#VALUE!</v>
      </c>
    </row>
    <row r="31" spans="1:64" s="1528" customFormat="1" ht="18" customHeight="1">
      <c r="A31" s="2490"/>
      <c r="B31" s="1331"/>
      <c r="C31" s="1417"/>
      <c r="D31" s="1339"/>
      <c r="E31" s="1176"/>
      <c r="F31" s="1176"/>
      <c r="G31" s="1176"/>
      <c r="H31" s="1352"/>
      <c r="I31" s="1353"/>
      <c r="J31" s="1354"/>
      <c r="K31" s="1354"/>
      <c r="L31" s="1355"/>
      <c r="M31" s="1341"/>
      <c r="N31" s="1356"/>
      <c r="O31" s="1400"/>
      <c r="P31" s="1526" t="str">
        <f t="shared" si="3"/>
        <v/>
      </c>
      <c r="Q31" s="1525" t="str">
        <f t="shared" si="31"/>
        <v/>
      </c>
      <c r="R31" s="1638" t="str">
        <f t="shared" si="35"/>
        <v/>
      </c>
      <c r="S31" s="1173" t="str">
        <f t="shared" si="4"/>
        <v/>
      </c>
      <c r="T31" s="1179">
        <f t="shared" si="5"/>
        <v>0</v>
      </c>
      <c r="U31" s="1174" t="str">
        <f t="shared" si="6"/>
        <v/>
      </c>
      <c r="V31" s="1414">
        <f t="shared" si="7"/>
        <v>0</v>
      </c>
      <c r="W31" s="1172"/>
      <c r="X31" s="1172"/>
      <c r="Y31" s="1540" t="str">
        <f t="shared" si="8"/>
        <v/>
      </c>
      <c r="Z31" s="1541" t="str">
        <f t="shared" si="9"/>
        <v/>
      </c>
      <c r="AA31" s="1539" t="str">
        <f t="shared" si="32"/>
        <v/>
      </c>
      <c r="AB31" s="2027" t="str">
        <f t="shared" si="10"/>
        <v/>
      </c>
      <c r="AC31" s="2028" t="str">
        <f t="shared" si="11"/>
        <v/>
      </c>
      <c r="AD31" s="2094">
        <v>30</v>
      </c>
      <c r="AE31" s="2108"/>
      <c r="AF31" s="976">
        <v>2017</v>
      </c>
      <c r="AG31" s="1612">
        <v>53086.508000000002</v>
      </c>
      <c r="AH31" s="1616">
        <v>53969.843399999998</v>
      </c>
      <c r="AI31" s="1613">
        <f t="shared" si="1"/>
        <v>1.0166395461536102</v>
      </c>
      <c r="AJ31" s="1589">
        <f>IF(SUM(S31:V31)&gt;0,MAX(AJ$9:AJ30)+1,0)</f>
        <v>0</v>
      </c>
      <c r="AK31" s="1614">
        <f t="shared" si="0"/>
        <v>2.8399999999999998E-2</v>
      </c>
      <c r="AL31" s="1589" t="str">
        <f t="shared" si="33"/>
        <v/>
      </c>
      <c r="AM31" s="1607" t="str">
        <f t="shared" si="2"/>
        <v>2017 / 2,84%</v>
      </c>
      <c r="AN31" s="1607"/>
      <c r="AO31" s="1570">
        <f t="shared" si="12"/>
        <v>0</v>
      </c>
      <c r="AP31" s="1446">
        <f t="shared" si="13"/>
        <v>0</v>
      </c>
      <c r="AQ31" s="1446">
        <f t="shared" si="14"/>
        <v>0</v>
      </c>
      <c r="AR31" s="1570">
        <f t="shared" si="15"/>
        <v>0</v>
      </c>
      <c r="AS31" s="1570">
        <f t="shared" si="16"/>
        <v>0</v>
      </c>
      <c r="AT31" s="1574">
        <f t="shared" si="17"/>
        <v>0</v>
      </c>
      <c r="AU31" s="1574">
        <f t="shared" si="18"/>
        <v>0</v>
      </c>
      <c r="AV31" s="1573">
        <f t="shared" si="19"/>
        <v>0</v>
      </c>
      <c r="AW31" s="2113">
        <f t="shared" si="20"/>
        <v>0</v>
      </c>
      <c r="AX31" s="2113">
        <f t="shared" si="21"/>
        <v>0</v>
      </c>
      <c r="AY31" s="1620" t="e">
        <f t="shared" si="22"/>
        <v>#VALUE!</v>
      </c>
      <c r="AZ31" s="1597" t="str">
        <f t="shared" si="23"/>
        <v/>
      </c>
      <c r="BA31" s="1597" t="str">
        <f t="shared" si="24"/>
        <v/>
      </c>
      <c r="BB31" s="1597">
        <f t="shared" si="25"/>
        <v>0</v>
      </c>
      <c r="BC31" s="1597" t="str">
        <f t="shared" si="26"/>
        <v/>
      </c>
      <c r="BD31" s="1572">
        <f t="shared" si="27"/>
        <v>0</v>
      </c>
      <c r="BE31" s="1572">
        <f t="shared" si="28"/>
        <v>0</v>
      </c>
      <c r="BF31" s="1562"/>
      <c r="BG31" s="1597">
        <f t="shared" si="29"/>
        <v>0</v>
      </c>
      <c r="BH31" s="1608">
        <f t="shared" si="30"/>
        <v>0</v>
      </c>
      <c r="BI31" s="1591" t="e">
        <f t="shared" si="36"/>
        <v>#VALUE!</v>
      </c>
      <c r="BJ31" s="1591" t="e">
        <f t="shared" si="37"/>
        <v>#VALUE!</v>
      </c>
      <c r="BK31" s="1591" t="e">
        <f t="shared" si="34"/>
        <v>#VALUE!</v>
      </c>
    </row>
    <row r="32" spans="1:64" s="1528" customFormat="1" ht="18" customHeight="1">
      <c r="A32" s="2490"/>
      <c r="B32" s="1331"/>
      <c r="C32" s="1175"/>
      <c r="D32" s="1339"/>
      <c r="E32" s="1176"/>
      <c r="F32" s="1176"/>
      <c r="G32" s="1176"/>
      <c r="H32" s="1352"/>
      <c r="I32" s="1353"/>
      <c r="J32" s="1354"/>
      <c r="K32" s="1354"/>
      <c r="L32" s="1355"/>
      <c r="M32" s="1341"/>
      <c r="N32" s="1356"/>
      <c r="O32" s="1400"/>
      <c r="P32" s="1526" t="str">
        <f t="shared" si="3"/>
        <v/>
      </c>
      <c r="Q32" s="1525" t="str">
        <f t="shared" si="31"/>
        <v/>
      </c>
      <c r="R32" s="1638" t="str">
        <f t="shared" si="35"/>
        <v/>
      </c>
      <c r="S32" s="1173" t="str">
        <f t="shared" si="4"/>
        <v/>
      </c>
      <c r="T32" s="1179">
        <f t="shared" si="5"/>
        <v>0</v>
      </c>
      <c r="U32" s="1174" t="str">
        <f t="shared" si="6"/>
        <v/>
      </c>
      <c r="V32" s="1414">
        <f t="shared" si="7"/>
        <v>0</v>
      </c>
      <c r="W32" s="1172"/>
      <c r="X32" s="1172"/>
      <c r="Y32" s="1540" t="str">
        <f t="shared" si="8"/>
        <v/>
      </c>
      <c r="Z32" s="1541" t="str">
        <f t="shared" si="9"/>
        <v/>
      </c>
      <c r="AA32" s="1539" t="str">
        <f t="shared" si="32"/>
        <v/>
      </c>
      <c r="AB32" s="2027" t="str">
        <f t="shared" si="10"/>
        <v/>
      </c>
      <c r="AC32" s="2028" t="str">
        <f t="shared" si="11"/>
        <v/>
      </c>
      <c r="AD32" s="2093">
        <v>31</v>
      </c>
      <c r="AE32" s="2108"/>
      <c r="AF32" s="976">
        <v>2018</v>
      </c>
      <c r="AG32" s="1612">
        <v>53086.508000000002</v>
      </c>
      <c r="AH32" s="1616">
        <v>55307.095200000003</v>
      </c>
      <c r="AI32" s="1613">
        <f t="shared" si="1"/>
        <v>1.0418295963260571</v>
      </c>
      <c r="AJ32" s="1589">
        <f>IF(SUM(S32:V32)&gt;0,MAX(AJ$9:AJ31)+1,0)</f>
        <v>0</v>
      </c>
      <c r="AK32" s="1614">
        <f t="shared" si="0"/>
        <v>2.3599999999999999E-2</v>
      </c>
      <c r="AL32" s="1589" t="str">
        <f t="shared" si="33"/>
        <v/>
      </c>
      <c r="AM32" s="1607" t="str">
        <f t="shared" si="2"/>
        <v>2018 / 2,36%</v>
      </c>
      <c r="AN32" s="1607"/>
      <c r="AO32" s="1570">
        <f t="shared" si="12"/>
        <v>0</v>
      </c>
      <c r="AP32" s="1446">
        <f t="shared" si="13"/>
        <v>0</v>
      </c>
      <c r="AQ32" s="1446">
        <f t="shared" si="14"/>
        <v>0</v>
      </c>
      <c r="AR32" s="1570">
        <f t="shared" si="15"/>
        <v>0</v>
      </c>
      <c r="AS32" s="1570">
        <f t="shared" si="16"/>
        <v>0</v>
      </c>
      <c r="AT32" s="1574">
        <f t="shared" si="17"/>
        <v>0</v>
      </c>
      <c r="AU32" s="1574">
        <f t="shared" si="18"/>
        <v>0</v>
      </c>
      <c r="AV32" s="1573">
        <f t="shared" si="19"/>
        <v>0</v>
      </c>
      <c r="AW32" s="2113">
        <f t="shared" si="20"/>
        <v>0</v>
      </c>
      <c r="AX32" s="2113">
        <f t="shared" si="21"/>
        <v>0</v>
      </c>
      <c r="AY32" s="1620" t="e">
        <f t="shared" si="22"/>
        <v>#VALUE!</v>
      </c>
      <c r="AZ32" s="1597" t="str">
        <f t="shared" si="23"/>
        <v/>
      </c>
      <c r="BA32" s="1597" t="str">
        <f t="shared" si="24"/>
        <v/>
      </c>
      <c r="BB32" s="1597">
        <f t="shared" si="25"/>
        <v>0</v>
      </c>
      <c r="BC32" s="1597" t="str">
        <f t="shared" si="26"/>
        <v/>
      </c>
      <c r="BD32" s="1572">
        <f t="shared" si="27"/>
        <v>0</v>
      </c>
      <c r="BE32" s="1572">
        <f t="shared" si="28"/>
        <v>0</v>
      </c>
      <c r="BF32" s="1562"/>
      <c r="BG32" s="1597">
        <f t="shared" si="29"/>
        <v>0</v>
      </c>
      <c r="BH32" s="1608">
        <f t="shared" si="30"/>
        <v>0</v>
      </c>
      <c r="BI32" s="1591" t="e">
        <f t="shared" si="36"/>
        <v>#VALUE!</v>
      </c>
      <c r="BJ32" s="1591" t="e">
        <f t="shared" si="37"/>
        <v>#VALUE!</v>
      </c>
      <c r="BK32" s="1591" t="e">
        <f t="shared" si="34"/>
        <v>#VALUE!</v>
      </c>
    </row>
    <row r="33" spans="1:63" s="1528" customFormat="1" ht="18" customHeight="1">
      <c r="A33" s="2490"/>
      <c r="B33" s="1331"/>
      <c r="C33" s="1175"/>
      <c r="D33" s="1339"/>
      <c r="E33" s="1176"/>
      <c r="F33" s="1176"/>
      <c r="G33" s="1176"/>
      <c r="H33" s="1352"/>
      <c r="I33" s="1353"/>
      <c r="J33" s="1354"/>
      <c r="K33" s="1354"/>
      <c r="L33" s="1355"/>
      <c r="M33" s="1341"/>
      <c r="N33" s="1341"/>
      <c r="O33" s="1400"/>
      <c r="P33" s="1526" t="str">
        <f t="shared" si="3"/>
        <v/>
      </c>
      <c r="Q33" s="1525" t="str">
        <f t="shared" si="31"/>
        <v/>
      </c>
      <c r="R33" s="1638" t="str">
        <f t="shared" si="35"/>
        <v/>
      </c>
      <c r="S33" s="1173" t="str">
        <f t="shared" si="4"/>
        <v/>
      </c>
      <c r="T33" s="1179">
        <f t="shared" si="5"/>
        <v>0</v>
      </c>
      <c r="U33" s="1174" t="str">
        <f t="shared" si="6"/>
        <v/>
      </c>
      <c r="V33" s="1414">
        <f t="shared" si="7"/>
        <v>0</v>
      </c>
      <c r="W33" s="1172"/>
      <c r="X33" s="1172"/>
      <c r="Y33" s="1540" t="str">
        <f t="shared" si="8"/>
        <v/>
      </c>
      <c r="Z33" s="1541" t="str">
        <f t="shared" si="9"/>
        <v/>
      </c>
      <c r="AA33" s="1539" t="str">
        <f t="shared" si="32"/>
        <v/>
      </c>
      <c r="AB33" s="2027" t="str">
        <f t="shared" si="10"/>
        <v/>
      </c>
      <c r="AC33" s="2028" t="str">
        <f t="shared" si="11"/>
        <v/>
      </c>
      <c r="AD33" s="2094">
        <v>32</v>
      </c>
      <c r="AE33" s="2108"/>
      <c r="AF33" s="976">
        <v>2019</v>
      </c>
      <c r="AG33" s="1612">
        <v>53086.508000000002</v>
      </c>
      <c r="AH33" s="1616">
        <v>55993.125200000002</v>
      </c>
      <c r="AI33" s="1613">
        <f t="shared" si="1"/>
        <v>1.0547524655417155</v>
      </c>
      <c r="AJ33" s="1589">
        <f>IF(SUM(S33:V33)&gt;0,MAX(AJ$9:AJ32)+1,0)</f>
        <v>0</v>
      </c>
      <c r="AK33" s="1614">
        <f t="shared" si="0"/>
        <v>0.02</v>
      </c>
      <c r="AL33" s="1589" t="str">
        <f t="shared" si="33"/>
        <v/>
      </c>
      <c r="AM33" s="1607" t="str">
        <f t="shared" si="2"/>
        <v>2019 / 2,%</v>
      </c>
      <c r="AN33" s="1607"/>
      <c r="AO33" s="1570">
        <f t="shared" si="12"/>
        <v>0</v>
      </c>
      <c r="AP33" s="1446">
        <f t="shared" si="13"/>
        <v>0</v>
      </c>
      <c r="AQ33" s="1446">
        <f t="shared" si="14"/>
        <v>0</v>
      </c>
      <c r="AR33" s="1570">
        <f t="shared" si="15"/>
        <v>0</v>
      </c>
      <c r="AS33" s="1570">
        <f t="shared" si="16"/>
        <v>0</v>
      </c>
      <c r="AT33" s="1574">
        <f t="shared" si="17"/>
        <v>0</v>
      </c>
      <c r="AU33" s="1574">
        <f t="shared" si="18"/>
        <v>0</v>
      </c>
      <c r="AV33" s="1573">
        <f t="shared" si="19"/>
        <v>0</v>
      </c>
      <c r="AW33" s="2113">
        <f t="shared" si="20"/>
        <v>0</v>
      </c>
      <c r="AX33" s="2113">
        <f t="shared" si="21"/>
        <v>0</v>
      </c>
      <c r="AY33" s="1620" t="e">
        <f t="shared" si="22"/>
        <v>#VALUE!</v>
      </c>
      <c r="AZ33" s="1597" t="str">
        <f t="shared" si="23"/>
        <v/>
      </c>
      <c r="BA33" s="1597" t="str">
        <f t="shared" si="24"/>
        <v/>
      </c>
      <c r="BB33" s="1597">
        <f t="shared" si="25"/>
        <v>0</v>
      </c>
      <c r="BC33" s="1597" t="str">
        <f t="shared" si="26"/>
        <v/>
      </c>
      <c r="BD33" s="1572">
        <f t="shared" si="27"/>
        <v>0</v>
      </c>
      <c r="BE33" s="1572">
        <f t="shared" si="28"/>
        <v>0</v>
      </c>
      <c r="BF33" s="1562"/>
      <c r="BG33" s="1597">
        <f t="shared" si="29"/>
        <v>0</v>
      </c>
      <c r="BH33" s="1608">
        <f t="shared" si="30"/>
        <v>0</v>
      </c>
      <c r="BI33" s="1591" t="e">
        <f t="shared" si="36"/>
        <v>#VALUE!</v>
      </c>
      <c r="BJ33" s="1591" t="e">
        <f t="shared" si="37"/>
        <v>#VALUE!</v>
      </c>
      <c r="BK33" s="1591" t="e">
        <f t="shared" si="34"/>
        <v>#VALUE!</v>
      </c>
    </row>
    <row r="34" spans="1:63" s="1528" customFormat="1" ht="18" customHeight="1">
      <c r="A34" s="2490"/>
      <c r="B34" s="1331"/>
      <c r="C34" s="1175"/>
      <c r="D34" s="1339"/>
      <c r="E34" s="1176"/>
      <c r="F34" s="1176"/>
      <c r="G34" s="1176"/>
      <c r="H34" s="1352"/>
      <c r="I34" s="1353"/>
      <c r="J34" s="1354"/>
      <c r="K34" s="1354"/>
      <c r="L34" s="1355"/>
      <c r="M34" s="1341"/>
      <c r="N34" s="1341"/>
      <c r="O34" s="1400"/>
      <c r="P34" s="1526" t="str">
        <f t="shared" si="3"/>
        <v/>
      </c>
      <c r="Q34" s="1525" t="str">
        <f t="shared" si="31"/>
        <v/>
      </c>
      <c r="R34" s="1638" t="str">
        <f t="shared" si="35"/>
        <v/>
      </c>
      <c r="S34" s="1173" t="str">
        <f t="shared" si="4"/>
        <v/>
      </c>
      <c r="T34" s="1179">
        <f t="shared" si="5"/>
        <v>0</v>
      </c>
      <c r="U34" s="1174" t="str">
        <f t="shared" si="6"/>
        <v/>
      </c>
      <c r="V34" s="1414">
        <f t="shared" si="7"/>
        <v>0</v>
      </c>
      <c r="W34" s="1172"/>
      <c r="X34" s="1172"/>
      <c r="Y34" s="1540" t="str">
        <f t="shared" si="8"/>
        <v/>
      </c>
      <c r="Z34" s="1541" t="str">
        <f t="shared" si="9"/>
        <v/>
      </c>
      <c r="AA34" s="1539" t="str">
        <f t="shared" si="32"/>
        <v/>
      </c>
      <c r="AB34" s="2027" t="str">
        <f t="shared" si="10"/>
        <v/>
      </c>
      <c r="AC34" s="2028" t="str">
        <f t="shared" si="11"/>
        <v/>
      </c>
      <c r="AD34" s="2093">
        <v>33</v>
      </c>
      <c r="AE34" s="2108"/>
      <c r="AF34" s="976">
        <v>2020</v>
      </c>
      <c r="AG34" s="1612">
        <v>53086.508000000002</v>
      </c>
      <c r="AH34" s="1616">
        <v>56000.048199999997</v>
      </c>
      <c r="AI34" s="1613">
        <f t="shared" si="1"/>
        <v>1.0548828753249317</v>
      </c>
      <c r="AJ34" s="1589">
        <f>IF(SUM(S34:V34)&gt;0,MAX(AJ$9:AJ33)+1,0)</f>
        <v>0</v>
      </c>
      <c r="AK34" s="1614">
        <f t="shared" si="0"/>
        <v>1.6399999999999998E-2</v>
      </c>
      <c r="AL34" s="1589" t="str">
        <f t="shared" si="33"/>
        <v/>
      </c>
      <c r="AM34" s="1607" t="str">
        <f t="shared" si="2"/>
        <v>2020 / 1,64%</v>
      </c>
      <c r="AN34" s="1607"/>
      <c r="AO34" s="1570">
        <f t="shared" si="12"/>
        <v>0</v>
      </c>
      <c r="AP34" s="1446">
        <f t="shared" si="13"/>
        <v>0</v>
      </c>
      <c r="AQ34" s="1446">
        <f t="shared" si="14"/>
        <v>0</v>
      </c>
      <c r="AR34" s="1570">
        <f t="shared" si="15"/>
        <v>0</v>
      </c>
      <c r="AS34" s="1570">
        <f t="shared" si="16"/>
        <v>0</v>
      </c>
      <c r="AT34" s="1574">
        <f t="shared" si="17"/>
        <v>0</v>
      </c>
      <c r="AU34" s="1574">
        <f t="shared" si="18"/>
        <v>0</v>
      </c>
      <c r="AV34" s="1573">
        <f t="shared" si="19"/>
        <v>0</v>
      </c>
      <c r="AW34" s="2113">
        <f t="shared" si="20"/>
        <v>0</v>
      </c>
      <c r="AX34" s="2113">
        <f t="shared" si="21"/>
        <v>0</v>
      </c>
      <c r="AY34" s="1620" t="e">
        <f t="shared" si="22"/>
        <v>#VALUE!</v>
      </c>
      <c r="AZ34" s="1597" t="str">
        <f t="shared" si="23"/>
        <v/>
      </c>
      <c r="BA34" s="1597" t="str">
        <f t="shared" si="24"/>
        <v/>
      </c>
      <c r="BB34" s="1597">
        <f t="shared" si="25"/>
        <v>0</v>
      </c>
      <c r="BC34" s="1597" t="str">
        <f t="shared" si="26"/>
        <v/>
      </c>
      <c r="BD34" s="1572">
        <f t="shared" si="27"/>
        <v>0</v>
      </c>
      <c r="BE34" s="1572">
        <f t="shared" si="28"/>
        <v>0</v>
      </c>
      <c r="BF34" s="1562"/>
      <c r="BG34" s="1597">
        <f t="shared" si="29"/>
        <v>0</v>
      </c>
      <c r="BH34" s="1608">
        <f t="shared" si="30"/>
        <v>0</v>
      </c>
      <c r="BI34" s="1591" t="e">
        <f t="shared" si="36"/>
        <v>#VALUE!</v>
      </c>
      <c r="BJ34" s="1591" t="e">
        <f t="shared" si="37"/>
        <v>#VALUE!</v>
      </c>
      <c r="BK34" s="1591" t="e">
        <f t="shared" si="34"/>
        <v>#VALUE!</v>
      </c>
    </row>
    <row r="35" spans="1:63" s="1528" customFormat="1" ht="18" customHeight="1">
      <c r="A35" s="2490"/>
      <c r="B35" s="1331"/>
      <c r="C35" s="1175"/>
      <c r="D35" s="1339"/>
      <c r="E35" s="1176"/>
      <c r="F35" s="1176"/>
      <c r="G35" s="1176"/>
      <c r="H35" s="1352"/>
      <c r="I35" s="1353"/>
      <c r="J35" s="1354"/>
      <c r="K35" s="1354"/>
      <c r="L35" s="1355"/>
      <c r="M35" s="1341"/>
      <c r="N35" s="1341"/>
      <c r="O35" s="1400"/>
      <c r="P35" s="1526" t="str">
        <f t="shared" si="3"/>
        <v/>
      </c>
      <c r="Q35" s="1525" t="str">
        <f t="shared" si="31"/>
        <v/>
      </c>
      <c r="R35" s="1638" t="str">
        <f t="shared" si="35"/>
        <v/>
      </c>
      <c r="S35" s="1173" t="str">
        <f t="shared" si="4"/>
        <v/>
      </c>
      <c r="T35" s="1179">
        <f t="shared" si="5"/>
        <v>0</v>
      </c>
      <c r="U35" s="1174" t="str">
        <f t="shared" si="6"/>
        <v/>
      </c>
      <c r="V35" s="1414">
        <f t="shared" si="7"/>
        <v>0</v>
      </c>
      <c r="W35" s="1172"/>
      <c r="X35" s="1172"/>
      <c r="Y35" s="1540" t="str">
        <f t="shared" si="8"/>
        <v/>
      </c>
      <c r="Z35" s="1541" t="str">
        <f t="shared" si="9"/>
        <v/>
      </c>
      <c r="AA35" s="1539" t="str">
        <f t="shared" si="32"/>
        <v/>
      </c>
      <c r="AB35" s="2027" t="str">
        <f t="shared" si="10"/>
        <v/>
      </c>
      <c r="AC35" s="2028" t="str">
        <f t="shared" si="11"/>
        <v/>
      </c>
      <c r="AD35" s="2094">
        <v>34</v>
      </c>
      <c r="AE35" s="2108"/>
      <c r="AF35" s="976">
        <v>2021</v>
      </c>
      <c r="AG35" s="1612">
        <v>53086.508000000002</v>
      </c>
      <c r="AH35" s="1616">
        <v>55089.223599999998</v>
      </c>
      <c r="AI35" s="1613">
        <f t="shared" si="1"/>
        <v>1.0377255102181517</v>
      </c>
      <c r="AJ35" s="1589">
        <f>IF(SUM(S35:V35)&gt;0,MAX(AJ$9:AJ34)+1,0)</f>
        <v>0</v>
      </c>
      <c r="AK35" s="1614">
        <f t="shared" si="0"/>
        <v>1.3600000000000001E-2</v>
      </c>
      <c r="AL35" s="1589" t="str">
        <f t="shared" si="33"/>
        <v/>
      </c>
      <c r="AM35" s="1607" t="str">
        <f t="shared" si="2"/>
        <v>2021 / 1,36%</v>
      </c>
      <c r="AN35" s="1607"/>
      <c r="AO35" s="1570">
        <f t="shared" si="12"/>
        <v>0</v>
      </c>
      <c r="AP35" s="1446">
        <f t="shared" si="13"/>
        <v>0</v>
      </c>
      <c r="AQ35" s="1446">
        <f t="shared" si="14"/>
        <v>0</v>
      </c>
      <c r="AR35" s="1570">
        <f t="shared" si="15"/>
        <v>0</v>
      </c>
      <c r="AS35" s="1570">
        <f t="shared" si="16"/>
        <v>0</v>
      </c>
      <c r="AT35" s="1574">
        <f t="shared" si="17"/>
        <v>0</v>
      </c>
      <c r="AU35" s="1574">
        <f t="shared" si="18"/>
        <v>0</v>
      </c>
      <c r="AV35" s="1573">
        <f t="shared" si="19"/>
        <v>0</v>
      </c>
      <c r="AW35" s="2113">
        <f t="shared" si="20"/>
        <v>0</v>
      </c>
      <c r="AX35" s="2113">
        <f t="shared" si="21"/>
        <v>0</v>
      </c>
      <c r="AY35" s="1620" t="e">
        <f t="shared" si="22"/>
        <v>#VALUE!</v>
      </c>
      <c r="AZ35" s="1597" t="str">
        <f t="shared" si="23"/>
        <v/>
      </c>
      <c r="BA35" s="1597" t="str">
        <f t="shared" si="24"/>
        <v/>
      </c>
      <c r="BB35" s="1597">
        <f t="shared" si="25"/>
        <v>0</v>
      </c>
      <c r="BC35" s="1597" t="str">
        <f t="shared" si="26"/>
        <v/>
      </c>
      <c r="BD35" s="1572">
        <f t="shared" si="27"/>
        <v>0</v>
      </c>
      <c r="BE35" s="1572">
        <f t="shared" si="28"/>
        <v>0</v>
      </c>
      <c r="BF35" s="1562"/>
      <c r="BG35" s="1597">
        <f t="shared" si="29"/>
        <v>0</v>
      </c>
      <c r="BH35" s="1608">
        <f t="shared" si="30"/>
        <v>0</v>
      </c>
      <c r="BI35" s="1591" t="e">
        <f t="shared" si="36"/>
        <v>#VALUE!</v>
      </c>
      <c r="BJ35" s="1591" t="e">
        <f t="shared" si="37"/>
        <v>#VALUE!</v>
      </c>
      <c r="BK35" s="1591" t="e">
        <f t="shared" si="34"/>
        <v>#VALUE!</v>
      </c>
    </row>
    <row r="36" spans="1:63" s="1528" customFormat="1" ht="18" customHeight="1">
      <c r="A36" s="2490"/>
      <c r="B36" s="1331"/>
      <c r="C36" s="1175"/>
      <c r="D36" s="1339"/>
      <c r="E36" s="1176"/>
      <c r="F36" s="1176"/>
      <c r="G36" s="1176"/>
      <c r="H36" s="1352"/>
      <c r="I36" s="1353"/>
      <c r="J36" s="1354"/>
      <c r="K36" s="1354"/>
      <c r="L36" s="1355"/>
      <c r="M36" s="1341"/>
      <c r="N36" s="1341"/>
      <c r="O36" s="1400"/>
      <c r="P36" s="1526" t="str">
        <f t="shared" si="3"/>
        <v/>
      </c>
      <c r="Q36" s="1525" t="str">
        <f t="shared" si="31"/>
        <v/>
      </c>
      <c r="R36" s="1638" t="str">
        <f t="shared" si="35"/>
        <v/>
      </c>
      <c r="S36" s="1173" t="str">
        <f t="shared" si="4"/>
        <v/>
      </c>
      <c r="T36" s="1179">
        <f t="shared" si="5"/>
        <v>0</v>
      </c>
      <c r="U36" s="1174" t="str">
        <f t="shared" si="6"/>
        <v/>
      </c>
      <c r="V36" s="1414">
        <f t="shared" si="7"/>
        <v>0</v>
      </c>
      <c r="W36" s="1172"/>
      <c r="X36" s="1172"/>
      <c r="Y36" s="1540" t="str">
        <f t="shared" si="8"/>
        <v/>
      </c>
      <c r="Z36" s="1541" t="str">
        <f t="shared" si="9"/>
        <v/>
      </c>
      <c r="AA36" s="1539" t="str">
        <f t="shared" si="32"/>
        <v/>
      </c>
      <c r="AB36" s="2027" t="str">
        <f t="shared" si="10"/>
        <v/>
      </c>
      <c r="AC36" s="2028" t="str">
        <f t="shared" si="11"/>
        <v/>
      </c>
      <c r="AD36" s="2093">
        <v>35</v>
      </c>
      <c r="AE36" s="2108"/>
      <c r="AF36" s="976">
        <v>2022</v>
      </c>
      <c r="AG36" s="1612">
        <v>53086.508000000002</v>
      </c>
      <c r="AH36" s="1616">
        <v>57765.682000000001</v>
      </c>
      <c r="AI36" s="1613">
        <f t="shared" si="1"/>
        <v>1.0881424334785781</v>
      </c>
      <c r="AJ36" s="1589">
        <f>IF(SUM(S36:V36)&gt;0,MAX(AJ$9:AJ35)+1,0)</f>
        <v>0</v>
      </c>
      <c r="AK36" s="1614">
        <f t="shared" si="0"/>
        <v>1.43E-2</v>
      </c>
      <c r="AL36" s="1589" t="str">
        <f t="shared" si="33"/>
        <v/>
      </c>
      <c r="AM36" s="1607" t="str">
        <f t="shared" si="2"/>
        <v>2022 / 1,43%</v>
      </c>
      <c r="AN36" s="1607"/>
      <c r="AO36" s="1570">
        <f t="shared" si="12"/>
        <v>0</v>
      </c>
      <c r="AP36" s="1446">
        <f t="shared" si="13"/>
        <v>0</v>
      </c>
      <c r="AQ36" s="1446">
        <f t="shared" si="14"/>
        <v>0</v>
      </c>
      <c r="AR36" s="2008">
        <f t="shared" si="15"/>
        <v>0</v>
      </c>
      <c r="AS36" s="2008">
        <f t="shared" si="16"/>
        <v>0</v>
      </c>
      <c r="AT36" s="1574">
        <f t="shared" si="17"/>
        <v>0</v>
      </c>
      <c r="AU36" s="1574">
        <f t="shared" si="18"/>
        <v>0</v>
      </c>
      <c r="AV36" s="1573">
        <f t="shared" si="19"/>
        <v>0</v>
      </c>
      <c r="AW36" s="2113">
        <f t="shared" si="20"/>
        <v>0</v>
      </c>
      <c r="AX36" s="2113">
        <f t="shared" si="21"/>
        <v>0</v>
      </c>
      <c r="AY36" s="1620" t="e">
        <f t="shared" si="22"/>
        <v>#VALUE!</v>
      </c>
      <c r="AZ36" s="1597" t="str">
        <f t="shared" si="23"/>
        <v/>
      </c>
      <c r="BA36" s="1597" t="str">
        <f t="shared" si="24"/>
        <v/>
      </c>
      <c r="BB36" s="1597">
        <f t="shared" si="25"/>
        <v>0</v>
      </c>
      <c r="BC36" s="1597" t="str">
        <f t="shared" si="26"/>
        <v/>
      </c>
      <c r="BD36" s="1572">
        <f t="shared" si="27"/>
        <v>0</v>
      </c>
      <c r="BE36" s="1572">
        <f t="shared" si="28"/>
        <v>0</v>
      </c>
      <c r="BF36" s="1562"/>
      <c r="BG36" s="1597">
        <f t="shared" si="29"/>
        <v>0</v>
      </c>
      <c r="BH36" s="1608">
        <f t="shared" si="30"/>
        <v>0</v>
      </c>
      <c r="BI36" s="1591" t="e">
        <f t="shared" si="36"/>
        <v>#VALUE!</v>
      </c>
      <c r="BJ36" s="1591" t="e">
        <f t="shared" si="37"/>
        <v>#VALUE!</v>
      </c>
      <c r="BK36" s="1591" t="e">
        <f t="shared" si="34"/>
        <v>#VALUE!</v>
      </c>
    </row>
    <row r="37" spans="1:63" s="1528" customFormat="1" ht="18" customHeight="1">
      <c r="A37" s="2490"/>
      <c r="B37" s="1331"/>
      <c r="C37" s="1175"/>
      <c r="D37" s="1339"/>
      <c r="E37" s="1176"/>
      <c r="F37" s="1176"/>
      <c r="G37" s="1176"/>
      <c r="H37" s="1352"/>
      <c r="I37" s="1353"/>
      <c r="J37" s="1354"/>
      <c r="K37" s="1354"/>
      <c r="L37" s="1355"/>
      <c r="M37" s="1341"/>
      <c r="N37" s="1341"/>
      <c r="O37" s="1400"/>
      <c r="P37" s="1526" t="str">
        <f t="shared" si="3"/>
        <v/>
      </c>
      <c r="Q37" s="1525" t="str">
        <f t="shared" si="31"/>
        <v/>
      </c>
      <c r="R37" s="1638" t="str">
        <f t="shared" si="35"/>
        <v/>
      </c>
      <c r="S37" s="1173" t="str">
        <f t="shared" si="4"/>
        <v/>
      </c>
      <c r="T37" s="1179">
        <f t="shared" si="5"/>
        <v>0</v>
      </c>
      <c r="U37" s="1174" t="str">
        <f t="shared" si="6"/>
        <v/>
      </c>
      <c r="V37" s="1414">
        <f t="shared" si="7"/>
        <v>0</v>
      </c>
      <c r="W37" s="1172"/>
      <c r="X37" s="1172"/>
      <c r="Y37" s="1540" t="str">
        <f t="shared" si="8"/>
        <v/>
      </c>
      <c r="Z37" s="1541" t="str">
        <f t="shared" si="9"/>
        <v/>
      </c>
      <c r="AA37" s="1539" t="str">
        <f t="shared" si="32"/>
        <v/>
      </c>
      <c r="AB37" s="2027" t="str">
        <f t="shared" si="10"/>
        <v/>
      </c>
      <c r="AC37" s="2028" t="str">
        <f t="shared" si="11"/>
        <v/>
      </c>
      <c r="AD37" s="2094">
        <v>36</v>
      </c>
      <c r="AE37" s="2108"/>
      <c r="AF37" s="976">
        <v>2023</v>
      </c>
      <c r="AG37" s="1612">
        <v>53086.508000000002</v>
      </c>
      <c r="AH37" s="1616">
        <v>59220.2114</v>
      </c>
      <c r="AI37" s="1613">
        <f t="shared" si="1"/>
        <v>1.1155416626763244</v>
      </c>
      <c r="AJ37" s="1589">
        <f>IF(SUM(S37:V37)&gt;0,MAX(AJ$9:AJ36)+1,0)</f>
        <v>0</v>
      </c>
      <c r="AK37" s="1614">
        <f t="shared" si="0"/>
        <v>1.72E-2</v>
      </c>
      <c r="AL37" s="1589" t="str">
        <f t="shared" si="33"/>
        <v/>
      </c>
      <c r="AM37" s="1607" t="str">
        <f t="shared" si="2"/>
        <v>2023 / 1,72%</v>
      </c>
      <c r="AN37" s="1607"/>
      <c r="AO37" s="1570">
        <f t="shared" si="12"/>
        <v>0</v>
      </c>
      <c r="AP37" s="1446">
        <f t="shared" si="13"/>
        <v>0</v>
      </c>
      <c r="AQ37" s="1446">
        <f t="shared" si="14"/>
        <v>0</v>
      </c>
      <c r="AR37" s="2008">
        <f t="shared" si="15"/>
        <v>0</v>
      </c>
      <c r="AS37" s="2008">
        <f t="shared" si="16"/>
        <v>0</v>
      </c>
      <c r="AT37" s="1574">
        <f t="shared" si="17"/>
        <v>0</v>
      </c>
      <c r="AU37" s="1574">
        <f t="shared" si="18"/>
        <v>0</v>
      </c>
      <c r="AV37" s="1573">
        <f t="shared" si="19"/>
        <v>0</v>
      </c>
      <c r="AW37" s="2113">
        <f t="shared" si="20"/>
        <v>0</v>
      </c>
      <c r="AX37" s="2113">
        <f t="shared" si="21"/>
        <v>0</v>
      </c>
      <c r="AY37" s="1620" t="e">
        <f t="shared" si="22"/>
        <v>#VALUE!</v>
      </c>
      <c r="AZ37" s="1597" t="str">
        <f t="shared" si="23"/>
        <v/>
      </c>
      <c r="BA37" s="1597" t="str">
        <f t="shared" si="24"/>
        <v/>
      </c>
      <c r="BB37" s="1597">
        <f t="shared" si="25"/>
        <v>0</v>
      </c>
      <c r="BC37" s="1597" t="str">
        <f t="shared" si="26"/>
        <v/>
      </c>
      <c r="BD37" s="1572">
        <f t="shared" si="27"/>
        <v>0</v>
      </c>
      <c r="BE37" s="1572">
        <f t="shared" si="28"/>
        <v>0</v>
      </c>
      <c r="BF37" s="1562"/>
      <c r="BG37" s="1597">
        <f t="shared" si="29"/>
        <v>0</v>
      </c>
      <c r="BH37" s="1608">
        <f t="shared" si="30"/>
        <v>0</v>
      </c>
      <c r="BI37" s="1591" t="e">
        <f t="shared" si="36"/>
        <v>#VALUE!</v>
      </c>
      <c r="BJ37" s="1591" t="e">
        <f t="shared" si="37"/>
        <v>#VALUE!</v>
      </c>
      <c r="BK37" s="1591" t="e">
        <f t="shared" si="34"/>
        <v>#VALUE!</v>
      </c>
    </row>
    <row r="38" spans="1:63" s="1528" customFormat="1" ht="17.100000000000001" customHeight="1" thickBot="1">
      <c r="A38" s="2490"/>
      <c r="B38" s="1331"/>
      <c r="C38" s="1332"/>
      <c r="D38" s="1339"/>
      <c r="E38" s="1176"/>
      <c r="F38" s="1176"/>
      <c r="G38" s="1176"/>
      <c r="H38" s="1352"/>
      <c r="I38" s="1353"/>
      <c r="J38" s="1357"/>
      <c r="K38" s="1357"/>
      <c r="L38" s="1358"/>
      <c r="M38" s="1416"/>
      <c r="N38" s="1416"/>
      <c r="O38" s="1400"/>
      <c r="P38" s="1526" t="str">
        <f t="shared" si="3"/>
        <v/>
      </c>
      <c r="Q38" s="1525" t="str">
        <f t="shared" si="31"/>
        <v/>
      </c>
      <c r="R38" s="1638" t="str">
        <f t="shared" si="35"/>
        <v/>
      </c>
      <c r="S38" s="1173" t="str">
        <f t="shared" si="4"/>
        <v/>
      </c>
      <c r="T38" s="1179">
        <f t="shared" si="5"/>
        <v>0</v>
      </c>
      <c r="U38" s="1174" t="str">
        <f t="shared" si="6"/>
        <v/>
      </c>
      <c r="V38" s="1414">
        <f t="shared" si="7"/>
        <v>0</v>
      </c>
      <c r="W38" s="1172"/>
      <c r="X38" s="1172"/>
      <c r="Y38" s="2098" t="str">
        <f t="shared" si="8"/>
        <v/>
      </c>
      <c r="Z38" s="2099" t="str">
        <f t="shared" si="9"/>
        <v/>
      </c>
      <c r="AA38" s="2100" t="str">
        <f t="shared" si="32"/>
        <v/>
      </c>
      <c r="AB38" s="2096" t="str">
        <f t="shared" si="10"/>
        <v/>
      </c>
      <c r="AC38" s="2097" t="str">
        <f t="shared" si="11"/>
        <v/>
      </c>
      <c r="AD38" s="2093">
        <v>37</v>
      </c>
      <c r="AE38" s="2108"/>
      <c r="AF38" s="1631"/>
      <c r="AG38" s="1632" t="str">
        <f>IFERROR(V38/U38,"")</f>
        <v/>
      </c>
      <c r="AH38" s="1591"/>
      <c r="AI38" s="1633">
        <f>AVERAGE(AI14:AI37)</f>
        <v>1.005388977396416</v>
      </c>
      <c r="AJ38" s="1589">
        <f>IF(SUM(S38:V38)&gt;0,MAX(AJ$9:AJ37)+1,0)</f>
        <v>0</v>
      </c>
      <c r="AK38" s="1589"/>
      <c r="AL38" s="1589" t="str">
        <f t="shared" si="33"/>
        <v/>
      </c>
      <c r="AM38" s="1589"/>
      <c r="AN38" s="1589"/>
      <c r="AO38" s="1570">
        <f t="shared" si="12"/>
        <v>0</v>
      </c>
      <c r="AP38" s="1446">
        <f t="shared" si="13"/>
        <v>0</v>
      </c>
      <c r="AQ38" s="1446">
        <f t="shared" si="14"/>
        <v>0</v>
      </c>
      <c r="AR38" s="2008">
        <f t="shared" si="15"/>
        <v>0</v>
      </c>
      <c r="AS38" s="2008">
        <f t="shared" si="16"/>
        <v>0</v>
      </c>
      <c r="AT38" s="1574">
        <f t="shared" si="17"/>
        <v>0</v>
      </c>
      <c r="AU38" s="1574">
        <f t="shared" si="18"/>
        <v>0</v>
      </c>
      <c r="AV38" s="1573">
        <f t="shared" si="19"/>
        <v>0</v>
      </c>
      <c r="AW38" s="2113">
        <f t="shared" si="20"/>
        <v>0</v>
      </c>
      <c r="AX38" s="2113">
        <f t="shared" si="21"/>
        <v>0</v>
      </c>
      <c r="AY38" s="1620" t="e">
        <f t="shared" si="22"/>
        <v>#VALUE!</v>
      </c>
      <c r="AZ38" s="1597" t="str">
        <f t="shared" si="23"/>
        <v/>
      </c>
      <c r="BA38" s="1597" t="str">
        <f t="shared" si="24"/>
        <v/>
      </c>
      <c r="BB38" s="1597">
        <f t="shared" si="25"/>
        <v>0</v>
      </c>
      <c r="BC38" s="1597" t="str">
        <f t="shared" si="26"/>
        <v/>
      </c>
      <c r="BD38" s="1572">
        <f t="shared" si="27"/>
        <v>0</v>
      </c>
      <c r="BE38" s="1634">
        <f t="shared" si="28"/>
        <v>0</v>
      </c>
      <c r="BF38" s="1562"/>
      <c r="BG38" s="1597">
        <f t="shared" si="29"/>
        <v>0</v>
      </c>
      <c r="BH38" s="1608">
        <f t="shared" si="30"/>
        <v>0</v>
      </c>
      <c r="BI38" s="1591" t="e">
        <f t="shared" si="36"/>
        <v>#VALUE!</v>
      </c>
      <c r="BJ38" s="1591" t="e">
        <f t="shared" si="37"/>
        <v>#VALUE!</v>
      </c>
      <c r="BK38" s="1591" t="e">
        <f t="shared" si="34"/>
        <v>#VALUE!</v>
      </c>
    </row>
    <row r="39" spans="1:63" s="1528" customFormat="1" ht="17.100000000000001" customHeight="1" thickTop="1">
      <c r="A39" s="1542"/>
      <c r="B39" s="2491" t="s">
        <v>1529</v>
      </c>
      <c r="C39" s="2492"/>
      <c r="D39" s="2492"/>
      <c r="E39" s="1815">
        <f>SUMIF($B$27:$B$38,"m",E$27:E$38)</f>
        <v>0</v>
      </c>
      <c r="F39" s="1543">
        <f>SUMIF($B$27:$B$38,"m",F$27:F$38)</f>
        <v>0</v>
      </c>
      <c r="G39" s="1544">
        <f>SUMIF($B$27:$B$38,"m",G$27:G$38)</f>
        <v>0</v>
      </c>
      <c r="H39" s="2502" t="s">
        <v>1511</v>
      </c>
      <c r="I39" s="2503"/>
      <c r="J39" s="2503"/>
      <c r="K39" s="2503"/>
      <c r="L39" s="2504"/>
      <c r="M39" s="2431" t="s">
        <v>1510</v>
      </c>
      <c r="N39" s="2431"/>
      <c r="O39" s="2431"/>
      <c r="P39" s="2431"/>
      <c r="Q39" s="2431"/>
      <c r="R39" s="2432"/>
      <c r="S39" s="1545">
        <f>SUM(S27:S38,S15:S16,S13,S19)</f>
        <v>0</v>
      </c>
      <c r="T39" s="1545">
        <f>SUM(T27:T38,T15:T16,T13,T20)</f>
        <v>0</v>
      </c>
      <c r="U39" s="1545">
        <f>SUM(U27:U38,U15:U16,U13,U19)</f>
        <v>0</v>
      </c>
      <c r="V39" s="1546">
        <f>SUM(V27:V38,V15:V16,V13,V20)</f>
        <v>0</v>
      </c>
      <c r="W39" s="1547"/>
      <c r="Y39" s="2428" t="s">
        <v>1488</v>
      </c>
      <c r="Z39" s="2429"/>
      <c r="AA39" s="2430"/>
      <c r="AB39" s="2407" t="str">
        <f>IF(ReSummeM,Durchschnitt&amp;" Rentenerwartung/Leistungsmonat",Summenzeichen&amp;" der erwartbaren Rentenleistungen")</f>
        <v>∑ der erwartbaren Rentenleistungen</v>
      </c>
      <c r="AC39" s="2408"/>
      <c r="AD39" s="2094">
        <v>38</v>
      </c>
      <c r="AE39" s="2107"/>
      <c r="AF39" s="976"/>
      <c r="AJ39" s="1561"/>
      <c r="AK39" s="1561"/>
      <c r="AL39" s="1561"/>
      <c r="AM39" s="1561"/>
      <c r="AN39" s="1561"/>
      <c r="BA39" s="1528" t="s">
        <v>143</v>
      </c>
      <c r="BB39" s="1591" t="e">
        <f>+SUM(BB27:BB38)+AW10+AW12+AW14</f>
        <v>#VALUE!</v>
      </c>
      <c r="BC39" s="1591" t="e">
        <f>+SUM(BC27:BC38)+AX10+AX12+AX14</f>
        <v>#VALUE!</v>
      </c>
    </row>
    <row r="40" spans="1:63" s="1528" customFormat="1" ht="17.100000000000001" customHeight="1" thickBot="1">
      <c r="A40" s="1548"/>
      <c r="B40" s="2527" t="s">
        <v>1530</v>
      </c>
      <c r="C40" s="2528"/>
      <c r="D40" s="2528"/>
      <c r="E40" s="1549">
        <f>SUMIF($B$27:$B$38,"w",E$27:E$38)</f>
        <v>0</v>
      </c>
      <c r="F40" s="1549">
        <f>SUMIF($B$27:$B$38,"w",F$27:F$38)</f>
        <v>0</v>
      </c>
      <c r="G40" s="1550">
        <f>SUMIF($B$27:$B$38,"w",G$27:G$38)</f>
        <v>0</v>
      </c>
      <c r="H40" s="2505"/>
      <c r="I40" s="2506"/>
      <c r="J40" s="2506"/>
      <c r="K40" s="2506"/>
      <c r="L40" s="2507"/>
      <c r="M40" s="2500" t="s">
        <v>1531</v>
      </c>
      <c r="N40" s="2500"/>
      <c r="O40" s="2500"/>
      <c r="P40" s="2500"/>
      <c r="Q40" s="2500"/>
      <c r="R40" s="2501"/>
      <c r="S40" s="1551" t="str">
        <f>IFERROR(BB39,"")</f>
        <v/>
      </c>
      <c r="T40" s="1552"/>
      <c r="U40" s="1551" t="str">
        <f>IFERROR(BC39,"")</f>
        <v/>
      </c>
      <c r="V40" s="1553"/>
      <c r="Y40" s="2517" t="s">
        <v>1489</v>
      </c>
      <c r="Z40" s="2330"/>
      <c r="AA40" s="2518"/>
      <c r="AB40" s="2018">
        <f>SUM(AB27:AB38,AB19,AB15:AB16,AB13)</f>
        <v>0</v>
      </c>
      <c r="AC40" s="2019">
        <f>SUM(AC27:AC38,AC19,AC15:AC16,AC13)</f>
        <v>0</v>
      </c>
      <c r="AD40" s="2093">
        <v>39</v>
      </c>
      <c r="AE40" s="2107"/>
      <c r="AF40" s="976"/>
      <c r="AG40" s="1625"/>
      <c r="AH40" s="1635"/>
      <c r="AI40" s="1635"/>
      <c r="AJ40" s="1561"/>
      <c r="AK40" s="1561"/>
      <c r="AL40" s="1561"/>
      <c r="AM40" s="1561"/>
      <c r="AN40" s="1561"/>
      <c r="AO40" s="1562"/>
      <c r="AP40" s="1565" t="s">
        <v>1381</v>
      </c>
      <c r="AQ40" s="1636">
        <v>203</v>
      </c>
      <c r="AR40" s="1565" t="s">
        <v>1432</v>
      </c>
      <c r="AS40" s="1565">
        <f>VLOOKUP(TOs+4,'TO Ziff.5'!$B$7:$P$416,4)</f>
        <v>0</v>
      </c>
      <c r="AT40" s="1565"/>
      <c r="AU40" s="1565"/>
      <c r="AV40" s="1565" t="s">
        <v>1046</v>
      </c>
      <c r="AW40" s="1565" t="s">
        <v>1047</v>
      </c>
      <c r="AX40" s="1565" t="s">
        <v>1382</v>
      </c>
      <c r="AY40" s="1565" t="s">
        <v>1383</v>
      </c>
      <c r="AZ40" s="1565"/>
      <c r="BA40" s="1562"/>
    </row>
    <row r="41" spans="1:63" ht="17.100000000000001" customHeight="1" thickTop="1">
      <c r="A41" s="1554"/>
      <c r="B41" s="1555" t="s">
        <v>846</v>
      </c>
      <c r="C41" s="1555"/>
      <c r="D41" s="1555"/>
      <c r="E41" s="1555"/>
      <c r="F41" s="1555"/>
      <c r="G41" s="1555"/>
      <c r="H41" s="1556" t="s">
        <v>1632</v>
      </c>
      <c r="I41" s="1554"/>
      <c r="J41" s="1555"/>
      <c r="K41" s="2434" t="str">
        <f>IFERROR(ABS(AR41),"")</f>
        <v/>
      </c>
      <c r="L41" s="2434"/>
      <c r="M41" s="1555"/>
      <c r="N41" s="1555"/>
      <c r="O41" s="1555"/>
      <c r="P41" s="1555"/>
      <c r="Q41" s="1555"/>
      <c r="R41" s="1555"/>
      <c r="S41" s="2427" t="s">
        <v>1631</v>
      </c>
      <c r="T41" s="2427"/>
      <c r="U41" s="1557">
        <f>ABS(T39-V39)</f>
        <v>0</v>
      </c>
      <c r="V41" s="1555"/>
      <c r="W41" s="978"/>
      <c r="X41" s="978"/>
      <c r="Y41" s="1510" t="s">
        <v>1876</v>
      </c>
      <c r="Z41" s="1599" t="str">
        <f>IFERROR(VLOOKUP(YEAR(Dat_EzE),MonatlicheBezugsgroesse,4),"")</f>
        <v/>
      </c>
      <c r="AA41" s="1599" t="str">
        <f>IFERROR(VLOOKUP(YEAR(Dat_EzE),MonatlicheBezugsgroesse,5),"")</f>
        <v/>
      </c>
      <c r="AB41" s="2450">
        <f>+ABS(Barwertdifferenz-AC40)</f>
        <v>0</v>
      </c>
      <c r="AC41" s="2450"/>
      <c r="AD41" s="2094">
        <v>40</v>
      </c>
      <c r="AE41" s="2107"/>
      <c r="AF41" s="1447"/>
      <c r="AG41" s="474"/>
      <c r="AJ41" s="1181"/>
      <c r="AK41" s="1181"/>
      <c r="AL41" s="1181"/>
      <c r="AM41" s="1181"/>
      <c r="AN41" s="1181"/>
      <c r="AO41" s="1238" t="s">
        <v>1633</v>
      </c>
      <c r="AP41" s="1470" t="e">
        <f>+KoKaDRV+Z15+Z16+Dat_bstdKoKa_M+F39</f>
        <v>#VALUE!</v>
      </c>
      <c r="AQ41" s="1470" t="e">
        <f>KoKaDRV_F+AA15+AA16+Dat_bstdKoKa_F+F40</f>
        <v>#VALUE!</v>
      </c>
      <c r="AR41" s="1470" t="e">
        <f>+AP41-AQ41</f>
        <v>#VALUE!</v>
      </c>
      <c r="AV41" s="1238">
        <f>VLOOKUP(TOs+4,'TO Ziff.5'!$B$7:$P$416,10)</f>
        <v>0</v>
      </c>
      <c r="AW41" s="1238">
        <f>VLOOKUP(TOs+4,'TO Ziff.5'!$B$7:$P$416,11)</f>
        <v>0</v>
      </c>
      <c r="AX41" s="1238">
        <f>VLOOKUP(TOs,'TO Ziff.5'!$B$7:$P$416,12)</f>
        <v>0</v>
      </c>
      <c r="AY41" s="1238">
        <f>VLOOKUP(TOs+4,'TO Ziff.5'!$B$7:$P$416,13)</f>
        <v>0</v>
      </c>
      <c r="AZ41" s="1238">
        <f>SUM(AV41:AY41)</f>
        <v>0</v>
      </c>
      <c r="BC41" s="474" t="e">
        <f>+BA27/AW11</f>
        <v>#VALUE!</v>
      </c>
    </row>
    <row r="42" spans="1:63" ht="14.25" hidden="1" customHeight="1">
      <c r="AK42" s="1181"/>
      <c r="AP42" s="1238"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hidden="1" customHeight="1">
      <c r="AK43" s="1181"/>
    </row>
    <row r="44" spans="1:63" ht="14.25" hidden="1" customHeight="1">
      <c r="AK44" s="1181"/>
    </row>
    <row r="45" spans="1:63" ht="14.25" hidden="1" customHeight="1">
      <c r="AK45" s="1181"/>
    </row>
    <row r="46" spans="1:63" ht="14.25" hidden="1" customHeight="1">
      <c r="AK46" s="1181"/>
    </row>
    <row r="47" spans="1:63" ht="14.25" hidden="1" customHeight="1">
      <c r="AK47" s="1181"/>
    </row>
    <row r="48" spans="1:63" ht="14.25" hidden="1" customHeight="1">
      <c r="AK48" s="1181"/>
    </row>
    <row r="49" spans="37:37" ht="14.25" hidden="1" customHeight="1">
      <c r="AK49" s="1181"/>
    </row>
  </sheetData>
  <sheetProtection algorithmName="SHA-512" hashValue="PlXfsEZCYlSKv+lhSq26lC/bwvVAqSg6J1qewewUgmjJmrDyqgnlLOQtsMIeXZ/piVKPIBE7I4r40/ULdEduQw==" saltValue="q8GBZqoor1snsOunEPLiwA==" spinCount="100000" sheet="1" objects="1" scenarios="1" selectLockedCells="1"/>
  <mergeCells count="145">
    <mergeCell ref="BA25:BA26"/>
    <mergeCell ref="S11:T11"/>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S24:V24"/>
    <mergeCell ref="S25:V25"/>
    <mergeCell ref="X21:X26"/>
    <mergeCell ref="AR8:AS8"/>
    <mergeCell ref="AX17:AX18"/>
    <mergeCell ref="AO8:AP8"/>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A22:A23"/>
    <mergeCell ref="A24:A38"/>
    <mergeCell ref="B39:D39"/>
    <mergeCell ref="Y22:AA23"/>
    <mergeCell ref="J22:J26"/>
    <mergeCell ref="M40:R40"/>
    <mergeCell ref="H39:L40"/>
    <mergeCell ref="S21:V21"/>
    <mergeCell ref="R22:R26"/>
    <mergeCell ref="O25:P25"/>
    <mergeCell ref="N22:N26"/>
    <mergeCell ref="O24:P24"/>
    <mergeCell ref="H22:H26"/>
    <mergeCell ref="Y40:AA40"/>
    <mergeCell ref="Y20:AA21"/>
    <mergeCell ref="Y24:Y26"/>
    <mergeCell ref="B40:D40"/>
    <mergeCell ref="J18:Q18"/>
    <mergeCell ref="AA24:AA26"/>
    <mergeCell ref="M22:M26"/>
    <mergeCell ref="Q22:Q26"/>
    <mergeCell ref="O22:P22"/>
    <mergeCell ref="AB11:AC11"/>
    <mergeCell ref="L10:N10"/>
    <mergeCell ref="AV17:AV18"/>
    <mergeCell ref="J20:Q20"/>
    <mergeCell ref="AT25:AT26"/>
    <mergeCell ref="S17:V17"/>
    <mergeCell ref="U10:V10"/>
    <mergeCell ref="S10:T10"/>
    <mergeCell ref="Y11:AA11"/>
    <mergeCell ref="Y17:AA17"/>
    <mergeCell ref="Z24:Z26"/>
    <mergeCell ref="AL13:AL16"/>
    <mergeCell ref="AK10:AM11"/>
    <mergeCell ref="AB39:AC39"/>
    <mergeCell ref="AB4:AC10"/>
    <mergeCell ref="Y3:AA5"/>
    <mergeCell ref="AB2:AC3"/>
    <mergeCell ref="AJ6:AK8"/>
    <mergeCell ref="J15:Q15"/>
    <mergeCell ref="O6:Q6"/>
    <mergeCell ref="S41:T41"/>
    <mergeCell ref="Y39:AA39"/>
    <mergeCell ref="M39:R39"/>
    <mergeCell ref="H6:K6"/>
    <mergeCell ref="K41:L41"/>
    <mergeCell ref="L6:N6"/>
    <mergeCell ref="J17:Q17"/>
    <mergeCell ref="J14:Q14"/>
    <mergeCell ref="AB14:AC14"/>
    <mergeCell ref="AB17:AC17"/>
    <mergeCell ref="AB20:AC21"/>
    <mergeCell ref="AB22:AC26"/>
    <mergeCell ref="AB41:AC41"/>
    <mergeCell ref="U11:V11"/>
    <mergeCell ref="J8:Q8"/>
    <mergeCell ref="J11:Q11"/>
    <mergeCell ref="J10:K10"/>
    <mergeCell ref="J16:Q16"/>
    <mergeCell ref="O9:Q9"/>
    <mergeCell ref="O10:Q10"/>
    <mergeCell ref="O2:Q3"/>
    <mergeCell ref="B4:D4"/>
    <mergeCell ref="E4:G4"/>
    <mergeCell ref="E5:G5"/>
    <mergeCell ref="S4:T4"/>
    <mergeCell ref="B7:D7"/>
    <mergeCell ref="R3:R7"/>
    <mergeCell ref="S9:T9"/>
    <mergeCell ref="S8:V8"/>
    <mergeCell ref="B5:D5"/>
    <mergeCell ref="B2:N3"/>
    <mergeCell ref="B1:Q1"/>
    <mergeCell ref="R1:V1"/>
    <mergeCell ref="Y8:AA9"/>
    <mergeCell ref="J9:K9"/>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AG1:AG12"/>
    <mergeCell ref="AH1:AH12"/>
    <mergeCell ref="AO1:AR1"/>
  </mergeCells>
  <conditionalFormatting sqref="B39:B40 E39:V40">
    <cfRule type="expression" dxfId="420" priority="642">
      <formula>$A$21=1</formula>
    </cfRule>
  </conditionalFormatting>
  <conditionalFormatting sqref="B27:C38">
    <cfRule type="expression" dxfId="419" priority="1124">
      <formula>OR(B27="w",B27="f")</formula>
    </cfRule>
    <cfRule type="expression" dxfId="418" priority="1125">
      <formula>B27="m"</formula>
    </cfRule>
  </conditionalFormatting>
  <conditionalFormatting sqref="B4:E4 H4">
    <cfRule type="expression" dxfId="417" priority="1737">
      <formula>$AK$3=1</formula>
    </cfRule>
  </conditionalFormatting>
  <conditionalFormatting sqref="B5:E5">
    <cfRule type="expression" dxfId="416" priority="1739">
      <formula>$AK$3=2</formula>
    </cfRule>
  </conditionalFormatting>
  <conditionalFormatting sqref="B15:F16">
    <cfRule type="expression" dxfId="415" priority="464">
      <formula>TO_vorhanden&gt;12</formula>
    </cfRule>
  </conditionalFormatting>
  <conditionalFormatting sqref="E27:E38">
    <cfRule type="expression" dxfId="409" priority="2398">
      <formula>AND($BH27&gt;5%,$BH27&lt;10%,$T27+$V27&gt;0,$H27&lt;&gt;"K")</formula>
    </cfRule>
    <cfRule type="expression" dxfId="408" priority="2397">
      <formula>AND($BH27&lt;=5%,E27&gt;0,$T27+$V27&gt;0,$H27&lt;&gt;"K")</formula>
    </cfRule>
    <cfRule type="expression" dxfId="407" priority="2396">
      <formula>AND(D27&gt;0,E27=0,$H27&lt;&gt;"K")</formula>
    </cfRule>
  </conditionalFormatting>
  <conditionalFormatting sqref="E39:H39 B39:B40 M39:M40 S39:V40 E40:G40">
    <cfRule type="expression" dxfId="406" priority="911">
      <formula>b_p_AVverbergen</formula>
    </cfRule>
  </conditionalFormatting>
  <conditionalFormatting sqref="F27:F38">
    <cfRule type="expression" dxfId="405" priority="2401">
      <formula>AND($BH27&lt;=5%,F27&gt;0,$T27+$V27&gt;0,$H27&lt;&gt;"K")</formula>
    </cfRule>
    <cfRule type="expression" dxfId="404" priority="2400">
      <formula>AND(E27&gt;0,F27=0,$H27&lt;&gt;"K")</formula>
    </cfRule>
    <cfRule type="expression" dxfId="403" priority="2399">
      <formula>AND(F27&gt;0,$BH27&gt;10%,$T27+$V27&gt;0,$H27&lt;&gt;"K")</formula>
    </cfRule>
    <cfRule type="expression" dxfId="402" priority="2405">
      <formula>AND(F27&gt;0,$BH27&gt;10%,$T27+$V27&gt;0,$H27&lt;&gt;"K",L27&lt;&gt;"i")</formula>
    </cfRule>
    <cfRule type="expression" dxfId="401" priority="2404">
      <formula>AND(F27&gt;0,$BH27&gt;10%,$T27+$V27&gt;0,$H27&lt;&gt;"K")</formula>
    </cfRule>
    <cfRule type="expression" dxfId="400" priority="2403">
      <formula>AND(F27&gt;0,$BH27&gt;10%,$T27+$V27&gt;0,$H27&lt;&gt;"K")</formula>
    </cfRule>
    <cfRule type="expression" dxfId="399" priority="2402">
      <formula>AND($BH27&gt;5%,$BH27&lt;10%,$T27+$V27&gt;0,$H27&lt;&gt;"K")</formula>
    </cfRule>
  </conditionalFormatting>
  <conditionalFormatting sqref="G27:G38">
    <cfRule type="expression" dxfId="398" priority="462">
      <formula>AND(G27="",H27="K")</formula>
    </cfRule>
    <cfRule type="expression" dxfId="397" priority="1829">
      <formula>AND($I27&gt;0,$F28&gt;0,$E27=0,G27=0)</formula>
    </cfRule>
  </conditionalFormatting>
  <conditionalFormatting sqref="H27:H38">
    <cfRule type="expression" dxfId="396" priority="471">
      <formula>H27="u"</formula>
    </cfRule>
    <cfRule type="expression" dxfId="395" priority="485">
      <formula>AND(E27=0,F27+G27&gt;0,H27&lt;&gt;"k")</formula>
    </cfRule>
  </conditionalFormatting>
  <conditionalFormatting sqref="I27:I38">
    <cfRule type="expression" dxfId="394" priority="1135">
      <formula>AND(B27&lt;&gt;"",I27="")</formula>
    </cfRule>
  </conditionalFormatting>
  <conditionalFormatting sqref="J9:R10">
    <cfRule type="expression" dxfId="393" priority="453">
      <formula>DRV_VersorgungenVerbergen</formula>
    </cfRule>
  </conditionalFormatting>
  <conditionalFormatting sqref="J11:S13 T12 V12 Z13:AA13">
    <cfRule type="expression" dxfId="392" priority="909">
      <formula>DRV_VersorgungenVerbergen</formula>
    </cfRule>
  </conditionalFormatting>
  <conditionalFormatting sqref="J15:S16 U15:U16 Z15:AA16">
    <cfRule type="expression" dxfId="391" priority="908">
      <formula>BeamtV_Verbergen</formula>
    </cfRule>
  </conditionalFormatting>
  <conditionalFormatting sqref="J18:V18 J19:Q19 S19:V19 J20 T20 V20">
    <cfRule type="expression" dxfId="390" priority="907">
      <formula>BerstdV_verbergen</formula>
    </cfRule>
  </conditionalFormatting>
  <conditionalFormatting sqref="L27:L38">
    <cfRule type="expression" dxfId="389" priority="2696">
      <formula>OR(AND(C27="p",IF(AP27=1,T27,V27)&gt;$BC$12,,L27="e"),AND(C27="b",IF(AP27=1,T27,V27)&gt;$BC$11,L27="e"))</formula>
    </cfRule>
    <cfRule type="expression" dxfId="388" priority="2695">
      <formula>AND(L27="e",$T27+$V27&gt;$BC$12,C27="p")</formula>
    </cfRule>
  </conditionalFormatting>
  <conditionalFormatting sqref="L9:N9">
    <cfRule type="expression" dxfId="387" priority="2697">
      <formula>AND($AO$12=1,$T$6&gt;0)</formula>
    </cfRule>
  </conditionalFormatting>
  <conditionalFormatting sqref="L10:N10">
    <cfRule type="expression" dxfId="386" priority="2698">
      <formula>AND($AO$13=1,$V$6&gt;0)</formula>
    </cfRule>
  </conditionalFormatting>
  <conditionalFormatting sqref="Q27:Q38">
    <cfRule type="expression" dxfId="385" priority="1087">
      <formula>ABS(Q27)&lt;=0.05</formula>
    </cfRule>
    <cfRule type="expression" dxfId="384" priority="1086">
      <formula>AND(ABS(Q27)&lt;0.1,ABS(Q27)&gt;0.05,L27="e")</formula>
    </cfRule>
    <cfRule type="expression" dxfId="383" priority="1088">
      <formula>AND(ABS(Q27)&gt;0.1,L27="e")</formula>
    </cfRule>
  </conditionalFormatting>
  <conditionalFormatting sqref="R19:R20">
    <cfRule type="expression" dxfId="382" priority="470">
      <formula>BeamtV_Verbergen</formula>
    </cfRule>
  </conditionalFormatting>
  <conditionalFormatting sqref="R1:V1">
    <cfRule type="expression" dxfId="381" priority="1">
      <formula>V3&gt;Enddatum</formula>
    </cfRule>
  </conditionalFormatting>
  <conditionalFormatting sqref="R2:V2">
    <cfRule type="expression" dxfId="380" priority="3">
      <formula>V3&gt;Enddatum</formula>
    </cfRule>
  </conditionalFormatting>
  <conditionalFormatting sqref="S6">
    <cfRule type="expression" dxfId="379" priority="937">
      <formula>AND(T6="",S6="")</formula>
    </cfRule>
  </conditionalFormatting>
  <conditionalFormatting sqref="S10">
    <cfRule type="expression" dxfId="378" priority="4">
      <formula>DRV_VersorgungenVerbergen</formula>
    </cfRule>
  </conditionalFormatting>
  <conditionalFormatting sqref="S27:S38 U27:U38">
    <cfRule type="expression" dxfId="377" priority="924">
      <formula>AND($E27="",$H27="K")</formula>
    </cfRule>
  </conditionalFormatting>
  <conditionalFormatting sqref="S9:V9">
    <cfRule type="expression" dxfId="376" priority="452">
      <formula>DRV_VersorgungenVerbergen</formula>
    </cfRule>
  </conditionalFormatting>
  <conditionalFormatting sqref="T27:T38">
    <cfRule type="expression" dxfId="375" priority="2699">
      <formula>AND(E27&gt;0,G27=0)</formula>
    </cfRule>
    <cfRule type="expression" dxfId="374" priority="2700">
      <formula>AND($B27="m",$T$6="")</formula>
    </cfRule>
    <cfRule type="expression" dxfId="373" priority="2701">
      <formula>AND(L27="e",T27&gt;$BC$11)</formula>
    </cfRule>
    <cfRule type="expression" dxfId="372" priority="2702">
      <formula>AND(T27&lt;$BC$10,T27&gt;0)</formula>
    </cfRule>
  </conditionalFormatting>
  <conditionalFormatting sqref="U6">
    <cfRule type="expression" dxfId="371" priority="636">
      <formula>AND(V6="",U6="")</formula>
    </cfRule>
  </conditionalFormatting>
  <conditionalFormatting sqref="U10:U13">
    <cfRule type="expression" dxfId="370" priority="456">
      <formula>DRV_VersorgungenVerbergen</formula>
    </cfRule>
  </conditionalFormatting>
  <conditionalFormatting sqref="V3">
    <cfRule type="expression" dxfId="369" priority="1729">
      <formula>V3=""</formula>
    </cfRule>
    <cfRule type="expression" dxfId="368" priority="2">
      <formula>V3&gt;Enddatum</formula>
    </cfRule>
    <cfRule type="expression" dxfId="367" priority="1728">
      <formula>AND($T$6+$V$6&gt;0,$V$3="")</formula>
    </cfRule>
  </conditionalFormatting>
  <conditionalFormatting sqref="V27:V38">
    <cfRule type="expression" dxfId="366" priority="2703">
      <formula>AND(E27&gt;0,G27=0)</formula>
    </cfRule>
    <cfRule type="expression" dxfId="365" priority="2704">
      <formula>AND(B27="w",$V$6="")</formula>
    </cfRule>
    <cfRule type="expression" dxfId="364" priority="2705">
      <formula>AND(L27="e",V27&gt;$BC$11)</formula>
    </cfRule>
    <cfRule type="expression" dxfId="363" priority="2706">
      <formula>AND(V27&lt;$BC$10,V27&gt;0)</formula>
    </cfRule>
  </conditionalFormatting>
  <conditionalFormatting sqref="X13">
    <cfRule type="expression" dxfId="362" priority="1925">
      <formula>OR($Z$13&lt;T13,$AA$13&lt;V13)</formula>
    </cfRule>
    <cfRule type="expression" dxfId="361" priority="1924">
      <formula>OR($Z$13&gt;$T$13,$AA$13,$V$13)</formula>
    </cfRule>
  </conditionalFormatting>
  <conditionalFormatting sqref="X15:X16">
    <cfRule type="expression" dxfId="360" priority="1997">
      <formula>OR($Z$16&lt;$T$16,$AA$16&lt;$V$16)</formula>
    </cfRule>
    <cfRule type="expression" dxfId="359" priority="1996">
      <formula>OR(Z15&gt;T15,AA15&gt;V15)</formula>
    </cfRule>
  </conditionalFormatting>
  <conditionalFormatting sqref="X19">
    <cfRule type="expression" dxfId="358" priority="2707">
      <formula>OR($T$19&lt;$AW$15,$V$19&lt;$AX$15)</formula>
    </cfRule>
  </conditionalFormatting>
  <conditionalFormatting sqref="X20">
    <cfRule type="expression" dxfId="357" priority="1999">
      <formula>OR($Z$16&lt;$T$16,$AA$16&lt;$V$16)</formula>
    </cfRule>
    <cfRule type="expression" dxfId="356" priority="1998">
      <formula>OR(#REF!&gt;#REF!,#REF!&gt;#REF!)</formula>
    </cfRule>
  </conditionalFormatting>
  <conditionalFormatting sqref="X27:X38">
    <cfRule type="expression" dxfId="355" priority="1117">
      <formula>$T27+$V27&lt;$AA27</formula>
    </cfRule>
  </conditionalFormatting>
  <conditionalFormatting sqref="AI14:AI37">
    <cfRule type="expression" dxfId="354" priority="2710">
      <formula>AND(BO14&lt;AC14+#REF!,T14="e")</formula>
    </cfRule>
    <cfRule type="expression" dxfId="353" priority="2711">
      <formula>BO14&gt;AC14+#REF!</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28575</xdr:colOff>
                    <xdr:row>5</xdr:row>
                    <xdr:rowOff>28575</xdr:rowOff>
                  </from>
                  <to>
                    <xdr:col>24</xdr:col>
                    <xdr:colOff>714375</xdr:colOff>
                    <xdr:row>5</xdr:row>
                    <xdr:rowOff>219075</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66675</xdr:colOff>
                    <xdr:row>10</xdr:row>
                    <xdr:rowOff>28575</xdr:rowOff>
                  </from>
                  <to>
                    <xdr:col>12</xdr:col>
                    <xdr:colOff>257175</xdr:colOff>
                    <xdr:row>10</xdr:row>
                    <xdr:rowOff>219075</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28575</xdr:colOff>
                    <xdr:row>15</xdr:row>
                    <xdr:rowOff>152400</xdr:rowOff>
                  </from>
                  <to>
                    <xdr:col>6</xdr:col>
                    <xdr:colOff>28575</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28575</xdr:rowOff>
                  </from>
                  <to>
                    <xdr:col>3</xdr:col>
                    <xdr:colOff>28575</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66675</xdr:colOff>
                    <xdr:row>4</xdr:row>
                    <xdr:rowOff>28575</xdr:rowOff>
                  </from>
                  <to>
                    <xdr:col>3</xdr:col>
                    <xdr:colOff>28575</xdr:colOff>
                    <xdr:row>5</xdr:row>
                    <xdr:rowOff>28575</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638175</xdr:colOff>
                    <xdr:row>3</xdr:row>
                    <xdr:rowOff>28575</xdr:rowOff>
                  </from>
                  <to>
                    <xdr:col>21</xdr:col>
                    <xdr:colOff>866775</xdr:colOff>
                    <xdr:row>3</xdr:row>
                    <xdr:rowOff>219075</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676275</xdr:colOff>
                    <xdr:row>3</xdr:row>
                    <xdr:rowOff>28575</xdr:rowOff>
                  </from>
                  <to>
                    <xdr:col>20</xdr:col>
                    <xdr:colOff>28575</xdr:colOff>
                    <xdr:row>3</xdr:row>
                    <xdr:rowOff>219075</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28575</xdr:colOff>
                    <xdr:row>5</xdr:row>
                    <xdr:rowOff>219075</xdr:rowOff>
                  </from>
                  <to>
                    <xdr:col>26</xdr:col>
                    <xdr:colOff>904875</xdr:colOff>
                    <xdr:row>6</xdr:row>
                    <xdr:rowOff>219075</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28575</xdr:colOff>
                    <xdr:row>8</xdr:row>
                    <xdr:rowOff>219075</xdr:rowOff>
                  </from>
                  <to>
                    <xdr:col>28</xdr:col>
                    <xdr:colOff>828675</xdr:colOff>
                    <xdr:row>9</xdr:row>
                    <xdr:rowOff>219075</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9525</xdr:colOff>
                    <xdr:row>24</xdr:row>
                    <xdr:rowOff>219075</xdr:rowOff>
                  </from>
                  <to>
                    <xdr:col>26</xdr:col>
                    <xdr:colOff>914400</xdr:colOff>
                    <xdr:row>25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3" id="{2BF23E20-C735-4183-A008-C0B1B224E4A8}">
            <xm:f>AND($L27="i",'TO Ziff.5'!$S7&gt;1)</xm:f>
            <x14:dxf>
              <fill>
                <patternFill>
                  <bgColor theme="7" tint="0.59996337778862885"/>
                </patternFill>
              </fill>
            </x14:dxf>
          </x14:cfRule>
          <xm:sqref>D27:D33</xm:sqref>
        </x14:conditionalFormatting>
        <x14:conditionalFormatting xmlns:xm="http://schemas.microsoft.com/office/excel/2006/main">
          <x14:cfRule type="expression" priority="469"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5" id="{DFCF0D40-BDA7-407F-96A2-18C93856D1B4}">
            <xm:f>AND($L29="i",'TO Ziff.5'!$S9&gt;1)</xm:f>
            <x14:dxf>
              <fill>
                <patternFill>
                  <bgColor theme="7"/>
                </patternFill>
              </fill>
            </x14:dxf>
          </x14:cfRule>
          <xm:sqref>D29:D33</xm:sqref>
        </x14:conditionalFormatting>
        <x14:conditionalFormatting xmlns:xm="http://schemas.microsoft.com/office/excel/2006/main">
          <x14:cfRule type="expression" priority="2184" id="{DFCF0D40-BDA7-407F-96A2-18C93856D1B4}">
            <xm:f>AND($L34="i",'TO Ziff.5'!$S15&gt;1)</xm:f>
            <x14:dxf>
              <fill>
                <patternFill>
                  <bgColor theme="7"/>
                </patternFill>
              </fill>
            </x14:dxf>
          </x14:cfRule>
          <x14:cfRule type="expression" priority="2182" id="{2BF23E20-C735-4183-A008-C0B1B224E4A8}">
            <xm:f>AND($L34="i",'TO Ziff.5'!$S15&gt;1)</xm:f>
            <x14:dxf>
              <fill>
                <patternFill>
                  <bgColor theme="7" tint="0.59996337778862885"/>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25"/>
  <cols>
    <col min="16" max="16" width="21.625" customWidth="1"/>
    <col min="17" max="17" width="18.125" customWidth="1"/>
    <col min="18" max="18" width="34.875" customWidth="1"/>
    <col min="19" max="19" width="18.125" customWidth="1"/>
  </cols>
  <sheetData>
    <row r="2" spans="4:19">
      <c r="P2" t="s">
        <v>1910</v>
      </c>
      <c r="Q2" s="58">
        <v>45017</v>
      </c>
    </row>
    <row r="3" spans="4:19">
      <c r="P3" t="s">
        <v>1911</v>
      </c>
      <c r="Q3" s="58">
        <v>49248</v>
      </c>
    </row>
    <row r="4" spans="4:19">
      <c r="P4" t="s">
        <v>1912</v>
      </c>
      <c r="Q4">
        <f>ROUND(YEARFRAC(Q2,Q3,4),2)</f>
        <v>11.58</v>
      </c>
      <c r="R4" s="1995" t="s">
        <v>1916</v>
      </c>
    </row>
    <row r="5" spans="4:19">
      <c r="P5" t="s">
        <v>1913</v>
      </c>
      <c r="Q5" s="149">
        <f>47.09*12</f>
        <v>565.08000000000004</v>
      </c>
    </row>
    <row r="6" spans="4:19" ht="15" thickBot="1">
      <c r="P6" t="s">
        <v>1914</v>
      </c>
      <c r="Q6" s="149">
        <f>Q5*YEARFRAC(Q2,Q3,4)</f>
        <v>6543.9403333333339</v>
      </c>
    </row>
    <row r="7" spans="4:19">
      <c r="H7" s="2593" t="s">
        <v>1907</v>
      </c>
      <c r="I7" s="2594"/>
      <c r="J7" s="2594"/>
      <c r="K7" s="2594"/>
      <c r="L7" s="2594"/>
      <c r="M7" s="2594"/>
      <c r="N7" s="2595"/>
      <c r="P7" t="s">
        <v>619</v>
      </c>
      <c r="Q7" s="1997">
        <v>1.8369217090344052E-2</v>
      </c>
    </row>
    <row r="8" spans="4:19" ht="15" thickBot="1">
      <c r="H8" s="2596"/>
      <c r="I8" s="2597"/>
      <c r="J8" s="2597"/>
      <c r="K8" s="2597"/>
      <c r="L8" s="2597"/>
      <c r="M8" s="2597"/>
      <c r="N8" s="2598"/>
      <c r="P8" t="s">
        <v>1915</v>
      </c>
      <c r="Q8" s="149">
        <f>-PV(Q7,YEARFRAC(Q2,Q3,4),Q5)</f>
        <v>5846.7000007168572</v>
      </c>
      <c r="R8" s="1996" t="s">
        <v>1917</v>
      </c>
    </row>
    <row r="9" spans="4:19" ht="42.75">
      <c r="D9">
        <v>2004</v>
      </c>
      <c r="E9">
        <v>3172.17</v>
      </c>
      <c r="F9">
        <v>26.13</v>
      </c>
      <c r="H9" s="1977" t="s">
        <v>60</v>
      </c>
      <c r="I9" s="1976" t="s">
        <v>1901</v>
      </c>
      <c r="J9" s="1978" t="s">
        <v>1643</v>
      </c>
      <c r="K9" s="1983" t="s">
        <v>1902</v>
      </c>
      <c r="L9" s="1976" t="s">
        <v>1643</v>
      </c>
      <c r="M9" s="1984" t="s">
        <v>1903</v>
      </c>
      <c r="N9" s="1978" t="s">
        <v>1904</v>
      </c>
    </row>
    <row r="10" spans="4:19" ht="15">
      <c r="D10">
        <v>2024</v>
      </c>
      <c r="E10">
        <v>5814.97</v>
      </c>
      <c r="F10">
        <v>38.92</v>
      </c>
      <c r="H10" s="1979">
        <v>38534</v>
      </c>
      <c r="I10" s="147">
        <v>0</v>
      </c>
      <c r="J10" s="1980">
        <v>100</v>
      </c>
      <c r="K10" s="1985">
        <f t="shared" ref="K10:K29" si="0">VLOOKUP(H10,aktRW,2)</f>
        <v>26.13</v>
      </c>
      <c r="L10" s="504">
        <v>100</v>
      </c>
      <c r="M10" s="504">
        <f>+L10+0.073*L10</f>
        <v>107.3</v>
      </c>
      <c r="N10" s="1981">
        <f>+M10/J10</f>
        <v>1.073</v>
      </c>
      <c r="O10">
        <f>YEAR(H10)</f>
        <v>2005</v>
      </c>
    </row>
    <row r="11" spans="4:19" ht="15">
      <c r="E11" s="146">
        <f>_xlfn.RRI(20,E9,E10)</f>
        <v>3.076473356874998E-2</v>
      </c>
      <c r="F11" s="146">
        <f>_xlfn.RRI(20,F9,F10)</f>
        <v>2.0120960396642573E-2</v>
      </c>
      <c r="H11" s="1979">
        <v>38899</v>
      </c>
      <c r="I11" s="147">
        <v>0</v>
      </c>
      <c r="J11" s="1980">
        <v>100</v>
      </c>
      <c r="K11" s="1985">
        <f t="shared" si="0"/>
        <v>26.13</v>
      </c>
      <c r="L11" s="504">
        <f>+L10*K11/K10</f>
        <v>100</v>
      </c>
      <c r="M11" s="504">
        <f t="shared" ref="M11:M29" si="1">+L11+0.073*L11</f>
        <v>107.3</v>
      </c>
      <c r="N11" s="1981">
        <f t="shared" ref="N11:N29" si="2">+M11/J11</f>
        <v>1.073</v>
      </c>
      <c r="O11">
        <f t="shared" ref="O11:O29" si="3">YEAR(H11)</f>
        <v>2006</v>
      </c>
    </row>
    <row r="12" spans="4:19" ht="15">
      <c r="H12" s="1979">
        <v>39264</v>
      </c>
      <c r="I12" s="147">
        <v>0</v>
      </c>
      <c r="J12" s="1980">
        <v>100</v>
      </c>
      <c r="K12" s="1985">
        <f t="shared" si="0"/>
        <v>26.27</v>
      </c>
      <c r="L12" s="504">
        <f t="shared" ref="L12:L29" si="4">+L11*K12/K11</f>
        <v>100.53578262533487</v>
      </c>
      <c r="M12" s="504">
        <f t="shared" si="1"/>
        <v>107.87489475698432</v>
      </c>
      <c r="N12" s="1981">
        <f t="shared" si="2"/>
        <v>1.0787489475698431</v>
      </c>
      <c r="O12">
        <f t="shared" si="3"/>
        <v>2007</v>
      </c>
    </row>
    <row r="13" spans="4:19" ht="15">
      <c r="H13" s="1979">
        <v>39630</v>
      </c>
      <c r="I13" s="147">
        <v>2.5600000000000001E-2</v>
      </c>
      <c r="J13" s="1980">
        <f>+J12+J12*I13</f>
        <v>102.56</v>
      </c>
      <c r="K13" s="1985">
        <f t="shared" si="0"/>
        <v>26.56</v>
      </c>
      <c r="L13" s="504">
        <f t="shared" si="4"/>
        <v>101.64561806352852</v>
      </c>
      <c r="M13" s="504">
        <f t="shared" si="1"/>
        <v>109.0657481821661</v>
      </c>
      <c r="N13" s="1981">
        <f t="shared" si="2"/>
        <v>1.0634335821194043</v>
      </c>
      <c r="O13">
        <f t="shared" si="3"/>
        <v>2008</v>
      </c>
    </row>
    <row r="14" spans="4:19" ht="15">
      <c r="H14" s="1979">
        <v>39995</v>
      </c>
      <c r="I14" s="147">
        <v>2.2599999999999999E-2</v>
      </c>
      <c r="J14" s="1980">
        <f t="shared" ref="J14:J29" si="5">+J13+J13*I14</f>
        <v>104.87785600000001</v>
      </c>
      <c r="K14" s="1985">
        <f t="shared" si="0"/>
        <v>27.2</v>
      </c>
      <c r="L14" s="504">
        <f t="shared" si="4"/>
        <v>104.09491006505934</v>
      </c>
      <c r="M14" s="504">
        <f t="shared" si="1"/>
        <v>111.69383849980866</v>
      </c>
      <c r="N14" s="1981">
        <f t="shared" si="2"/>
        <v>1.0649897200397447</v>
      </c>
      <c r="O14">
        <f t="shared" si="3"/>
        <v>2009</v>
      </c>
    </row>
    <row r="15" spans="4:19" ht="15.75" thickBot="1">
      <c r="H15" s="1979">
        <v>40360</v>
      </c>
      <c r="I15" s="147">
        <v>6.6E-3</v>
      </c>
      <c r="J15" s="1980">
        <f t="shared" si="5"/>
        <v>105.57004984960001</v>
      </c>
      <c r="K15" s="1985">
        <f t="shared" si="0"/>
        <v>27.2</v>
      </c>
      <c r="L15" s="504">
        <f t="shared" si="4"/>
        <v>104.09491006505935</v>
      </c>
      <c r="M15" s="504">
        <f t="shared" si="1"/>
        <v>111.69383849980869</v>
      </c>
      <c r="N15" s="1981">
        <f t="shared" si="2"/>
        <v>1.0580068746669431</v>
      </c>
      <c r="O15">
        <f t="shared" si="3"/>
        <v>2010</v>
      </c>
    </row>
    <row r="16" spans="4:19" ht="15">
      <c r="H16" s="1979">
        <v>40725</v>
      </c>
      <c r="I16" s="147">
        <v>3.5999999999999999E-3</v>
      </c>
      <c r="J16" s="1980">
        <f t="shared" si="5"/>
        <v>105.95010202905857</v>
      </c>
      <c r="K16" s="1985">
        <f t="shared" si="0"/>
        <v>27.469280000000001</v>
      </c>
      <c r="L16" s="504">
        <f t="shared" si="4"/>
        <v>105.12544967470345</v>
      </c>
      <c r="M16" s="504">
        <f t="shared" si="1"/>
        <v>112.7996075009568</v>
      </c>
      <c r="N16" s="1981">
        <f t="shared" si="2"/>
        <v>1.0646484084557053</v>
      </c>
      <c r="O16">
        <f t="shared" si="3"/>
        <v>2011</v>
      </c>
      <c r="Q16" s="2599" t="s">
        <v>1908</v>
      </c>
      <c r="R16" s="2600"/>
      <c r="S16" s="2601"/>
    </row>
    <row r="17" spans="8:19" ht="15">
      <c r="H17" s="1979">
        <v>41091</v>
      </c>
      <c r="I17" s="147">
        <v>3.3000000000000002E-2</v>
      </c>
      <c r="J17" s="1980">
        <f t="shared" si="5"/>
        <v>109.4464553960175</v>
      </c>
      <c r="K17" s="1985">
        <f t="shared" si="0"/>
        <v>28.07</v>
      </c>
      <c r="L17" s="504">
        <f t="shared" si="4"/>
        <v>107.42441637964029</v>
      </c>
      <c r="M17" s="504">
        <f t="shared" si="1"/>
        <v>115.26639877535403</v>
      </c>
      <c r="N17" s="1981">
        <f t="shared" si="2"/>
        <v>1.0531761705600957</v>
      </c>
      <c r="O17">
        <f t="shared" si="3"/>
        <v>2012</v>
      </c>
      <c r="Q17" s="89" t="s">
        <v>60</v>
      </c>
      <c r="R17" s="66" t="s">
        <v>561</v>
      </c>
      <c r="S17" s="168" t="s">
        <v>1909</v>
      </c>
    </row>
    <row r="18" spans="8:19" ht="15">
      <c r="H18" s="1979">
        <v>41456</v>
      </c>
      <c r="I18" s="147">
        <v>2.4E-2</v>
      </c>
      <c r="J18" s="1980">
        <f t="shared" si="5"/>
        <v>112.07317032552191</v>
      </c>
      <c r="K18" s="1985">
        <f t="shared" si="0"/>
        <v>28.14</v>
      </c>
      <c r="L18" s="504">
        <f t="shared" si="4"/>
        <v>107.69230769230774</v>
      </c>
      <c r="M18" s="504">
        <f t="shared" si="1"/>
        <v>115.55384615384619</v>
      </c>
      <c r="N18" s="1981">
        <f t="shared" si="2"/>
        <v>1.0310571729006548</v>
      </c>
      <c r="O18">
        <f t="shared" si="3"/>
        <v>2013</v>
      </c>
      <c r="Q18" s="1989">
        <v>39264</v>
      </c>
      <c r="R18" s="446">
        <v>5223</v>
      </c>
      <c r="S18" s="1990"/>
    </row>
    <row r="19" spans="8:19" ht="15">
      <c r="H19" s="1979">
        <v>41821</v>
      </c>
      <c r="I19" s="147">
        <v>2.8000000000000001E-2</v>
      </c>
      <c r="J19" s="1980">
        <f t="shared" si="5"/>
        <v>115.21121909463653</v>
      </c>
      <c r="K19" s="1985">
        <f t="shared" si="0"/>
        <v>28.61</v>
      </c>
      <c r="L19" s="504">
        <f t="shared" si="4"/>
        <v>109.49100650593192</v>
      </c>
      <c r="M19" s="504">
        <f t="shared" si="1"/>
        <v>117.48384998086495</v>
      </c>
      <c r="N19" s="1981">
        <f t="shared" si="2"/>
        <v>1.0197257776116546</v>
      </c>
      <c r="O19">
        <f t="shared" si="3"/>
        <v>2014</v>
      </c>
      <c r="Q19" s="1989">
        <v>41091</v>
      </c>
      <c r="R19" s="446">
        <v>5635</v>
      </c>
      <c r="S19" s="1991">
        <f>+R19/R18-1</f>
        <v>7.88818686578594E-2</v>
      </c>
    </row>
    <row r="20" spans="8:19" ht="15">
      <c r="H20" s="1979">
        <v>42186</v>
      </c>
      <c r="I20" s="147">
        <v>2.1999999999999999E-2</v>
      </c>
      <c r="J20" s="1980">
        <f t="shared" si="5"/>
        <v>117.74586591471854</v>
      </c>
      <c r="K20" s="1985">
        <f t="shared" si="0"/>
        <v>29.21</v>
      </c>
      <c r="L20" s="504">
        <f t="shared" si="4"/>
        <v>111.78721775736706</v>
      </c>
      <c r="M20" s="504">
        <f t="shared" si="1"/>
        <v>119.94768465365486</v>
      </c>
      <c r="N20" s="1981">
        <f t="shared" si="2"/>
        <v>1.0186997541003355</v>
      </c>
      <c r="O20">
        <f t="shared" si="3"/>
        <v>2015</v>
      </c>
      <c r="Q20" s="1989">
        <v>42917</v>
      </c>
      <c r="R20" s="446">
        <v>8441</v>
      </c>
      <c r="S20" s="1991">
        <f t="shared" ref="S20:S21" si="6">+R20/R19-1</f>
        <v>0.49795918367346936</v>
      </c>
    </row>
    <row r="21" spans="8:19" ht="15">
      <c r="H21" s="1979">
        <v>42552</v>
      </c>
      <c r="I21" s="147">
        <v>2.1999999999999999E-2</v>
      </c>
      <c r="J21" s="1980">
        <f t="shared" si="5"/>
        <v>120.33627496484235</v>
      </c>
      <c r="K21" s="1985">
        <f t="shared" si="0"/>
        <v>30.45</v>
      </c>
      <c r="L21" s="504">
        <f t="shared" si="4"/>
        <v>116.53272101033299</v>
      </c>
      <c r="M21" s="504">
        <f t="shared" si="1"/>
        <v>125.03960964408731</v>
      </c>
      <c r="N21" s="1981">
        <f t="shared" si="2"/>
        <v>1.0390849283029502</v>
      </c>
      <c r="O21">
        <f t="shared" si="3"/>
        <v>2016</v>
      </c>
      <c r="Q21" s="1989">
        <v>44743</v>
      </c>
      <c r="R21" s="446">
        <v>15147</v>
      </c>
      <c r="S21" s="1991">
        <f t="shared" si="6"/>
        <v>0.79445563321881285</v>
      </c>
    </row>
    <row r="22" spans="8:19" ht="15.75" thickBot="1">
      <c r="H22" s="1979">
        <v>42917</v>
      </c>
      <c r="I22" s="147">
        <v>2.35E-2</v>
      </c>
      <c r="J22" s="1980">
        <f t="shared" si="5"/>
        <v>123.16417742651615</v>
      </c>
      <c r="K22" s="1985">
        <f t="shared" si="0"/>
        <v>31.03</v>
      </c>
      <c r="L22" s="504">
        <f t="shared" si="4"/>
        <v>118.75239188672029</v>
      </c>
      <c r="M22" s="504">
        <f t="shared" si="1"/>
        <v>127.42131649445088</v>
      </c>
      <c r="N22" s="1981">
        <f t="shared" si="2"/>
        <v>1.0345647505377502</v>
      </c>
      <c r="O22">
        <f t="shared" si="3"/>
        <v>2017</v>
      </c>
      <c r="Q22" s="1992">
        <v>45474</v>
      </c>
      <c r="R22" s="1993">
        <v>15117</v>
      </c>
      <c r="S22" s="1994">
        <f>+R22/R21-1</f>
        <v>-1.9805902158843702E-3</v>
      </c>
    </row>
    <row r="23" spans="8:19" ht="15">
      <c r="H23" s="1979">
        <v>43282</v>
      </c>
      <c r="I23" s="147">
        <v>2.9899999999999999E-2</v>
      </c>
      <c r="J23" s="1980">
        <f t="shared" si="5"/>
        <v>126.84678633156898</v>
      </c>
      <c r="K23" s="1985">
        <f t="shared" si="0"/>
        <v>32.03</v>
      </c>
      <c r="L23" s="504">
        <f t="shared" si="4"/>
        <v>122.57941063911218</v>
      </c>
      <c r="M23" s="504">
        <f t="shared" si="1"/>
        <v>131.52770761576738</v>
      </c>
      <c r="N23" s="1981">
        <f t="shared" si="2"/>
        <v>1.0369021669336012</v>
      </c>
      <c r="O23">
        <f t="shared" si="3"/>
        <v>2018</v>
      </c>
    </row>
    <row r="24" spans="8:19" ht="15">
      <c r="H24" s="1979">
        <v>43647</v>
      </c>
      <c r="I24" s="147">
        <v>3.09E-2</v>
      </c>
      <c r="J24" s="1980">
        <f t="shared" si="5"/>
        <v>130.76635202921446</v>
      </c>
      <c r="K24" s="1985">
        <f t="shared" si="0"/>
        <v>33.049999999999997</v>
      </c>
      <c r="L24" s="504">
        <f t="shared" si="4"/>
        <v>126.48296976655189</v>
      </c>
      <c r="M24" s="504">
        <f t="shared" si="1"/>
        <v>135.71622655951018</v>
      </c>
      <c r="N24" s="1981">
        <f t="shared" si="2"/>
        <v>1.0378528149901274</v>
      </c>
      <c r="O24">
        <f t="shared" si="3"/>
        <v>2019</v>
      </c>
    </row>
    <row r="25" spans="8:19" ht="15">
      <c r="H25" s="1979">
        <v>44013</v>
      </c>
      <c r="I25" s="147">
        <v>1.06E-2</v>
      </c>
      <c r="J25" s="1980">
        <f t="shared" si="5"/>
        <v>132.15247536072414</v>
      </c>
      <c r="K25" s="1985">
        <f t="shared" si="0"/>
        <v>34.19</v>
      </c>
      <c r="L25" s="504">
        <f t="shared" si="4"/>
        <v>130.84577114427864</v>
      </c>
      <c r="M25" s="504">
        <f t="shared" si="1"/>
        <v>140.39751243781097</v>
      </c>
      <c r="N25" s="1981">
        <f t="shared" si="2"/>
        <v>1.0623903340030607</v>
      </c>
      <c r="O25">
        <f t="shared" si="3"/>
        <v>2020</v>
      </c>
    </row>
    <row r="26" spans="8:19" ht="15">
      <c r="H26" s="1979">
        <v>44378</v>
      </c>
      <c r="I26" s="147">
        <v>1.2E-2</v>
      </c>
      <c r="J26" s="1980">
        <f t="shared" si="5"/>
        <v>133.73830506505283</v>
      </c>
      <c r="K26" s="1985">
        <f t="shared" si="0"/>
        <v>34.19</v>
      </c>
      <c r="L26" s="504">
        <f t="shared" si="4"/>
        <v>130.84577114427864</v>
      </c>
      <c r="M26" s="504">
        <f t="shared" si="1"/>
        <v>140.39751243781097</v>
      </c>
      <c r="N26" s="1981">
        <f t="shared" si="2"/>
        <v>1.0497928201611273</v>
      </c>
      <c r="O26">
        <f t="shared" si="3"/>
        <v>2021</v>
      </c>
    </row>
    <row r="27" spans="8:19" ht="15">
      <c r="H27" s="1979">
        <v>44743</v>
      </c>
      <c r="I27" s="147">
        <v>1.7999999999999999E-2</v>
      </c>
      <c r="J27" s="1980">
        <f t="shared" si="5"/>
        <v>136.14559455622378</v>
      </c>
      <c r="K27" s="1985">
        <f t="shared" si="0"/>
        <v>36.020000000000003</v>
      </c>
      <c r="L27" s="504">
        <f t="shared" si="4"/>
        <v>137.84921546115584</v>
      </c>
      <c r="M27" s="504">
        <f t="shared" si="1"/>
        <v>147.91220818982021</v>
      </c>
      <c r="N27" s="1981">
        <f t="shared" si="2"/>
        <v>1.0864266939517986</v>
      </c>
      <c r="O27">
        <f t="shared" si="3"/>
        <v>2022</v>
      </c>
    </row>
    <row r="28" spans="8:19" ht="15">
      <c r="H28" s="1979">
        <v>45108</v>
      </c>
      <c r="I28" s="147">
        <v>0</v>
      </c>
      <c r="J28" s="1980">
        <f t="shared" si="5"/>
        <v>136.14559455622378</v>
      </c>
      <c r="K28" s="1985">
        <f t="shared" si="0"/>
        <v>37.6</v>
      </c>
      <c r="L28" s="504">
        <f t="shared" si="4"/>
        <v>143.89590508993501</v>
      </c>
      <c r="M28" s="504">
        <f t="shared" si="1"/>
        <v>154.40030616150028</v>
      </c>
      <c r="N28" s="1981">
        <f t="shared" si="2"/>
        <v>1.134082279083499</v>
      </c>
      <c r="O28">
        <f t="shared" si="3"/>
        <v>2023</v>
      </c>
    </row>
    <row r="29" spans="8:19" ht="15">
      <c r="H29" s="1979">
        <v>45474</v>
      </c>
      <c r="I29" s="147">
        <v>5.2999999999999999E-2</v>
      </c>
      <c r="J29" s="1980">
        <f t="shared" si="5"/>
        <v>143.36131106770364</v>
      </c>
      <c r="K29" s="1985">
        <f t="shared" si="0"/>
        <v>39.32</v>
      </c>
      <c r="L29" s="504">
        <f t="shared" si="4"/>
        <v>150.47837734404905</v>
      </c>
      <c r="M29" s="504">
        <f t="shared" si="1"/>
        <v>161.46329889016462</v>
      </c>
      <c r="N29" s="1981">
        <f t="shared" si="2"/>
        <v>1.1262682915470281</v>
      </c>
      <c r="O29">
        <f t="shared" si="3"/>
        <v>2024</v>
      </c>
    </row>
    <row r="30" spans="8:19">
      <c r="H30" s="2589" t="s">
        <v>1905</v>
      </c>
      <c r="I30" s="2590"/>
      <c r="J30" s="1981">
        <f>+J29/J10</f>
        <v>1.4336131106770365</v>
      </c>
      <c r="K30" s="1986">
        <f>+K29/K10</f>
        <v>1.5047837734404899</v>
      </c>
      <c r="L30" s="147">
        <f>+L29/L10</f>
        <v>1.5047837734404905</v>
      </c>
      <c r="M30" s="147">
        <f t="shared" ref="M30" si="7">+M29/M10</f>
        <v>1.5047837734404905</v>
      </c>
      <c r="N30" s="1981"/>
    </row>
    <row r="31" spans="8:19" ht="15" thickBot="1">
      <c r="H31" s="2591" t="s">
        <v>1906</v>
      </c>
      <c r="I31" s="2592"/>
      <c r="J31" s="1982">
        <f>_xlfn.RRI(COUNT(J10:J29),J10,J29)</f>
        <v>1.8173051593956879E-2</v>
      </c>
      <c r="K31" s="1987">
        <f>_xlfn.RRI(COUNT(K10:K29),K10,K29)</f>
        <v>2.0642632515461834E-2</v>
      </c>
      <c r="L31" s="1988">
        <f>_xlfn.RRI(COUNT(L10:L29),L10,L29)</f>
        <v>2.0642632515461834E-2</v>
      </c>
      <c r="M31" s="1988">
        <f t="shared" ref="M31" si="8">_xlfn.RRI(COUNT(M10:M29),M10,M29)</f>
        <v>2.0642632515461834E-2</v>
      </c>
      <c r="N31" s="1982"/>
    </row>
    <row r="32" spans="8:19">
      <c r="J32" s="149"/>
    </row>
  </sheetData>
  <mergeCells count="4">
    <mergeCell ref="H30:I30"/>
    <mergeCell ref="H31:I31"/>
    <mergeCell ref="H7:N8"/>
    <mergeCell ref="Q16:S1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RowColHeaders="0" showOutlineSymbols="0" zoomScale="115" zoomScaleNormal="115" workbookViewId="0">
      <selection activeCell="E9" sqref="E9"/>
    </sheetView>
  </sheetViews>
  <sheetFormatPr baseColWidth="10" defaultColWidth="0" defaultRowHeight="14.25" zeroHeight="1"/>
  <cols>
    <col min="1" max="1" width="2.125" customWidth="1"/>
    <col min="2" max="2" width="45.875" customWidth="1"/>
    <col min="3" max="3" width="15.625" customWidth="1"/>
    <col min="4" max="4" width="10.625" customWidth="1"/>
    <col min="5" max="7" width="16.125" customWidth="1"/>
    <col min="8" max="8" width="19.375" customWidth="1"/>
    <col min="9" max="9" width="20.5" customWidth="1"/>
    <col min="10" max="10" width="6" style="106" customWidth="1"/>
    <col min="11" max="11" width="2.125" style="106" customWidth="1"/>
    <col min="12" max="12" width="18.625" style="106" hidden="1" customWidth="1"/>
    <col min="13" max="13" width="11.625" style="106" hidden="1" customWidth="1"/>
    <col min="14" max="14" width="2.5" style="106" hidden="1" customWidth="1"/>
    <col min="15" max="15" width="10" style="106" hidden="1" customWidth="1"/>
    <col min="16" max="16" width="22.125" hidden="1" customWidth="1"/>
    <col min="17" max="22" width="15.125" hidden="1" customWidth="1"/>
    <col min="23" max="26" width="16.625" hidden="1" customWidth="1"/>
    <col min="27" max="28" width="12.625" hidden="1" customWidth="1"/>
    <col min="29" max="31" width="6.5" hidden="1" customWidth="1"/>
    <col min="32" max="35" width="15.625" hidden="1" customWidth="1"/>
    <col min="36" max="16384" width="11" hidden="1"/>
  </cols>
  <sheetData>
    <row r="1" spans="1:34" ht="16.5" thickBot="1">
      <c r="A1" s="1922">
        <v>140</v>
      </c>
      <c r="B1" s="2612" t="s">
        <v>342</v>
      </c>
      <c r="C1" s="2612"/>
      <c r="D1" s="2612"/>
      <c r="E1" s="2612"/>
      <c r="F1" s="2612"/>
      <c r="G1" s="2612"/>
      <c r="H1" s="2612"/>
      <c r="I1" s="54"/>
      <c r="J1" s="54"/>
      <c r="K1" s="54"/>
      <c r="L1" s="2610" t="s">
        <v>1574</v>
      </c>
      <c r="M1" s="2611"/>
      <c r="N1" s="54"/>
      <c r="O1" s="54"/>
      <c r="P1" t="e">
        <f>VLOOKUP(E_Alter,CHOOSE(IF(E_Rentenalter&lt;60,60,IF(E_Rentenalter&gt;67,67,E_Rentenalter))-59,HRIR60,HRIR61,HRIR62,HRIR63,HRIR62,HRIR,HRIR66,HRIR67),2)</f>
        <v>#VALUE!</v>
      </c>
      <c r="R1" t="s">
        <v>171</v>
      </c>
      <c r="S1" s="15">
        <v>2</v>
      </c>
      <c r="U1" t="s">
        <v>1211</v>
      </c>
      <c r="V1" t="e">
        <f>YEAR(E_Datum1)+IF(MONTH(E_Datum1)&gt;6,1,0)</f>
        <v>#VALUE!</v>
      </c>
      <c r="W1" t="s">
        <v>1219</v>
      </c>
      <c r="X1" t="e">
        <f>+V1-1900+2</f>
        <v>#VALUE!</v>
      </c>
      <c r="AA1" t="s">
        <v>21</v>
      </c>
      <c r="AB1" t="s">
        <v>61</v>
      </c>
    </row>
    <row r="2" spans="1:34" ht="36" customHeight="1" thickBot="1">
      <c r="A2" s="30"/>
      <c r="B2" s="2613" t="s">
        <v>1586</v>
      </c>
      <c r="C2" s="2614"/>
      <c r="D2" s="2614"/>
      <c r="E2" s="2614"/>
      <c r="F2" s="2614"/>
      <c r="G2" s="2614"/>
      <c r="H2" s="2614"/>
      <c r="I2" s="2618" t="s">
        <v>2021</v>
      </c>
      <c r="J2" s="2619"/>
      <c r="K2" s="886"/>
      <c r="L2" s="2636" t="s">
        <v>1573</v>
      </c>
      <c r="M2" s="2636"/>
      <c r="N2" s="886"/>
      <c r="O2" s="886"/>
      <c r="P2" s="58">
        <f ca="1">TODAY()</f>
        <v>45748</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1212</v>
      </c>
      <c r="V2" t="e">
        <f>YEAR(E_BerDat2)+IF(MONTH(E_BerDat2)&gt;6,1,0)</f>
        <v>#VALUE!</v>
      </c>
      <c r="W2" t="e">
        <f>+V2-1900+2</f>
        <v>#VALUE!</v>
      </c>
      <c r="Z2" t="s">
        <v>1019</v>
      </c>
      <c r="AA2" s="149" t="e">
        <f>VLOOKUP(YEAR(E_BerDat1),MonatlicheBezugsgröße,4)</f>
        <v>#VALUE!</v>
      </c>
      <c r="AB2" s="149" t="e">
        <f>VLOOKUP(YEAR(E_BerDat1),MonatlicheBezugsgröße,5)</f>
        <v>#VALUE!</v>
      </c>
    </row>
    <row r="3" spans="1:34" ht="24" customHeight="1">
      <c r="A3" s="30"/>
      <c r="B3" s="2627" t="s">
        <v>1585</v>
      </c>
      <c r="C3" s="2628"/>
      <c r="D3" s="2628"/>
      <c r="E3" s="2628"/>
      <c r="F3" s="2628"/>
      <c r="G3" s="2628"/>
      <c r="H3" s="2629"/>
      <c r="I3" s="31"/>
      <c r="J3" s="1196"/>
      <c r="K3" s="31"/>
      <c r="L3" s="2637" t="str">
        <f>IF(E_RenteKapital=1,"Berechnung nur bei Barwertberechnung möglich","nach BGH XII ZB 443/14 (Flugsicherung)")</f>
        <v>nach BGH XII ZB 443/14 (Flugsicherung)</v>
      </c>
      <c r="M3" s="2637"/>
      <c r="N3" s="31"/>
      <c r="O3" s="31"/>
      <c r="P3" s="3" t="s">
        <v>114</v>
      </c>
      <c r="Q3" s="1292">
        <v>44926</v>
      </c>
      <c r="R3" s="148">
        <v>46387</v>
      </c>
      <c r="S3" s="3"/>
      <c r="T3" s="3" t="str">
        <f ca="1">LEFT(CELL("dateiname",T3),FIND("[",CELL("Dateiname",T3))-1)</f>
        <v>https://d.docs.live.net/a7fa01d38a6bdd72/Kaffeerunde/Internet/Kapitalwertkontrolle/</v>
      </c>
      <c r="U3" s="3"/>
      <c r="V3" s="3"/>
      <c r="AF3" s="71" t="s">
        <v>1191</v>
      </c>
      <c r="AH3" t="s">
        <v>1553</v>
      </c>
    </row>
    <row r="4" spans="1:34" ht="12" hidden="1" customHeight="1" thickBot="1">
      <c r="A4" s="19"/>
      <c r="B4" s="628"/>
      <c r="C4" s="629"/>
      <c r="D4" s="629"/>
      <c r="E4" s="629"/>
      <c r="F4" s="629"/>
      <c r="G4" s="629"/>
      <c r="H4" s="630"/>
      <c r="I4" s="31"/>
      <c r="J4" s="1197"/>
      <c r="K4" s="21"/>
      <c r="N4" s="21"/>
      <c r="O4" s="21"/>
      <c r="P4" s="3"/>
      <c r="Q4" s="3"/>
      <c r="R4" s="3"/>
      <c r="S4" s="3"/>
      <c r="T4" s="3"/>
      <c r="U4" s="3"/>
      <c r="V4" s="3"/>
    </row>
    <row r="5" spans="1:34" s="71" customFormat="1" ht="27" customHeight="1">
      <c r="A5" s="20"/>
      <c r="B5" s="1212" t="str">
        <f>"1. Geburtsdatum des Inhabers der Versorgung "</f>
        <v xml:space="preserve">1. Geburtsdatum des Inhabers der Versorgung </v>
      </c>
      <c r="C5" s="1412" t="str">
        <f>IFERROR(IF(Dat_GebDat_M+Dat_GebDat_F=0,"",IF(E5&lt;&gt;"","","Übernahme aus Datenerfassung:")),"")</f>
        <v/>
      </c>
      <c r="D5" s="1413" t="str">
        <f>IF(E5&lt;&gt;"",E5,IF(AND(Dat_GebDat_M="",+Dat_GebDat_F=""),"",IF(E_sex=1,Dat_GebDat_M,IF(E_sex=2,Dat_GebDat_F,IF(E_sex=3,E5)))))</f>
        <v/>
      </c>
      <c r="E5" s="1215"/>
      <c r="F5" s="2002" t="str">
        <f>IFERROR(IF(E5&gt;0,"",IF(Dat_GebDat_M&gt;0,TEXT(Dat_GebDat_M,"TT.MM.JJJ")&amp;" "&amp;männlich,"")),"")</f>
        <v xml:space="preserve"> ♂</v>
      </c>
      <c r="G5" s="2002" t="str">
        <f>IFERROR(IF(E5&gt;0,"",IF(Dat_GebDat_F&gt;0,TEXT(Dat_GebDat_F,"TT.MM.JJJ")&amp;" "&amp;weiblich,"")),"")</f>
        <v xml:space="preserve"> ♀</v>
      </c>
      <c r="H5" s="1217" t="str">
        <f>"Version "&amp;TEXT(MONTH(Enddatum),"00")&amp;"/"&amp;TEXT(YEAR(Enddatum),"####")</f>
        <v>Version 03/2025</v>
      </c>
      <c r="I5" s="2632" t="str">
        <f>IFERROR("aktueller RW im EzE: "&amp;TEXT(VLOOKUP(E_BerDat1,aktRW,IF(Ost,3,2)),"#0,00 €")&amp;CHAR(10)&amp;"Kosten 1 EP DRV: "&amp;TEXT(VLOOKUP(E_BerDat1,UmrechnungEP_Kap,IF(Ost,3,2)),"#.##0,0000 €"),"")</f>
        <v/>
      </c>
      <c r="J5" s="2633"/>
      <c r="K5" s="51"/>
      <c r="L5" s="1379" t="s">
        <v>1567</v>
      </c>
      <c r="M5" s="1378">
        <f>DATE(YEAR(E6),12,31)</f>
        <v>366</v>
      </c>
      <c r="N5" s="1364"/>
      <c r="O5" s="1364"/>
      <c r="P5" s="545" t="s">
        <v>77</v>
      </c>
      <c r="Q5" s="1293">
        <v>2</v>
      </c>
      <c r="R5" s="545" t="s">
        <v>91</v>
      </c>
      <c r="S5" s="1307" t="e">
        <f>IF(Rentenalter&gt;E_Alter,ROUND(Rentenalter-E_Alter,2),0)</f>
        <v>#VALUE!</v>
      </c>
      <c r="T5" s="545" t="s">
        <v>159</v>
      </c>
      <c r="U5" s="1294" t="e">
        <f>IF(E_RenteKapital=2,IF(E_KapWert&gt;0,E_KapWert,E_Ergebnis),E_Kapital)*VLOOKUP(IF(EzE_P&gt;0,EzE_P,E_BerDat1),Umrechnungsfaktoren,IF(Ost,3,2))</f>
        <v>#N/A</v>
      </c>
      <c r="V5" s="545" t="e">
        <f>VLOOKUP(E_BerDat1,aktRW,IF(Ost,3,2))</f>
        <v>#N/A</v>
      </c>
      <c r="W5" s="785" t="e">
        <f>+V5*Entgeltpunkte1</f>
        <v>#N/A</v>
      </c>
      <c r="X5" s="785" t="e">
        <f>IF(E_BerDat1&gt;E_Renteneintritt,W5,-FV(RententrendDRV,YEARFRAC(E_BerDat1,E_Renteneintritt,3),,'Einzel-Bewertung'!W5))*IF(KV_Beitrag,(1+KV_Beitragssatz),1)</f>
        <v>#VALUE!</v>
      </c>
      <c r="Z5" s="71" t="s">
        <v>186</v>
      </c>
      <c r="AF5" s="71" t="s">
        <v>1194</v>
      </c>
      <c r="AG5" s="792" t="e">
        <f>DATE(YEAR(E_Datum1)+65,MONTH(E_Datum1)+VLOOKUP(YEAR(E_Datum1),Renteneintrittstabelle,2)+1,1)</f>
        <v>#VALUE!</v>
      </c>
    </row>
    <row r="6" spans="1:34" s="71" customFormat="1" ht="27" customHeight="1">
      <c r="A6" s="20"/>
      <c r="B6" s="1213" t="s">
        <v>119</v>
      </c>
      <c r="C6" s="1216" t="str">
        <f>IF(AND(Dat_EzE&gt;0,E6=0),"Übernahme aus Datenerfassung:","")</f>
        <v/>
      </c>
      <c r="D6" s="1267" t="str">
        <f>IF(E6&lt;&gt;"",E6,IF(Dat_EzE=0,"",Dat_EzE))</f>
        <v/>
      </c>
      <c r="E6" s="1215"/>
      <c r="F6" s="2617" t="str">
        <f>IFERROR(IF(E_BerDat1&gt;0," Versicherungsalter im Berechnungszeitpunkt: "&amp;TEXT(E_Alter,"#0,00") &amp;" bzw. "&amp;TEXT(INT(E_Alter),"0")&amp;"/"&amp;TEXT((E_Alter-INT(E_Alter))*12,"0")&amp;" Monate",""),"")</f>
        <v/>
      </c>
      <c r="G6" s="2617"/>
      <c r="H6" s="2617"/>
      <c r="I6" s="2621"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622"/>
      <c r="K6" s="22"/>
      <c r="L6" s="1392" t="s">
        <v>257</v>
      </c>
      <c r="M6" s="1396" t="str">
        <f>CHOOSE(E_sex,"w","m","u")</f>
        <v>w</v>
      </c>
      <c r="N6" s="1394"/>
      <c r="O6" s="1394"/>
      <c r="P6" s="545" t="s">
        <v>78</v>
      </c>
      <c r="Q6" s="1293" t="e">
        <f>YEARFRAC(E_Datum1,E_BerDat1,0)</f>
        <v>#VALUE!</v>
      </c>
      <c r="R6" s="545" t="s">
        <v>81</v>
      </c>
      <c r="S6" s="66" t="e">
        <f>ROUND(YEARFRAC(E_Datum1,E_BerDat1,0),2)</f>
        <v>#VALUE!</v>
      </c>
      <c r="T6" s="545" t="s">
        <v>160</v>
      </c>
      <c r="U6" s="1294"/>
      <c r="V6" s="545" t="e">
        <f>VLOOKUP(E_BerDat1,aktRW,IF(Ost,3,2))</f>
        <v>#N/A</v>
      </c>
      <c r="W6" s="785" t="e">
        <f>+V6*Entgeltpunkte1</f>
        <v>#N/A</v>
      </c>
      <c r="X6" s="785" t="e">
        <f>IF(E_BerDat1&gt;Q41,W6,-FV(RententrendDRV,YEARFRAC(E_BerDat1,Q41,3),,'Einzel-Bewertung'!W6))*IF(KV_Beitrag,(1+KV_Beitragssatz),1)</f>
        <v>#VALUE!</v>
      </c>
      <c r="Z6" s="16" t="b">
        <v>0</v>
      </c>
      <c r="AA6" s="71" t="s">
        <v>184</v>
      </c>
      <c r="AB6" s="16" t="b">
        <v>0</v>
      </c>
      <c r="AF6" s="71" t="s">
        <v>1195</v>
      </c>
      <c r="AG6" s="71" t="e">
        <f>IF(YEARFRAC(E_Datum1,AG5,3)&gt;67,67,YEARFRAC(E_Datum1,AG5,3))</f>
        <v>#VALUE!</v>
      </c>
    </row>
    <row r="7" spans="1:34" s="71" customFormat="1" ht="27" customHeight="1" thickBot="1">
      <c r="A7" s="20"/>
      <c r="B7" s="2630" t="s">
        <v>120</v>
      </c>
      <c r="C7" s="2631"/>
      <c r="D7" s="2631"/>
      <c r="E7" s="1753"/>
      <c r="F7" s="1753"/>
      <c r="G7" s="1753"/>
      <c r="H7" s="1754" t="str">
        <f>CHOOSE(E_sex,männlich,weiblich,divers)</f>
        <v>♂</v>
      </c>
      <c r="I7" s="2623"/>
      <c r="J7" s="2624"/>
      <c r="K7" s="22"/>
      <c r="L7" s="1379" t="s">
        <v>1568</v>
      </c>
      <c r="M7" s="1380">
        <f>YEARFRAC(E6,M5,3)</f>
        <v>1.0027397260273974</v>
      </c>
      <c r="N7" s="1362"/>
      <c r="O7" s="1362"/>
      <c r="P7" s="1295" t="str">
        <f>CHOOSE(E_sex=1,Dat_GebDat_M,6,"")</f>
        <v/>
      </c>
      <c r="Q7" s="1295"/>
      <c r="R7" s="1295" t="s">
        <v>79</v>
      </c>
      <c r="S7" s="1296">
        <v>1</v>
      </c>
      <c r="T7" s="1295"/>
      <c r="U7" s="1297"/>
      <c r="V7" s="545"/>
      <c r="W7" s="785"/>
      <c r="X7" s="785"/>
      <c r="Z7" s="71" t="s">
        <v>187</v>
      </c>
      <c r="AA7" s="71" t="e">
        <f>YEAR(E_Datum1)</f>
        <v>#VALUE!</v>
      </c>
      <c r="AB7" s="786">
        <f>IF(Längerlebigkeitszuschlag,_xlfn.IFNA(VLOOKUP(AA7,AA9:AB30,2),0),0)</f>
        <v>0</v>
      </c>
      <c r="AF7" s="71" t="s">
        <v>258</v>
      </c>
      <c r="AG7" s="625" t="e">
        <f>VLOOKUP(IF(E_Alter&gt;AG6,E_Alter,AG6),CHOOSE(E_sex,Lebenserwartung_M_V2,Lebenserwartung_F_V2,Lebenserwartung_N_V2),E_Versicherungsjahrgang-1900+2)</f>
        <v>#VALUE!</v>
      </c>
    </row>
    <row r="8" spans="1:34" s="71" customFormat="1" ht="27" customHeight="1">
      <c r="A8" s="20"/>
      <c r="B8" s="2615" t="s">
        <v>115</v>
      </c>
      <c r="C8" s="2616"/>
      <c r="D8" s="2616"/>
      <c r="E8" s="2620"/>
      <c r="F8" s="2620"/>
      <c r="G8" s="2620"/>
      <c r="H8" s="2620"/>
      <c r="I8" s="2625" t="str">
        <f>IFERROR(IF(E_RenteKapital=2,IF(E_BerDat1&gt;0,IF(AND(E_Kapital&gt;0,E_Kapital&lt;AA2),"Ausgl.Wert &lt;= "&amp;TEXT(AA2,"0,00 €") &amp;" § 18 III VersAusglG","")&amp;IF(AND(E_Ergebnis&gt;0,E_Ergebnis&lt;AB2),CHAR(10)&amp;"Kapitalwert &lt;= "&amp;TEXT(AB2,"#.##0,00")&amp;" § 18 III VersAusglG",""),""),""),"")</f>
        <v/>
      </c>
      <c r="J8" s="2626"/>
      <c r="K8" s="64"/>
      <c r="L8" s="1379" t="str">
        <f>"mit "&amp;TEXT(E_Rezins/100,"0,00%")&amp;" auf-gezinster AusglW:"</f>
        <v>mit 0,00% auf-gezinster AusglW:</v>
      </c>
      <c r="M8" s="1381">
        <f>E_Ergebnis*(1+E_Rezins/100)^RK_Zeitabstand_EzE</f>
        <v>0</v>
      </c>
      <c r="N8" s="1363"/>
      <c r="O8" s="1363"/>
      <c r="P8" s="1298" t="s">
        <v>85</v>
      </c>
      <c r="Q8" s="1299" t="b">
        <v>1</v>
      </c>
      <c r="R8" s="1300" t="s">
        <v>86</v>
      </c>
      <c r="S8" s="1406" t="str">
        <f>IFERROR(ROUND(IF(OR(E_Datum1="",E_BerDat1=""),"",IF(AND(E_Invalidität,F9&lt;&gt;"Rentner!"),VLOOKUP(E_Alter,CHOOSE(IF(E_Rentenalter&lt;60,60,IF(E_Rentenalter&gt;67,67,E_Rentenalter))-59,HRIR60,HRIR61,HRIR62,HRIR63,HRIR64,HRIR,HRIR66,HRIR67),CHOOSE(E_sex,7,16,25),1)*J11,0)),4),"")</f>
        <v/>
      </c>
      <c r="T8" s="2640" t="s">
        <v>1213</v>
      </c>
      <c r="U8" s="2638" t="e">
        <f>+E_Ifaktor+E_HFaktor</f>
        <v>#VALUE!</v>
      </c>
      <c r="X8" s="785" t="e">
        <f>-FV(E_ReTrend1,E_LXYAlterABer/2,,E_RenteausKapitalAglBer)</f>
        <v>#VALUE!</v>
      </c>
      <c r="AF8" s="71" t="s">
        <v>259</v>
      </c>
      <c r="AG8" s="71" t="e">
        <f>IF(AG6-E_Alter&lt;0,0,AG6-E_Alter)</f>
        <v>#VALUE!</v>
      </c>
    </row>
    <row r="9" spans="1:34" s="71" customFormat="1" ht="27" customHeight="1" thickBot="1">
      <c r="A9" s="20"/>
      <c r="B9" s="2630" t="str">
        <f>IF(E_RenteKapital=2,"5. Höhe des Ehezeitanteils (Ausgleichswert) der Monatsrente eingeben","5. Zu verrentenden Kapitalbetrag eingeben")</f>
        <v>5. Höhe des Ehezeitanteils (Ausgleichswert) der Monatsrente eingeben</v>
      </c>
      <c r="C9" s="2631"/>
      <c r="D9" s="2648"/>
      <c r="E9" s="1171"/>
      <c r="F9" s="2681" t="str">
        <f>IFERROR(IF(E_BerDat1="","",IF(E_Alter&gt;=IF(E_Rentenaltereingabe&gt;0,E_Rentenaltereingabe,E_Rentenalter),"Rentner"&amp;CHOOSE(E_sex,"","in","")&amp;"! Bitte Kapitalverzehr beachten","")),"")</f>
        <v/>
      </c>
      <c r="G9" s="2681"/>
      <c r="H9" s="2682"/>
      <c r="I9" s="2671" t="str">
        <f>IF(F9&lt;&gt;"","BGH XII ZB 447/13 v. 17.2.2016 - FamRB 2016, 176","")</f>
        <v/>
      </c>
      <c r="J9" s="2672"/>
      <c r="K9" s="78"/>
      <c r="L9" s="1390" t="s">
        <v>1549</v>
      </c>
      <c r="M9" s="349" t="e">
        <f>ROUND(E_Alterswahl+YEARFRAC(E_BerDat1,RK_Datum,3),4)</f>
        <v>#VALUE!</v>
      </c>
      <c r="N9" s="1372"/>
      <c r="O9" s="1372"/>
      <c r="P9" s="1301" t="s">
        <v>87</v>
      </c>
      <c r="Q9" s="1302" t="b">
        <v>1</v>
      </c>
      <c r="R9" s="1303" t="s">
        <v>88</v>
      </c>
      <c r="S9" s="1405" t="str">
        <f>IFERROR(ROUND(IF(OR(E_Datum1="",E_BerDat1=""),"",IF(E_Hinterbliebene,VLOOKUP(E_Alter,CHOOSE(IF(E_Rentenalter&lt;60,60,IF(E_Rentenalter&gt;67,67,E_Rentenalter))-59,HRIR60,HRIR61,HRIR62,HRIR63,HRIR64,HRIR,HRIR66,HRIR67),CHOOSE(E_sex,8,17,26),1)*J12,0)),4),"")</f>
        <v/>
      </c>
      <c r="T9" s="2641"/>
      <c r="U9" s="2639"/>
      <c r="V9" s="2635" t="s">
        <v>1556</v>
      </c>
      <c r="W9" s="2635"/>
      <c r="X9" s="2635"/>
      <c r="Y9" s="2635"/>
      <c r="AB9" s="787"/>
      <c r="AF9" s="71" t="s">
        <v>1192</v>
      </c>
      <c r="AG9" s="795" t="str">
        <f>+Berechnungstext!C19</f>
        <v/>
      </c>
    </row>
    <row r="10" spans="1:34" s="71" customFormat="1" ht="27" customHeight="1" thickBot="1">
      <c r="A10" s="20"/>
      <c r="B10" s="2615" t="s">
        <v>121</v>
      </c>
      <c r="C10" s="2616"/>
      <c r="D10" s="2665"/>
      <c r="E10" s="56"/>
      <c r="F10" s="2680"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652"/>
      <c r="H10" s="2653"/>
      <c r="I10" s="2673" t="str">
        <f>IFERROR("Regel-Renteneintritt Pflicht.: "&amp;IF(E_Datum1&gt;0,TEXT(DATE(YEAR(E_Datum1)+IF(E_Rentenaltereingabe="",65,E_Rentenaltereingabe),MONTH(E_Datum1)+IF(E_Rentenaltereingabe="",VLOOKUP(YEAR(E_Datum1),Renteneintrittstabelle,2),(E_Rentenaltereingabe-INT(E_Rentenaltereingabe))*12)+1,1),"TT.MM.JJJJ"),""),"")</f>
        <v/>
      </c>
      <c r="J10" s="2674"/>
      <c r="K10" s="81"/>
      <c r="L10" s="1382" t="str">
        <f>"Biometrische Korrektur VVR"&amp;CHOOSE(E_sex,"m","w","u")&amp;"EZE zu RK"</f>
        <v>Biometrische Korrektur VVRmEZE zu RK</v>
      </c>
      <c r="M10" s="1383" t="e">
        <f>+U13</f>
        <v>#VALUE!</v>
      </c>
      <c r="N10" s="1368"/>
      <c r="O10" s="1368"/>
      <c r="P10" s="71" t="s">
        <v>155</v>
      </c>
      <c r="Q10" s="788" t="e">
        <f>VLOOKUP(ROUND(E_Alter,0),CHOOSE(E_sex,G_Kohorte_M,G_Kohorte_F,G_Kohorte_N),E_Tabschritt)</f>
        <v>#VALUE!</v>
      </c>
      <c r="R10" s="789"/>
      <c r="T10" s="545" t="s">
        <v>1550</v>
      </c>
      <c r="U10" s="1373" t="e">
        <f>VLOOKUP(ROUND(RK_AlterAusglBer,0),CHOOSE(E_sex,G_Kohorte_M,G_Kohorte_F,G_Kohorte_N),E_Tabschritt)</f>
        <v>#VALUE!</v>
      </c>
      <c r="V10" s="1376" t="s">
        <v>1555</v>
      </c>
      <c r="W10" s="619" t="e">
        <f>ROUND(IF(OR(E_Datum1="",E_BerDat1=""),"",IF(AND(E_InvaliditätAusglBer,F9&lt;&gt;"Rentner!"),VLOOKUP(RK_AlterAusglBer,CHOOSE(IF(E_Rentenalter&lt;60,60,IF(E_Rentenalter&gt;67,67,E_Rentenalter))-59,HRIR60,HRIR61,HRIR62,HRIR63,HRIR64,HRIR,HRIR66,HRIR67),CHOOSE(E_sex,16,7,25),1)*J11,0)),4)</f>
        <v>#VALUE!</v>
      </c>
      <c r="X10" s="2634" t="e">
        <f>ROUND(W10+W11,4)</f>
        <v>#VALUE!</v>
      </c>
      <c r="Y10" s="66" t="s">
        <v>1552</v>
      </c>
      <c r="AB10" s="787"/>
      <c r="AF10" s="71" t="s">
        <v>1193</v>
      </c>
      <c r="AG10" s="795" t="str">
        <f>+Berechnungstext!C20</f>
        <v/>
      </c>
    </row>
    <row r="11" spans="1:34" s="71" customFormat="1" ht="27" customHeight="1">
      <c r="A11" s="20"/>
      <c r="B11" s="2630" t="s">
        <v>122</v>
      </c>
      <c r="C11" s="2631"/>
      <c r="D11" s="2631"/>
      <c r="E11" s="27"/>
      <c r="F11" s="2652"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652"/>
      <c r="H11" s="2653"/>
      <c r="I11" s="644" t="s">
        <v>695</v>
      </c>
      <c r="J11" s="645">
        <v>1</v>
      </c>
      <c r="K11" s="1228"/>
      <c r="L11" s="1384" t="str">
        <f>"aufgezinster korr. AusglWert RK"</f>
        <v>aufgezinster korr. AusglWert RK</v>
      </c>
      <c r="M11" s="1385" t="e">
        <f>RK_aufgezinsterBW*(1+RK_biometrKorrektur)</f>
        <v>#VALUE!</v>
      </c>
      <c r="N11" s="1372"/>
      <c r="O11" s="1372"/>
      <c r="P11" s="71" t="s">
        <v>154</v>
      </c>
      <c r="Q11" s="788" t="e">
        <f>VLOOKUP(ROUND(E_Rentenalter,0),CHOOSE(E_sex,G_Kohorte_M,G_Kohorte_F,G_Kohorte_N),E_Tabschritt)</f>
        <v>#VALUE!</v>
      </c>
      <c r="R11" s="71" t="s">
        <v>101</v>
      </c>
      <c r="S11" s="71" t="e">
        <f>TEXT(E_VVR2,"###.##0")&amp;" / "&amp;TEXT(E_VVR1,"###.##0")</f>
        <v>#VALUE!</v>
      </c>
      <c r="T11" s="545"/>
      <c r="U11" s="546" t="e">
        <f>+E_VVR2</f>
        <v>#VALUE!</v>
      </c>
      <c r="V11" s="1376" t="s">
        <v>1557</v>
      </c>
      <c r="W11" s="619" t="str">
        <f>IFERROR(ROUND(IF(OR(E_Datum1="",E_BerDat1=""),"",IF(E_HinterbliebeneAusglBer,VLOOKUP(RK_AlterAusglBer,CHOOSE(IF(E_Rentenalter&lt;60,60,IF(E_Rentenalter&gt;67,67,E_Rentenalter))-59,HRIR60,HRIR61,HRIR62,HRIR63,HRIR64,HRIR,HRIR66,HRIR67),CHOOSE(E_sex,17,8,26),1)*J12,0)),4),"")</f>
        <v/>
      </c>
      <c r="X11" s="2635"/>
      <c r="Y11" s="66" t="e">
        <f>ROUND(X10/HRIR_Zuschlag,4)</f>
        <v>#VALUE!</v>
      </c>
      <c r="Z11" s="795" t="e">
        <f>+RK_Nebenleistungen-T22</f>
        <v>#VALUE!</v>
      </c>
      <c r="AB11" s="787"/>
      <c r="AF11" s="71" t="s">
        <v>1196</v>
      </c>
      <c r="AG11" s="1053" t="e">
        <f>-PV(E_Rezins/100-RententrendDRV,AG7,E_Kapital*12)</f>
        <v>#VALUE!</v>
      </c>
    </row>
    <row r="12" spans="1:34" s="71" customFormat="1" ht="27" customHeight="1">
      <c r="A12" s="2642"/>
      <c r="B12" s="2630" t="s">
        <v>123</v>
      </c>
      <c r="C12" s="2631"/>
      <c r="D12" s="2631"/>
      <c r="E12" s="27"/>
      <c r="F12" s="2652"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652"/>
      <c r="H12" s="2653"/>
      <c r="I12" s="611" t="s">
        <v>696</v>
      </c>
      <c r="J12" s="88">
        <v>0.6</v>
      </c>
      <c r="K12" s="1228"/>
      <c r="L12" s="1384" t="s">
        <v>1559</v>
      </c>
      <c r="M12" s="1383" t="e">
        <f>+Z13</f>
        <v>#VALUE!</v>
      </c>
      <c r="N12" s="1368"/>
      <c r="O12" s="1368"/>
      <c r="P12" s="71" t="s">
        <v>80</v>
      </c>
      <c r="Q12" s="1398" t="e">
        <f>ROUND(IF(E_Alter&gt;=E_Rentenalter,1,E_VVR2/E_VVR1),4)</f>
        <v>#VALUE!</v>
      </c>
      <c r="R12" s="71" t="e" vm="1">
        <f>_xleta.PV</f>
        <v>#VALUE!</v>
      </c>
      <c r="S12" s="789">
        <v>100</v>
      </c>
      <c r="T12" s="545" t="s">
        <v>1551</v>
      </c>
      <c r="U12" s="546" t="e">
        <f>ROUND(IF(E_RelegalterABer&lt;=RK_AlterAusglBer,1,U11/U10),4)</f>
        <v>#VALUE!</v>
      </c>
      <c r="V12" s="2635" t="s">
        <v>1558</v>
      </c>
      <c r="W12" s="2635"/>
      <c r="X12" s="2635"/>
      <c r="Y12" s="2635"/>
      <c r="AB12" s="787"/>
      <c r="AF12" s="71" t="s">
        <v>1197</v>
      </c>
      <c r="AG12" s="154" t="e">
        <f>-PV(E_Rezins/100-RententrendDRV,AG8,,AG11)</f>
        <v>#VALUE!</v>
      </c>
    </row>
    <row r="13" spans="1:34" s="71" customFormat="1" ht="27" customHeight="1">
      <c r="A13" s="2642"/>
      <c r="B13" s="2630"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631"/>
      <c r="D13" s="2648"/>
      <c r="E13" s="57"/>
      <c r="F13" s="2663"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663"/>
      <c r="H13" s="2664"/>
      <c r="I13" s="2606" t="str">
        <f>IF(E_Bilmog10_test=0,"","BliMoG-10: "&amp;TEXT(VLOOKUP(E_BerDat1,BilMoG10,16)/100,"#0,00%"))</f>
        <v/>
      </c>
      <c r="J13" s="2607"/>
      <c r="K13" s="52"/>
      <c r="L13" s="1384" t="s">
        <v>1560</v>
      </c>
      <c r="M13" s="1385" t="e">
        <f>+RK_AusgW*(1+M12)</f>
        <v>#VALUE!</v>
      </c>
      <c r="N13" s="1369"/>
      <c r="O13" s="1369"/>
      <c r="P13" s="71" t="s">
        <v>128</v>
      </c>
      <c r="Q13" s="71">
        <f>IF(OR(E_BerDat1&lt;BilMoGMin,E_BerDat1&gt;BilMoGmax),0,1)</f>
        <v>0</v>
      </c>
      <c r="R13" s="71" t="s">
        <v>829</v>
      </c>
      <c r="S13" s="791"/>
      <c r="T13" s="545" t="s">
        <v>1552</v>
      </c>
      <c r="U13" s="1377" t="e">
        <f>+U12/E_VVR-1</f>
        <v>#VALUE!</v>
      </c>
      <c r="V13" s="1375" t="str">
        <f>+V10</f>
        <v>Invaliditätskorrektur</v>
      </c>
      <c r="W13" s="1374" t="e">
        <f>ROUND(IF(OR(E_Datum1="",E_BerDat1=""),"",IF(AND(E_Invalidität,F9&lt;&gt;"Rentner!"),VLOOKUP(E_Alter+RK_Zeitabstand_EzE,CHOOSE(IF(E_Rentenalter&lt;60,60,IF(E_Rentenalter&gt;67,67,E_Rentenalter))-59,HRIR60,HRIR61,HRIR62,HRIR63,HRIR64,HRIR,HRIR66,HRIR67),CHOOSE(E_sex,7,16,25),1)*J11,0)),4)</f>
        <v>#VALUE!</v>
      </c>
      <c r="X13" s="2634" t="e">
        <f>ROUND(W14+W13,4)</f>
        <v>#VALUE!</v>
      </c>
      <c r="Y13" s="545"/>
      <c r="Z13" s="795" t="e">
        <f>ROUND(X13-HRIR_Zuschlag,4)</f>
        <v>#VALUE!</v>
      </c>
      <c r="AB13" s="787"/>
      <c r="AF13" s="789" t="s">
        <v>1198</v>
      </c>
      <c r="AG13" s="71" t="e">
        <f>+AG12*(1+(AG10+AG9))</f>
        <v>#VALUE!</v>
      </c>
    </row>
    <row r="14" spans="1:34" s="71" customFormat="1" ht="27" customHeight="1">
      <c r="A14" s="2642"/>
      <c r="B14" s="2630" t="str">
        <f>"10. Annahme eines Rententrends (Leistungsdynamik) in Höhe von (in %)?"</f>
        <v>10. Annahme eines Rententrends (Leistungsdynamik) in Höhe von (in %)?</v>
      </c>
      <c r="C14" s="2631"/>
      <c r="D14" s="2648"/>
      <c r="E14" s="75"/>
      <c r="F14" s="2657" t="str">
        <f>IF(E_Kapital="","","Bei Betriebsrenten ist nach BGH XII ZB 408/14 (FamRB 2018, 218) ein Rententrend anzugeben (§ 16 BetrAVG); i.d.R.ein Satz zwischen 1 bis 2%. ")</f>
        <v/>
      </c>
      <c r="G14" s="2658"/>
      <c r="H14" s="2659"/>
      <c r="I14" s="2608" t="str">
        <f ca="1">R13&amp;" Dynamisierung letzte 10 Jahre: "&amp;CHAR(10)&amp;"VPI: "&amp;TEXT(_xlfn.RRI(10,VLOOKUP(VPI_10,VPI_Jahr,2),VLOOKUP(Heute,VPI_Jahr,2)),"0,00%")&amp;" / DRV: "&amp;TEXT(DRV_10,"0,00%")</f>
        <v>Ø Dynamisierung letzte 10 Jahre: 
VPI: 2,84% / DRV: 3,23%</v>
      </c>
      <c r="J14" s="2609"/>
      <c r="K14" s="82"/>
      <c r="L14" s="1386" t="s">
        <v>1569</v>
      </c>
      <c r="M14" s="1393" t="e">
        <f>IF(+S36&lt;0,0,S36)</f>
        <v>#VALUE!</v>
      </c>
      <c r="N14" s="1369"/>
      <c r="O14" s="1369"/>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9" t="s">
        <v>828</v>
      </c>
      <c r="S14" s="792">
        <f ca="1">DATE(YEAR(Heute)-10,MONTH(Heute),DAY(Heute))</f>
        <v>42095</v>
      </c>
      <c r="T14" s="793" t="s">
        <v>830</v>
      </c>
      <c r="U14" s="794">
        <f ca="1">_xlfn.RRI(10,VLOOKUP(VPI_10,aktRW,IF(Ost,3,2)),VLOOKUP(Heute,aktRW,IF(Ost,3,2)))</f>
        <v>3.2308646924035012E-2</v>
      </c>
      <c r="V14" s="1375" t="str">
        <f>+V11</f>
        <v>Hinterbliebenenkorrektur</v>
      </c>
      <c r="W14" s="1374" t="e">
        <f>ROUND(IFERROR(IF(OR(E_Datum1="",E_BerDat1=""),"",IF(E_Hinterbliebene,VLOOKUP(E_Alter+RK_Zeitabstand_EzE,CHOOSE(IF(E_Rentenalter&lt;60,60,IF(E_Rentenalter&gt;67,67,E_Rentenalter))-59,HRIR60,HRIR61,HRIR62,HRIR63,HRIR64,HRIR,HRIR66,HRIR67),CHOOSE(E_sex,8,17,26),1)*J12,0)),""),4)</f>
        <v>#VALUE!</v>
      </c>
      <c r="X14" s="2635"/>
      <c r="Y14" s="66" t="e">
        <f>ROUND(+X13/HRIR_Zuschlag,4)</f>
        <v>#VALUE!</v>
      </c>
      <c r="Z14" s="71" t="e">
        <f>RK_AlterAusglBer+RK_Zeitabstand_EzE</f>
        <v>#VALUE!</v>
      </c>
      <c r="AB14" s="787"/>
      <c r="AF14" s="789" t="s">
        <v>1199</v>
      </c>
      <c r="AG14" s="71" t="e">
        <f>IF(E_Alter&gt;AG6,1,VLOOKUP(AG6,G_Kohorte_M,YEAR(E_Datum1)-1900+2)/E_VVR1)</f>
        <v>#VALUE!</v>
      </c>
    </row>
    <row r="15" spans="1:34" s="71" customFormat="1" ht="32.1" customHeight="1" thickBot="1">
      <c r="A15" s="20"/>
      <c r="B15" s="2654" t="str">
        <f>IF(E_RenteKapital=1,"11. Monatsrente aus dem Kapital nach Mitteilung des Versorgungsträgers:","11. Kapitalwert der Versorgung nach Mitteilung des Versorgungsträgers")</f>
        <v>11. Kapitalwert der Versorgung nach Mitteilung des Versorgungsträgers</v>
      </c>
      <c r="C15" s="2655"/>
      <c r="D15" s="2656"/>
      <c r="E15" s="1645"/>
      <c r="F15" s="2602" t="str">
        <f>IF(E_Kapital="","",IF(E_RenteKapital=1,"zu erwartende Monatsrente bei interner Teilung:","Barwert der Monatsrente:"))</f>
        <v/>
      </c>
      <c r="G15" s="2603"/>
      <c r="H15" s="1646">
        <f>IF(E_Datum1=0,"",IFERROR(ROUND(IF(E_Kapital=0,0,IF(E_RenteKapital=1,E_RenteausKapital,E_BarwertderRente)),0),""))</f>
        <v>0</v>
      </c>
      <c r="I15" s="2669" t="str">
        <f>IFERROR(IF(X6&gt;ErgebnisABer,"Externe Teilung in DRV kann günstiger als die interne sein.",""),"")</f>
        <v/>
      </c>
      <c r="J15" s="2670"/>
      <c r="K15" s="83"/>
      <c r="L15" s="1386" t="s">
        <v>1570</v>
      </c>
      <c r="M15" s="1393" t="e">
        <f>+S35</f>
        <v>#VALUE!</v>
      </c>
      <c r="N15" s="1371"/>
      <c r="O15" s="1371"/>
      <c r="P15" s="71" t="s">
        <v>84</v>
      </c>
      <c r="Q15" s="1274" t="e">
        <f>Z17</f>
        <v>#VALUE!</v>
      </c>
      <c r="W15" s="2679" t="s">
        <v>1554</v>
      </c>
      <c r="X15" s="2679"/>
      <c r="Y15" s="2679"/>
      <c r="Z15" s="2635"/>
      <c r="AB15" s="787"/>
      <c r="AF15" s="71" t="s">
        <v>561</v>
      </c>
      <c r="AG15" s="154" t="e">
        <f>+AG13*AG14</f>
        <v>#VALUE!</v>
      </c>
    </row>
    <row r="16" spans="1:34" s="71" customFormat="1" ht="27" customHeight="1" thickTop="1">
      <c r="A16" s="20"/>
      <c r="B16" s="2685" t="s">
        <v>137</v>
      </c>
      <c r="C16" s="2686"/>
      <c r="D16" s="2686"/>
      <c r="E16" s="2686"/>
      <c r="F16" s="2686"/>
      <c r="G16" s="1647"/>
      <c r="H16" s="1648"/>
      <c r="I16" s="2632" t="str">
        <f>IFERROR(IF(E_Ergebnis=0,"",IF(E_RenteKapital=1,"",IF(E_Ergebnis&gt;VLOOKUP(YEAR(E_BerDat1),BBMG,IF(Ost,5,4)),"nur interne Teilung möglich"&amp;CHAR(10)&amp;"§ 17, extern d. Vereinbarung","externe Teilung möglich, § 17 "))),"")</f>
        <v/>
      </c>
      <c r="J16" s="2633"/>
      <c r="K16" s="84"/>
      <c r="L16" s="1391" t="s">
        <v>1571</v>
      </c>
      <c r="M16" s="1387" t="e">
        <f>+RK_Nebenleistungen</f>
        <v>#VALUE!</v>
      </c>
      <c r="N16" s="1370"/>
      <c r="O16" s="1370"/>
      <c r="P16" s="71" t="s">
        <v>102</v>
      </c>
      <c r="Q16" s="2004" t="e">
        <f>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2047" t="e">
        <f>-PMT(0%,E_LXYAlterABer,E_Ergebnis,,1)</f>
        <v>#VALUE!</v>
      </c>
      <c r="T16" s="154" t="e">
        <f>S16/12</f>
        <v>#VALUE!</v>
      </c>
      <c r="W16" s="66" t="s">
        <v>1471</v>
      </c>
      <c r="X16" s="1158" t="s">
        <v>1472</v>
      </c>
      <c r="Y16" s="66" t="s">
        <v>1473</v>
      </c>
      <c r="Z16" s="66" t="s">
        <v>1474</v>
      </c>
      <c r="AB16" s="787"/>
    </row>
    <row r="17" spans="1:33" s="71" customFormat="1" ht="26.25" customHeight="1" thickBot="1">
      <c r="A17" s="20"/>
      <c r="B17" s="2604" t="str">
        <f>"13. Geburtsdatum der ausgleichsberechtigten Person ("&amp;CHOOSE(E_sex,"weiblich","männlich","unisex")&amp;")"</f>
        <v>13. Geburtsdatum der ausgleichsberechtigten Person (weiblich)</v>
      </c>
      <c r="C17" s="2605"/>
      <c r="D17" s="1317" t="str">
        <f>IF(E17&lt;&gt;"",E17,IF(E_sex=1,Dat_GebDat_F,IF(E_sex=2,Dat_GebDat_M,IF(AND(E_sex=3,E17&lt;&gt;""),E17,""))))</f>
        <v/>
      </c>
      <c r="E17" s="1318"/>
      <c r="F17" s="2683"/>
      <c r="G17" s="2684"/>
      <c r="H17" s="1649" t="str">
        <f>IFERROR(IF(E_RenteKapital=1,E_RenteausKapitalAglBer,IF(E_BerDat2="","",+E_RenteausKapitalAglBer))/IF(E_Halbteilung,2,1),"")</f>
        <v/>
      </c>
      <c r="I17" s="2689" t="str">
        <f>IFERROR("Rentenerwerb in DRV für AusglBer. zum "&amp;TEXT(E_BerDat1,"T.M.JJ")&amp;": "&amp;TEXT(IF(E_RenteKapital=2,IF(E_KapWert&gt;0,E_KapWert,E_Ergebnis),E_Kapital)/VLOOKUP(E_BerDat1,UmrechnungEP_Kap,IF(Ost,3,2))*VLOOKUP(E_BerDat1,aktRW,IF(Ost,3,2)),"#.##0,00 €"),"")</f>
        <v/>
      </c>
      <c r="J17" s="2690"/>
      <c r="K17" s="85"/>
      <c r="L17" s="1389" t="s">
        <v>1572</v>
      </c>
      <c r="M17" s="1388" t="e">
        <f>IF(E_ReZins1-E_ReTrend1=0,M13/RK_Leistungszeit/12,M13*IF(RK_AnwZeit&gt;0,(1+E_ReZins1)^(RK_AnwZeit),1)*(E_ReZins1-E_ReTrend1)/(1-1/(1+(E_ReZins1-E_ReTrend1))^RK_Leistungezeit)/RK_VVRAglBer_Faktor/12/IF(OR(E_InvaliditätAusglBer,E_HinterbliebeneAusglBer),(1+RK_Nebenleistungen),1))</f>
        <v>#VALUE!</v>
      </c>
      <c r="N17" s="1395"/>
      <c r="O17" s="1395"/>
      <c r="P17" s="71" t="s">
        <v>1630</v>
      </c>
      <c r="Q17" s="16" t="b">
        <v>0</v>
      </c>
      <c r="W17" s="2006" t="e">
        <f>ROUND(-PV(E_Rezins/100-E_ReTrend1,E_LxyRAlter,E_Kapital*12*IF(E_Volldynamik,(1+E_ReTrend1)^E_Anwartschaftszeit,1)),2)</f>
        <v>#VALUE!</v>
      </c>
      <c r="X17" s="2006" t="e">
        <f>ROUND(-PV(E_Rezins/100,E_Anwartschaftszeit,,W17),2)</f>
        <v>#VALUE!</v>
      </c>
      <c r="Y17" s="2006" t="e">
        <f>ROUND(X17*(1+HRIR_Zuschlag),2)</f>
        <v>#VALUE!</v>
      </c>
      <c r="Z17" s="2006" t="e">
        <f>ROUND(Y17*E_VVR,2)</f>
        <v>#VALUE!</v>
      </c>
      <c r="AB17" s="787"/>
    </row>
    <row r="18" spans="1:33" ht="19.5" hidden="1" customHeight="1" thickTop="1">
      <c r="A18" s="18"/>
      <c r="B18" s="2666"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667"/>
      <c r="D18" s="2667"/>
      <c r="E18" s="2667"/>
      <c r="F18" s="2667"/>
      <c r="G18" s="2667"/>
      <c r="H18" s="2668"/>
      <c r="I18" s="2687" t="str">
        <f>IFERROR(IF(E_AlterABer&gt;E_Rentenalter,"DRV als ZV nur bis zur Bewilligung einer Volltente wg. Alters (§ 187 SGV VI)",""),"")</f>
        <v/>
      </c>
      <c r="J18" s="2688"/>
      <c r="K18" s="86"/>
      <c r="L18" s="2707"/>
      <c r="M18" s="2707"/>
      <c r="N18" s="2707"/>
      <c r="O18" s="2707"/>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161</v>
      </c>
      <c r="U18" s="15" t="b">
        <v>0</v>
      </c>
      <c r="W18" s="2675" t="s">
        <v>1918</v>
      </c>
      <c r="X18" s="2675"/>
      <c r="Y18" s="2675"/>
      <c r="Z18" s="446" t="e">
        <f>-PV(-E_ReTrend1,E_LxyRAlter,IF(E_Volldynamik,AA18,E_Kapital*12),,K26)</f>
        <v>#VALUE!</v>
      </c>
      <c r="AA18" s="1275" t="e">
        <f>-FV(E_ReTrend1,E_Anwartschaftszeit,,E_Kapital*12,)</f>
        <v>#VALUE!</v>
      </c>
      <c r="AB18" s="796"/>
    </row>
    <row r="19" spans="1:33" ht="16.5" hidden="1" customHeight="1">
      <c r="A19" s="18"/>
      <c r="B19" s="2660" t="str">
        <f>IFERROR(IF(B20="","","Darstellung der finanzmathematischen Berechnungsparameter. Geringe Ergebnisabweichungen beruhen auf Rundungs- und Interpolationsdifferenzen:"),"")</f>
        <v/>
      </c>
      <c r="C19" s="2661"/>
      <c r="D19" s="2661"/>
      <c r="E19" s="2661"/>
      <c r="F19" s="2661"/>
      <c r="G19" s="2661"/>
      <c r="H19" s="2662"/>
      <c r="I19" s="2697" t="str">
        <f>IFERROR("Barwertfaktor (Jahr): "&amp;TEXT(IF(E_RenteKapital=2,+E_Ergebnis/E_Kapital/12,E_Kapital/E_Ergebnis/12),"###,####"),"")</f>
        <v/>
      </c>
      <c r="J19" s="2698"/>
      <c r="K19" s="53"/>
      <c r="L19" s="2707"/>
      <c r="M19" s="2707"/>
      <c r="N19" s="2707"/>
      <c r="O19" s="2707"/>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675" t="s">
        <v>1919</v>
      </c>
      <c r="X19" s="2675"/>
      <c r="Y19" s="2675"/>
      <c r="Z19" s="1158" t="e">
        <f>-PV(-E_ReTrend1,E_LXYAlterABer,ErgebnisABer*12,,K26)</f>
        <v>#VALUE!</v>
      </c>
      <c r="AA19" s="1275" t="e">
        <f>-FV(E_ReTrend1,E_AnwartschaftszeitABer,,ErgebnisABer*12,1)</f>
        <v>#VALUE!</v>
      </c>
      <c r="AB19" s="796"/>
    </row>
    <row r="20" spans="1:33" ht="32.25" hidden="1" customHeight="1">
      <c r="A20" s="18"/>
      <c r="B20" s="2676" t="str">
        <f>IFERROR(IF(E_RenteKapital=1,Q19,E_BarwertText),"")</f>
        <v/>
      </c>
      <c r="C20" s="2677"/>
      <c r="D20" s="2677"/>
      <c r="E20" s="2677"/>
      <c r="F20" s="2677"/>
      <c r="G20" s="2677"/>
      <c r="H20" s="2678"/>
      <c r="I20" s="1351"/>
      <c r="J20" s="1359"/>
      <c r="K20" s="23"/>
      <c r="L20" s="2707"/>
      <c r="M20" s="2707"/>
      <c r="N20" s="2707"/>
      <c r="O20" s="2707"/>
      <c r="P20" t="s">
        <v>89</v>
      </c>
      <c r="Q20" s="797" t="e">
        <f>ABS(1-H15/E15)</f>
        <v>#DIV/0!</v>
      </c>
      <c r="AA20" s="71"/>
      <c r="AB20" s="796"/>
    </row>
    <row r="21" spans="1:33" ht="17.25" hidden="1" customHeight="1">
      <c r="A21" s="18"/>
      <c r="B21" s="2649" t="str">
        <f>IFERROR(IF(E_RenteKapital=2,T_Barwert,T_Verrentung),"")</f>
        <v/>
      </c>
      <c r="C21" s="2650"/>
      <c r="D21" s="2650"/>
      <c r="E21" s="2650"/>
      <c r="F21" s="2650"/>
      <c r="G21" s="2650"/>
      <c r="H21" s="2651"/>
      <c r="I21" s="1360"/>
      <c r="J21" s="1361"/>
      <c r="K21" s="21"/>
      <c r="L21" s="21"/>
      <c r="M21" s="21"/>
      <c r="N21" s="21"/>
      <c r="O21" s="21"/>
      <c r="P21" t="s">
        <v>90</v>
      </c>
      <c r="AA21" s="71"/>
      <c r="AB21" s="796"/>
    </row>
    <row r="22" spans="1:33" ht="20.25" hidden="1" customHeight="1" thickTop="1" thickBot="1">
      <c r="A22" s="18"/>
      <c r="B22" s="24" t="s">
        <v>117</v>
      </c>
      <c r="C22" s="1214"/>
      <c r="D22" s="2646" t="s">
        <v>848</v>
      </c>
      <c r="E22" s="2646"/>
      <c r="F22" s="2646" t="s">
        <v>118</v>
      </c>
      <c r="G22" s="2646"/>
      <c r="H22" s="2647"/>
      <c r="I22" s="2708" t="s">
        <v>116</v>
      </c>
      <c r="J22" s="2709"/>
      <c r="K22" s="87"/>
      <c r="L22" s="87"/>
      <c r="M22" s="87"/>
      <c r="N22" s="87"/>
      <c r="O22" s="87"/>
      <c r="P22" t="s">
        <v>110</v>
      </c>
      <c r="Q22" s="15" t="b">
        <v>0</v>
      </c>
      <c r="R22" s="3" t="s">
        <v>111</v>
      </c>
      <c r="S22" s="1366">
        <f>IF(E_InvaliditätAusglBer,VLOOKUP(E_AlterABer,CHOOSE(IF(E_RelegalterABer&lt;60,60,IF(E_RelegalterABer&gt;67,67,E_RelegalterABer))-59,HRIR60,HRIR61,HRIR62,HRIR63,HRIR64,HRIR,HRIR66,HRIR67),CHOOSE(E_sex,16,7,25),1),0)*J11</f>
        <v>0</v>
      </c>
      <c r="T22" s="2696">
        <f>ROUND(E_IFaktorAusglBer+E_HfaktorAusglBer,4)</f>
        <v>0</v>
      </c>
      <c r="W22" t="s">
        <v>1925</v>
      </c>
      <c r="AA22" s="71"/>
      <c r="AB22" s="796"/>
    </row>
    <row r="23" spans="1:33" s="71" customFormat="1" ht="19.5" hidden="1" customHeight="1">
      <c r="A23" s="20"/>
      <c r="B23" s="2643" t="s">
        <v>158</v>
      </c>
      <c r="C23" s="2644"/>
      <c r="D23" s="2644"/>
      <c r="E23" s="2644"/>
      <c r="F23" s="2644"/>
      <c r="G23" s="2644"/>
      <c r="H23" s="2645"/>
      <c r="I23" s="2699" t="str">
        <f>IF(E_BerDat2="","","Renten-Barwerte Berecht.")</f>
        <v/>
      </c>
      <c r="J23" s="2700"/>
      <c r="K23" s="664"/>
      <c r="L23" s="664"/>
      <c r="M23" s="664"/>
      <c r="N23" s="664"/>
      <c r="O23" s="664"/>
      <c r="P23" s="71" t="s">
        <v>112</v>
      </c>
      <c r="Q23" s="16" t="b">
        <v>0</v>
      </c>
      <c r="R23" s="545" t="s">
        <v>113</v>
      </c>
      <c r="S23" s="1367">
        <f>IF(E_HinterbliebeneAusglBer,VLOOKUP(E_AlterABer,CHOOSE(IF(E_RelegalterABer&lt;60,60,IF(E_RelegalterABer&gt;67,67,E_RelegalterABer))-59,HRIR60,HRIR61,HRIR62,HRIR63,HRIR64,HRIR,HRIR66,HRIR67),CHOOSE(E_sex,17,8,26),1)*J12,0)</f>
        <v>0</v>
      </c>
      <c r="T23" s="2696"/>
      <c r="U23" s="795"/>
      <c r="W23"/>
      <c r="X23" s="1998" t="str">
        <f>" x "&amp;"(1 + "&amp;IF(E_Ifaktor&gt;0,TEXT(E_Ifaktor,"##0,00%"),"")&amp;IF(AND(E_Ifaktor&gt;0,E_HFaktor&gt;0)," + ","")&amp;IF(E_HFaktor&gt;0,TEXT(E_HFaktor,"##0,00%")&amp;IF(AND(E_Ifaktor&gt;0,E_HFaktor&gt;0),")",")"),")")</f>
        <v xml:space="preserve"> x (1 +  + )</v>
      </c>
      <c r="Y23"/>
      <c r="Z23"/>
      <c r="AB23" s="787"/>
    </row>
    <row r="24" spans="1:33" s="318" customFormat="1" ht="17.25" hidden="1" customHeight="1">
      <c r="A24" s="55"/>
      <c r="B24" s="2710"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711"/>
      <c r="D24" s="2711"/>
      <c r="E24" s="2711"/>
      <c r="F24" s="2711"/>
      <c r="G24" s="2711"/>
      <c r="H24" s="2712"/>
      <c r="I24" s="2703" t="str">
        <f>IFERROR("Quellversorgung: "&amp;TEXT(E33,"#.##0 €"),"")</f>
        <v/>
      </c>
      <c r="J24" s="2704"/>
      <c r="K24" s="79"/>
      <c r="L24" s="79"/>
      <c r="M24" s="79"/>
      <c r="N24" s="79"/>
      <c r="O24" s="79"/>
      <c r="P24" s="318" t="s">
        <v>92</v>
      </c>
      <c r="Q24" s="318" t="e">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#VALUE!</v>
      </c>
      <c r="AA24" s="71"/>
      <c r="AB24" s="798"/>
      <c r="AG24" s="799"/>
    </row>
    <row r="25" spans="1:33" ht="17.25" hidden="1" customHeight="1" thickBot="1">
      <c r="A25" s="18"/>
      <c r="B25" s="2710"/>
      <c r="C25" s="2711"/>
      <c r="D25" s="2711"/>
      <c r="E25" s="2711"/>
      <c r="F25" s="2711"/>
      <c r="G25" s="2711"/>
      <c r="H25" s="2712"/>
      <c r="I25" s="2701" t="str">
        <f>IFERROR("DRV: "&amp;+TEXT(E30/IF(E_Halbteilung,2,1),"#.##0 €"),"")</f>
        <v/>
      </c>
      <c r="J25" s="2702"/>
      <c r="K25" s="80"/>
      <c r="L25" s="80"/>
      <c r="M25" s="80"/>
      <c r="N25" s="80"/>
      <c r="O25" s="80"/>
      <c r="Q25" t="e">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#VALUE!</v>
      </c>
      <c r="AA25" s="71"/>
      <c r="AB25" s="796"/>
    </row>
    <row r="26" spans="1:33" ht="23.25" customHeight="1" thickTop="1" thickBot="1">
      <c r="A26" s="1999"/>
      <c r="B26" s="2001" t="s">
        <v>1924</v>
      </c>
      <c r="C26" s="2691" t="str">
        <f>IFERROR("Ausglpfl.: "&amp;Summenzeichen &amp;IFERROR(TEXT(Z18,"#.##0 €")&amp;" p.a.≙"&amp;TEXT(Z18/(Berechnungstext!C16*12),"#.##0 €")&amp;" p.m. über "&amp;TEXT(E_LxyRAlter,"0,0")&amp;" Jahre",""),"")</f>
        <v>Ausglpfl.: ∑</v>
      </c>
      <c r="D26" s="2692"/>
      <c r="E26" s="2693"/>
      <c r="F26" s="2694" t="str">
        <f>"Ausglber.: "&amp;Summenzeichen&amp;IFERROR(TEXT(Z19,"#.##0 €")&amp;" p.a.≙"&amp;TEXT(Z19/(E_LXYAlterABer*12),"#.### €")&amp;" p.m. über "&amp;TEXT(E_LXYAlterABer,"0,0")&amp;" Jahre","")</f>
        <v>Ausglber.: ∑</v>
      </c>
      <c r="G26" s="2692"/>
      <c r="H26" s="2695"/>
      <c r="I26" s="2705"/>
      <c r="J26" s="2705"/>
      <c r="K26" s="2111">
        <v>1</v>
      </c>
      <c r="L26" s="21"/>
      <c r="M26" s="21"/>
      <c r="N26" s="21"/>
      <c r="O26" s="21"/>
      <c r="P26" s="409" t="s">
        <v>95</v>
      </c>
      <c r="Q26" s="1306">
        <f>IF(E_RezinsAngabe&lt;&gt;"",E_RezinsAngabe*100,IF(E_BerDat1&lt;IF(E_BilMoG10,BilMoG10Anfang,BilMoGAnfang),6,IF(E_BerDat1&lt;=BilMogEnde,VLOOKUP(E_BerDat1,IF(E_BilMoG10,BilMoG10,BilmoGZins),IF(AND(Realdauer=TRUE,E_LxyRAlter&lt;15),E_LxyRAlter+1,16)),0)))</f>
        <v>0</v>
      </c>
      <c r="R26" s="58">
        <f>BilMogEnde</f>
        <v>45747</v>
      </c>
      <c r="S26" s="800" t="e">
        <f>IF(E_Anwartschaftszeit&gt;0," x "&amp;TEXT(E_VVR2,"###.###")&amp;" / "&amp;TEXT(E_VVR1,"###.###"),"")</f>
        <v>#VALUE!</v>
      </c>
      <c r="T26" t="e">
        <f>VLOOKUP(E_BerDat1,BilmoGZins,16)</f>
        <v>#N/A</v>
      </c>
      <c r="U26" t="s">
        <v>398</v>
      </c>
      <c r="V26" s="15" t="b">
        <v>1</v>
      </c>
      <c r="AB26" s="796"/>
    </row>
    <row r="27" spans="1:33" ht="14.25" customHeight="1" thickTop="1">
      <c r="A27" s="25"/>
      <c r="B27" s="2706" t="str">
        <f>"Datenpflege bis "&amp;TEXT(Enddatum,"TT.MM.JJ")&amp;" Aktualisierung unter &lt;Parameter&gt; möglich. Laufzeitbegrenzung bis: "&amp;TEXT(Laufzeitbegrenzung,"TT.MM.JJ")</f>
        <v>Datenpflege bis 31.03.25 Aktualisierung unter &lt;Parameter&gt; möglich. Laufzeitbegrenzung bis: 31.12.26</v>
      </c>
      <c r="C27" s="2706"/>
      <c r="D27" s="2706"/>
      <c r="E27" s="2706"/>
      <c r="F27" s="2706"/>
      <c r="G27" s="2706"/>
      <c r="H27" s="2706"/>
      <c r="I27" s="2705"/>
      <c r="J27" s="2705"/>
      <c r="K27" s="21"/>
      <c r="L27" s="21"/>
      <c r="M27" s="21"/>
      <c r="N27" s="21"/>
      <c r="O27" s="21"/>
      <c r="P27" t="s">
        <v>97</v>
      </c>
      <c r="Q27" s="58" t="e">
        <f>DATE(YEAR(E_Datum1)+E_Rentenalter,MONTH(E_Datum1)+(E_Rentenalter-INT(E_Rentenalter))*12,DAY(E_Datum1))</f>
        <v>#VALUE!</v>
      </c>
      <c r="AA27" s="71"/>
      <c r="AB27" s="796"/>
    </row>
    <row r="28" spans="1:33" ht="18" hidden="1" customHeight="1">
      <c r="B28" s="643"/>
      <c r="C28" s="643"/>
      <c r="D28" s="643"/>
      <c r="E28" s="643"/>
      <c r="F28" s="643"/>
      <c r="G28" s="643"/>
      <c r="H28" s="643"/>
      <c r="I28" s="643"/>
      <c r="J28" s="643"/>
      <c r="K28" s="623"/>
      <c r="L28" s="623"/>
      <c r="M28" s="623"/>
      <c r="N28" s="623"/>
      <c r="O28" s="623"/>
      <c r="P28" t="s">
        <v>96</v>
      </c>
      <c r="Q28">
        <f>IF(F9="Rentner!",1,0)</f>
        <v>0</v>
      </c>
      <c r="U28" s="401" t="e">
        <f>E_Kapital*IF(E_AnwartschaftszeitABer&gt;0,(1+E_ReZins1)^(E_AnwartschaftszeitABer),1)*((E_ReZins1-E_ReTrend1)/(1-1/(1+(E_ReZins1-E_ReTrend1))^E_LXYAlterABer))/E_VVRAusglBer/12/IF(OR(E_InvaliditätAusglBer,E_HinterbliebeneAusglBer),(1+T22),1)</f>
        <v>#VALUE!</v>
      </c>
      <c r="AA28" s="71"/>
      <c r="AB28" s="796"/>
    </row>
    <row r="29" spans="1:33" ht="18" hidden="1" customHeight="1">
      <c r="B29" t="s">
        <v>824</v>
      </c>
      <c r="E29" s="149" t="e">
        <f>IF(E_RenteKapital=2,E_Ergebnis,E_Kapital)/VLOOKUP(E_BerDat1,UmrechnungEP_Kap,IF(Ost,3,2))*VLOOKUP(E_BerDat1,aktRW,IF(Ost,3,2))</f>
        <v>#N/A</v>
      </c>
      <c r="P29" t="s">
        <v>855</v>
      </c>
      <c r="Q29" s="91" t="str">
        <f>IF(E_Datum1="","",IF(E_Rentenaltereingabe="",VLOOKUP(YEAR(E_Datum1),Renteneintrittstabelle,3),E_Rentenaltereingabe))</f>
        <v/>
      </c>
      <c r="U29" s="401" t="s">
        <v>1561</v>
      </c>
      <c r="AA29" s="71"/>
      <c r="AB29" s="796"/>
    </row>
    <row r="30" spans="1:33" ht="18" hidden="1" customHeight="1">
      <c r="B30" t="s">
        <v>823</v>
      </c>
      <c r="E30" s="149" t="e">
        <f>-PV(E_ReZins1-RententrendDRV,E_AnwartschaftszeitABer,,-PV(E_ReZins1-RententrendDRV,E_LXYAlterABer,E29*12))</f>
        <v>#VALUE!</v>
      </c>
      <c r="I30" s="149"/>
      <c r="U30" t="s">
        <v>1562</v>
      </c>
      <c r="V30">
        <v>66534</v>
      </c>
      <c r="W30">
        <v>66534</v>
      </c>
      <c r="X30">
        <v>66556</v>
      </c>
      <c r="AA30" s="71"/>
      <c r="AB30" s="796"/>
    </row>
    <row r="31" spans="1:33" ht="18" hidden="1" customHeight="1">
      <c r="B31" t="s">
        <v>825</v>
      </c>
      <c r="I31" s="149"/>
      <c r="P31" t="s">
        <v>98</v>
      </c>
      <c r="Q31" s="624">
        <f>IF(E_RezinsAngabe&lt;&gt;"",E_RezinsAngabe,IF(E_Rezins/100&gt;0,E_Rezins/100,0))</f>
        <v>0</v>
      </c>
      <c r="U31" t="s">
        <v>104</v>
      </c>
      <c r="V31" t="e">
        <f>E_AnwartschaftszeitABer</f>
        <v>#VALUE!</v>
      </c>
      <c r="W31">
        <v>20</v>
      </c>
      <c r="X31">
        <v>20</v>
      </c>
    </row>
    <row r="32" spans="1:33" ht="18" hidden="1" customHeight="1">
      <c r="P32" t="s">
        <v>858</v>
      </c>
      <c r="Q32" t="e">
        <f>YEAR(E_Datum1)+IF(MONTH(E_Datum1)&gt;6,1,0)</f>
        <v>#VALUE!</v>
      </c>
      <c r="R32" s="401"/>
      <c r="S32" s="71"/>
      <c r="T32" s="71"/>
      <c r="U32" t="s">
        <v>1563</v>
      </c>
      <c r="V32" t="e">
        <f>(1+E_ReZins1)^(E_AnwartschaftszeitABer)</f>
        <v>#VALUE!</v>
      </c>
      <c r="W32">
        <v>1.485947396</v>
      </c>
      <c r="X32" t="e">
        <f>(1+E_ReZins1)^(E_AnwartschaftszeitABer)</f>
        <v>#VALUE!</v>
      </c>
    </row>
    <row r="33" spans="2:24" ht="18" hidden="1" customHeight="1">
      <c r="B33" t="s">
        <v>826</v>
      </c>
      <c r="E33" s="149" t="e">
        <f>-PV(E_ReZins1,E_AnwartschaftszeitABer,,-PV(E_ReZins1-E_ReTrend1,E_LXYAlterABer,ErgebnisABer*12))</f>
        <v>#VALUE!</v>
      </c>
      <c r="P33" s="71" t="s">
        <v>82</v>
      </c>
      <c r="Q33" s="1365" t="e">
        <f>ROUND(VLOOKUP(IF(E_Rentenalter&gt;E_Alter,ROUND(E_Rentenalter,2),ROUND(E_Alter,2)),CHOOSE(E_sex,Lebenserwartung_M_V2,Lebenserwartung_F_V2,Lebenserwartung_N_V2),E_Tabschritt),2)</f>
        <v>#VALUE!</v>
      </c>
      <c r="R33" s="1399" t="s">
        <v>1548</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52" t="s">
        <v>1548</v>
      </c>
      <c r="U34" s="401" t="s">
        <v>1564</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2005" t="e">
        <f>VLOOKUP(IF(E_RelegalterABer&gt;E_AlterABer,ROUND(E_RelegalterABer,2),ROUND(E_AlterABer,2)),CHOOSE(E_sex,Lebenserwartung_F_V2,Lebenserwartung_M_V2,Lebenserwartung_N_V2),E_Tabschritt2)</f>
        <v>#VALUE!</v>
      </c>
      <c r="R35" s="752" t="s">
        <v>1548</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98" t="e">
        <f>ROUND(IF(E_RelegalterABer-E_AlterABer&lt;0,0,E_RelegalterABer-E_AlterABer),2)</f>
        <v>#VALUE!</v>
      </c>
      <c r="R36" s="752" t="str">
        <f>+R35</f>
        <v>RK</v>
      </c>
      <c r="S36" s="1397" t="e">
        <f>ROUND(E_AnwartschaftszeitABer-M7,4)</f>
        <v>#VALUE!</v>
      </c>
    </row>
    <row r="37" spans="2:24" ht="18" hidden="1" customHeight="1">
      <c r="B37" t="s">
        <v>1215</v>
      </c>
      <c r="E37" s="149"/>
      <c r="P37" s="71" t="s">
        <v>109</v>
      </c>
      <c r="Q37" s="790" t="e">
        <f>IF(+E_VVR2AglBer/E_VVR1AglBer&gt;1,1,+E_VVR2AglBer/E_VVR1AglBer)</f>
        <v>#VALUE!</v>
      </c>
    </row>
    <row r="38" spans="2:24" ht="18" hidden="1" customHeight="1">
      <c r="B38" t="s">
        <v>1216</v>
      </c>
      <c r="E38" s="149"/>
      <c r="G38" t="e">
        <f>E37*(1+E_ReZins1)^-Anwartschaftszeit</f>
        <v>#VALUE!</v>
      </c>
      <c r="P38" s="71" t="s">
        <v>109</v>
      </c>
      <c r="Q38" s="71" t="e">
        <f>TEXT(E_VVR2AglBer,"###.##0")&amp;" / "&amp;TEXT(E_VVR1AglBer,"###.##0")</f>
        <v>#VALUE!</v>
      </c>
    </row>
    <row r="39" spans="2:24" ht="18" hidden="1" customHeight="1">
      <c r="B39" t="s">
        <v>1217</v>
      </c>
      <c r="E39" s="149"/>
      <c r="P39" s="71" t="s">
        <v>108</v>
      </c>
      <c r="Q39" s="788" t="e">
        <f>VLOOKUP(E_RelegalterABer,CHOOSE(E_sex,G_Kohorte_F,G_Kohorte_M,G_Kohorte_N),E_Tabschritt2)</f>
        <v>#VALUE!</v>
      </c>
      <c r="R39" s="71" t="s">
        <v>107</v>
      </c>
      <c r="S39" s="788" t="e">
        <f>VLOOKUP(E_AlterABer,CHOOSE(E_sex,G_Kohorte_F,G_Kohorte_M,G_Kohorte_N),E_Tabschritt2)</f>
        <v>#VALUE!</v>
      </c>
      <c r="T39" t="s">
        <v>1565</v>
      </c>
      <c r="U39" t="e">
        <f>VLOOKUP(RK_AlterAusglBer,CHOOSE(E_sex,G_Kohorte_F,G_Kohorte_M,G_Kohorte_N),E_Tabschritt2)</f>
        <v>#VALUE!</v>
      </c>
      <c r="V39" t="s">
        <v>1566</v>
      </c>
      <c r="W39" t="e">
        <f>+E_VVR2AglBer/RK_VVAAusglBer</f>
        <v>#VALUE!</v>
      </c>
    </row>
    <row r="40" spans="2:24" ht="18" hidden="1" customHeight="1">
      <c r="B40" s="409" t="s">
        <v>1218</v>
      </c>
      <c r="C40" s="409"/>
      <c r="D40" s="409"/>
      <c r="E40" s="507"/>
      <c r="G40" t="e">
        <f>+G38*E_VVR</f>
        <v>#VALUE!</v>
      </c>
      <c r="P40" s="71" t="s">
        <v>103</v>
      </c>
      <c r="Q40" s="625" t="e">
        <f>ROUND(IF(E_BerDat2="","",YEARFRAC(E_BerDat2,E_BerDat1,0)),4)</f>
        <v>#VALUE!</v>
      </c>
      <c r="R40" t="e">
        <f>+(E_RelegalterABer-INT(E_RelegalterABer))*12</f>
        <v>#VALUE!</v>
      </c>
    </row>
    <row r="41" spans="2:24" ht="18" hidden="1" customHeight="1">
      <c r="P41" t="s">
        <v>156</v>
      </c>
      <c r="Q41" s="58" t="e">
        <f>DATE(YEAR(E_BerDat2)+E_RelegalterABer,MONTH(E_BerDat2+1)+R40,1)</f>
        <v>#VALUE!</v>
      </c>
      <c r="R41" t="e">
        <f>YEARFRAC(E_BerDat1,Q41,3)</f>
        <v>#VALUE!</v>
      </c>
    </row>
    <row r="42" spans="2:24" ht="18" hidden="1" customHeight="1">
      <c r="R42" s="801" t="e">
        <f>-FV(2.2%,R41,,50000)</f>
        <v>#VALUE!</v>
      </c>
    </row>
    <row r="43" spans="2:24" ht="18" hidden="1" customHeight="1">
      <c r="P43" t="s">
        <v>174</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reyxbhIJpQuAKRqjieRqDtfolIHmy/rmklNobI5oRoE6hn5ay6fwYCnbPq13r43eCPFjHBJqvcORnoQHlC9g8Q==" saltValue="JlfnA5Y96I2Lw+bEyaJT6Q==" spinCount="100000" sheet="1" objects="1" scenarios="1" selectLockedCells="1"/>
  <scenarios current="0" show="0">
    <scenario name="Nullstellung" locked="1" count="8" user="Hauß" comment="Erstellt von Hauß am 22.10.2021">
      <inputCells r="D5" val="" numFmtId="14"/>
      <inputCells r="D6" val="" numFmtId="14"/>
      <inputCells r="E9" val="" numFmtId="8"/>
      <inputCells r="E10" val="" numFmtId="180"/>
      <inputCells r="E13" val=""/>
      <inputCells r="E14" val="" numFmtId="10"/>
      <inputCells r="E15" val="" numFmtId="8"/>
      <inputCells r="D17" val="" numFmtId="172"/>
    </scenario>
    <scenario name="5-10-22" locked="1" count="8" user="Jörn Hauß" comment="Erstellt von Jörn Hauß am 23.09.2022">
      <inputCells r="D5" val="26298" numFmtId="14"/>
      <inputCells r="D6" val="44804" numFmtId="14"/>
      <inputCells r="E9" val="250" numFmtId="8"/>
      <inputCells r="E10" val="65" numFmtId="180"/>
      <inputCells r="E13" val=""/>
      <inputCells r="E14" val="0,01" numFmtId="10"/>
      <inputCells r="E15" val="55000" numFmtId="8"/>
      <inputCells r="D17" val="25203" numFmtId="172"/>
    </scenario>
  </scenarios>
  <dataConsolidate/>
  <mergeCells count="68">
    <mergeCell ref="C26:E26"/>
    <mergeCell ref="F26:H26"/>
    <mergeCell ref="T22:T23"/>
    <mergeCell ref="I19:J19"/>
    <mergeCell ref="I23:J23"/>
    <mergeCell ref="I25:J25"/>
    <mergeCell ref="I24:J24"/>
    <mergeCell ref="I26:J27"/>
    <mergeCell ref="B27:H27"/>
    <mergeCell ref="L18:O20"/>
    <mergeCell ref="I22:J22"/>
    <mergeCell ref="B24:H25"/>
    <mergeCell ref="I15:J15"/>
    <mergeCell ref="I9:J9"/>
    <mergeCell ref="I10:J10"/>
    <mergeCell ref="W19:Y19"/>
    <mergeCell ref="B20:H20"/>
    <mergeCell ref="W15:Z15"/>
    <mergeCell ref="W18:Y18"/>
    <mergeCell ref="B12:D12"/>
    <mergeCell ref="F10:H10"/>
    <mergeCell ref="F9:H9"/>
    <mergeCell ref="B14:D14"/>
    <mergeCell ref="F17:G17"/>
    <mergeCell ref="B16:F16"/>
    <mergeCell ref="I16:J16"/>
    <mergeCell ref="I18:J18"/>
    <mergeCell ref="I17:J17"/>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X13:X14"/>
    <mergeCell ref="L2:M2"/>
    <mergeCell ref="L3:M3"/>
    <mergeCell ref="V9:Y9"/>
    <mergeCell ref="X10:X11"/>
    <mergeCell ref="V12:Y12"/>
    <mergeCell ref="U8:U9"/>
    <mergeCell ref="T8:T9"/>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s>
  <phoneticPr fontId="52" type="noConversion"/>
  <conditionalFormatting sqref="B7 E7:H7">
    <cfRule type="expression" dxfId="352" priority="19">
      <formula>E_sex=2</formula>
    </cfRule>
    <cfRule type="expression" dxfId="351" priority="20">
      <formula>E_sex=1</formula>
    </cfRule>
  </conditionalFormatting>
  <conditionalFormatting sqref="B18:D18">
    <cfRule type="expression" dxfId="350" priority="59">
      <formula>AND(E_Abweichung&gt;5%,E_Abweichung&lt;10%)</formula>
    </cfRule>
    <cfRule type="expression" dxfId="349" priority="60">
      <formula>ABS(E_Abweichung)&lt;5%</formula>
    </cfRule>
    <cfRule type="expression" dxfId="348" priority="61">
      <formula>E_Abweichung&gt;0.05</formula>
    </cfRule>
  </conditionalFormatting>
  <conditionalFormatting sqref="B7:H7">
    <cfRule type="expression" dxfId="347" priority="7">
      <formula>E_sex=3</formula>
    </cfRule>
  </conditionalFormatting>
  <conditionalFormatting sqref="C26:E26">
    <cfRule type="expression" dxfId="346" priority="4">
      <formula>E_sex =2</formula>
    </cfRule>
    <cfRule type="expression" dxfId="345" priority="5">
      <formula>E_sex=1</formula>
    </cfRule>
  </conditionalFormatting>
  <conditionalFormatting sqref="C26:H26">
    <cfRule type="expression" dxfId="344" priority="1">
      <formula>E_sex=3</formula>
    </cfRule>
  </conditionalFormatting>
  <conditionalFormatting sqref="D17">
    <cfRule type="expression" dxfId="340" priority="17">
      <formula>E_sex=2</formula>
    </cfRule>
    <cfRule type="expression" dxfId="339" priority="18">
      <formula>E_sex=1</formula>
    </cfRule>
  </conditionalFormatting>
  <conditionalFormatting sqref="E5">
    <cfRule type="expression" dxfId="338" priority="25">
      <formula>AND($E$5="",$D$5="")</formula>
    </cfRule>
  </conditionalFormatting>
  <conditionalFormatting sqref="E6">
    <cfRule type="expression" dxfId="337" priority="24">
      <formula>AND($E$6="",$D$6="")</formula>
    </cfRule>
  </conditionalFormatting>
  <conditionalFormatting sqref="E9">
    <cfRule type="expression" dxfId="336" priority="10">
      <formula>E_Rente_Kapital=1</formula>
    </cfRule>
    <cfRule type="expression" dxfId="335" priority="27">
      <formula>AND(E9&gt;0,E9&lt;=$AA$2)</formula>
    </cfRule>
    <cfRule type="expression" dxfId="334" priority="31">
      <formula>E9=""</formula>
    </cfRule>
  </conditionalFormatting>
  <conditionalFormatting sqref="E13">
    <cfRule type="expression" dxfId="333" priority="52">
      <formula>AND(E_Rezins=0,E13=0)</formula>
    </cfRule>
  </conditionalFormatting>
  <conditionalFormatting sqref="E14">
    <cfRule type="expression" dxfId="332" priority="8">
      <formula>AND(E_Volldynamik,E14="")</formula>
    </cfRule>
  </conditionalFormatting>
  <conditionalFormatting sqref="F26:H26">
    <cfRule type="expression" dxfId="331" priority="2">
      <formula>E_sex=2</formula>
    </cfRule>
    <cfRule type="expression" dxfId="330" priority="6">
      <formula>E_sex=1</formula>
    </cfRule>
  </conditionalFormatting>
  <conditionalFormatting sqref="H15">
    <cfRule type="expression" dxfId="329" priority="26">
      <formula>IF(E_RenteKapital=2,AND($H$15&gt;0,$H$15&lt;=$AB$2))</formula>
    </cfRule>
  </conditionalFormatting>
  <conditionalFormatting sqref="H17">
    <cfRule type="expression" dxfId="328" priority="13" stopIfTrue="1">
      <formula>AND(E_Invalidität=TRUE,OR(E_Rentenalter&lt;60,E_Rentenalter&gt;67),$E$9&gt;0)</formula>
    </cfRule>
  </conditionalFormatting>
  <conditionalFormatting sqref="I2:J2">
    <cfRule type="expression" dxfId="327" priority="544">
      <formula>$D$6&gt;Enddatum</formula>
    </cfRule>
  </conditionalFormatting>
  <conditionalFormatting sqref="I8:J8">
    <cfRule type="expression" dxfId="326" priority="28">
      <formula>$I$8&lt;&gt;""</formula>
    </cfRule>
  </conditionalFormatting>
  <conditionalFormatting sqref="L4:M17">
    <cfRule type="expression" dxfId="325"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333375</xdr:colOff>
                    <xdr:row>10</xdr:row>
                    <xdr:rowOff>104775</xdr:rowOff>
                  </from>
                  <to>
                    <xdr:col>4</xdr:col>
                    <xdr:colOff>723900</xdr:colOff>
                    <xdr:row>10</xdr:row>
                    <xdr:rowOff>295275</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333375</xdr:colOff>
                    <xdr:row>11</xdr:row>
                    <xdr:rowOff>104775</xdr:rowOff>
                  </from>
                  <to>
                    <xdr:col>4</xdr:col>
                    <xdr:colOff>723900</xdr:colOff>
                    <xdr:row>11</xdr:row>
                    <xdr:rowOff>295275</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104775</xdr:rowOff>
                  </from>
                  <to>
                    <xdr:col>4</xdr:col>
                    <xdr:colOff>942975</xdr:colOff>
                    <xdr:row>6</xdr:row>
                    <xdr:rowOff>295275</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295275</xdr:colOff>
                    <xdr:row>6</xdr:row>
                    <xdr:rowOff>104775</xdr:rowOff>
                  </from>
                  <to>
                    <xdr:col>5</xdr:col>
                    <xdr:colOff>1038225</xdr:colOff>
                    <xdr:row>6</xdr:row>
                    <xdr:rowOff>304800</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828675</xdr:colOff>
                    <xdr:row>6</xdr:row>
                    <xdr:rowOff>28575</xdr:rowOff>
                  </from>
                  <to>
                    <xdr:col>7</xdr:col>
                    <xdr:colOff>1266825</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828675</xdr:colOff>
                    <xdr:row>7</xdr:row>
                    <xdr:rowOff>28575</xdr:rowOff>
                  </from>
                  <to>
                    <xdr:col>7</xdr:col>
                    <xdr:colOff>1266825</xdr:colOff>
                    <xdr:row>7</xdr:row>
                    <xdr:rowOff>333375</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790575</xdr:colOff>
                    <xdr:row>15</xdr:row>
                    <xdr:rowOff>38100</xdr:rowOff>
                  </from>
                  <to>
                    <xdr:col>7</xdr:col>
                    <xdr:colOff>847725</xdr:colOff>
                    <xdr:row>15</xdr:row>
                    <xdr:rowOff>295275</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66675</xdr:colOff>
                    <xdr:row>15</xdr:row>
                    <xdr:rowOff>66675</xdr:rowOff>
                  </from>
                  <to>
                    <xdr:col>6</xdr:col>
                    <xdr:colOff>219075</xdr:colOff>
                    <xdr:row>15</xdr:row>
                    <xdr:rowOff>295275</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295275</xdr:colOff>
                    <xdr:row>7</xdr:row>
                    <xdr:rowOff>66675</xdr:rowOff>
                  </from>
                  <to>
                    <xdr:col>7</xdr:col>
                    <xdr:colOff>228600</xdr:colOff>
                    <xdr:row>7</xdr:row>
                    <xdr:rowOff>295275</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66675</xdr:colOff>
                    <xdr:row>16</xdr:row>
                    <xdr:rowOff>66675</xdr:rowOff>
                  </from>
                  <to>
                    <xdr:col>7</xdr:col>
                    <xdr:colOff>47625</xdr:colOff>
                    <xdr:row>16</xdr:row>
                    <xdr:rowOff>295275</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66675</xdr:colOff>
                    <xdr:row>7</xdr:row>
                    <xdr:rowOff>104775</xdr:rowOff>
                  </from>
                  <to>
                    <xdr:col>5</xdr:col>
                    <xdr:colOff>523875</xdr:colOff>
                    <xdr:row>7</xdr:row>
                    <xdr:rowOff>257175</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28575</xdr:colOff>
                    <xdr:row>12</xdr:row>
                    <xdr:rowOff>66675</xdr:rowOff>
                  </from>
                  <to>
                    <xdr:col>8</xdr:col>
                    <xdr:colOff>828675</xdr:colOff>
                    <xdr:row>12</xdr:row>
                    <xdr:rowOff>295275</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28575</xdr:colOff>
                    <xdr:row>2</xdr:row>
                    <xdr:rowOff>66675</xdr:rowOff>
                  </from>
                  <to>
                    <xdr:col>10</xdr:col>
                    <xdr:colOff>0</xdr:colOff>
                    <xdr:row>2</xdr:row>
                    <xdr:rowOff>295275</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276225</xdr:colOff>
                    <xdr:row>6</xdr:row>
                    <xdr:rowOff>85725</xdr:rowOff>
                  </from>
                  <to>
                    <xdr:col>7</xdr:col>
                    <xdr:colOff>76200</xdr:colOff>
                    <xdr:row>6</xdr:row>
                    <xdr:rowOff>314325</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1057275</xdr:colOff>
                    <xdr:row>13</xdr:row>
                    <xdr:rowOff>66675</xdr:rowOff>
                  </from>
                  <to>
                    <xdr:col>3</xdr:col>
                    <xdr:colOff>638175</xdr:colOff>
                    <xdr:row>13</xdr:row>
                    <xdr:rowOff>295275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2:J33"/>
  <sheetViews>
    <sheetView showGridLines="0" showZeros="0" zoomScale="160" zoomScaleNormal="160" workbookViewId="0">
      <selection activeCell="B8" sqref="B8"/>
    </sheetView>
  </sheetViews>
  <sheetFormatPr baseColWidth="10" defaultColWidth="11" defaultRowHeight="14.25"/>
  <cols>
    <col min="1" max="1" width="11" customWidth="1"/>
    <col min="2" max="2" width="71" customWidth="1"/>
    <col min="3" max="3" width="14.625" customWidth="1"/>
    <col min="4" max="9" width="11" customWidth="1"/>
    <col min="10" max="10" width="11.625" customWidth="1"/>
  </cols>
  <sheetData>
    <row r="2" spans="1:10" ht="15" thickBot="1">
      <c r="A2" s="1923">
        <v>160</v>
      </c>
    </row>
    <row r="3" spans="1:10" ht="36.75" customHeight="1">
      <c r="B3" s="2721" t="s">
        <v>1179</v>
      </c>
      <c r="C3" s="2722"/>
    </row>
    <row r="4" spans="1:10" ht="36.75" customHeight="1" thickBot="1">
      <c r="B4" s="2723" t="s">
        <v>69</v>
      </c>
      <c r="C4" s="2724"/>
    </row>
    <row r="5" spans="1:10" ht="18" hidden="1">
      <c r="B5" s="2725" t="e">
        <f>Name &amp;IF(Aktennummer&lt;&gt;""," / " &amp; Aktennummer,"")&amp; IF(#NAME?&lt;&gt;""," / " &amp;#NAME?,"")</f>
        <v>#NAME?</v>
      </c>
      <c r="C5" s="2726"/>
    </row>
    <row r="6" spans="1:10" ht="18" hidden="1">
      <c r="B6" s="2727" t="e">
        <f>"Versorgungsträger: "&amp;VT_Name</f>
        <v>#NAME?</v>
      </c>
      <c r="C6" s="2728"/>
    </row>
    <row r="7" spans="1:10" ht="18" hidden="1">
      <c r="B7" s="2729" t="s">
        <v>67</v>
      </c>
      <c r="C7" s="2730"/>
    </row>
    <row r="8" spans="1:10" ht="15.75" thickBot="1">
      <c r="B8" s="70"/>
      <c r="C8" s="1340"/>
    </row>
    <row r="9" spans="1:10">
      <c r="B9" s="32" t="str">
        <f>"Geburtsdatum"&amp;IF(E_sex=1," des Versorungsinhabers (m): ","der Versorgungsinhaberin (w):")</f>
        <v xml:space="preserve">Geburtsdatum des Versorungsinhabers (m): </v>
      </c>
      <c r="C9" s="33" t="str">
        <f>IF(E_Datum1="","",E_Datum1)</f>
        <v/>
      </c>
    </row>
    <row r="10" spans="1:10">
      <c r="B10" s="6" t="str">
        <f>"Berechnungszeitpunkt:"</f>
        <v>Berechnungszeitpunkt:</v>
      </c>
      <c r="C10" s="7" t="str">
        <f>IF(E_BerDat1=0,"",E_BerDat1)</f>
        <v/>
      </c>
    </row>
    <row r="11" spans="1:10" ht="15">
      <c r="B11" s="8" t="str">
        <f>IF(E_RenteKapital=1,"zu verrentender Kapitalbetrag:","zu kapitalisierende Monatsrente:")</f>
        <v>zu kapitalisierende Monatsrente:</v>
      </c>
      <c r="C11" s="631" t="str">
        <f>IF(E_Kapital="","",E_Kapital)</f>
        <v/>
      </c>
    </row>
    <row r="12" spans="1:10">
      <c r="B12" s="6" t="str">
        <f>"Alter "&amp;CHOOSE(E_sex,"des Versorgungsinhabers","der Versorgungsinhaberin","der/des Versorgungsinhabenden")&amp;" im Berechnungszeitpunkt:"</f>
        <v>Alter des Versorgungsinhabers im Berechnungszeitpunkt:</v>
      </c>
      <c r="C12" s="9" t="str">
        <f>IFERROR(IF(E_BerDat1="","",E_Alter),"")</f>
        <v/>
      </c>
    </row>
    <row r="13" spans="1:10">
      <c r="B13" s="13" t="s">
        <v>66</v>
      </c>
      <c r="C13" s="10" t="str">
        <f>IFERROR(IF(E_BerDat1="","",IF(E_RezinsAngabe="",E_ReZins1,E_RezinsAngabe)),"")</f>
        <v/>
      </c>
    </row>
    <row r="14" spans="1:10">
      <c r="B14" s="13" t="s">
        <v>208</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5" thickBot="1">
      <c r="B20" s="14" t="str">
        <f>"Hinterbliebenenzuschlag"&amp;IF(E_sex=3," - unisex","")&amp;": "</f>
        <v xml:space="preserve">Hinterbliebenenzuschlag: </v>
      </c>
      <c r="C20" s="12" t="str">
        <f>IF(E_BerDat1="","",E_HFaktor)</f>
        <v/>
      </c>
    </row>
    <row r="21" spans="2:3" s="409" customFormat="1" ht="29.25" customHeight="1" thickTop="1" thickBot="1">
      <c r="B21" s="2264" t="str">
        <f>IF(E_RenteKapital=1,"zu erwartende Monatsrente:","Barwert der Rente:")</f>
        <v>Barwert der Rente:</v>
      </c>
      <c r="C21" s="2265">
        <f>E_Ergebnis</f>
        <v>0</v>
      </c>
    </row>
    <row r="22" spans="2:3" ht="29.25" hidden="1" customHeight="1" thickBot="1">
      <c r="B22" s="1160" t="str">
        <f>IF(E_BerDat2=0,"","Rentenerwartung der am "&amp;TEXT(E_BerDat2,"TT.MM.JJJJ")&amp;" geborenen auglber.Person bei Renteneintritt im Alter "&amp;TEXT(Berechnungstext!C15,"0,00"))</f>
        <v xml:space="preserve">Rentenerwartung der am  geborenen auglber.Person bei Renteneintritt im Alter </v>
      </c>
      <c r="C22" s="1161" t="str">
        <f>IF(ErgebnisABer&gt;0,ErgebnisABer,"")</f>
        <v/>
      </c>
    </row>
    <row r="23" spans="2:3" ht="25.5" customHeight="1">
      <c r="B23" s="2713" t="str">
        <f>IF(E_BerDat1="","",'Einzel-Bewertung'!B20)</f>
        <v/>
      </c>
      <c r="C23" s="2714"/>
    </row>
    <row r="24" spans="2:3" ht="25.5" customHeight="1">
      <c r="B24" s="2715"/>
      <c r="C24" s="2716"/>
    </row>
    <row r="25" spans="2:3">
      <c r="B25" s="2717" t="str">
        <f>IF(E_BerDat1="","",'Einzel-Bewertung'!B21)</f>
        <v/>
      </c>
      <c r="C25" s="2718"/>
    </row>
    <row r="26" spans="2:3" ht="15" thickBot="1">
      <c r="B26" s="2719"/>
      <c r="C26" s="2720"/>
    </row>
    <row r="27" spans="2:3">
      <c r="B27" s="661"/>
      <c r="C27" s="661"/>
    </row>
    <row r="33" ht="15" customHeight="1"/>
  </sheetData>
  <sheetProtection algorithmName="SHA-512" hashValue="SIQ1MDLNpE9L+Qnm1UKCBp0K5gOyA/EgROMp/K3hxwNYK9DsEs3fLkJo8fkSSNdm+YAnXtnaeBRI3N9LDpwuJg==" saltValue="qjt4X/cHoklchIPCA7v5eg==" spinCount="100000" sheet="1" selectLockedCells="1"/>
  <mergeCells count="7">
    <mergeCell ref="B23:C24"/>
    <mergeCell ref="B25:C26"/>
    <mergeCell ref="B3:C3"/>
    <mergeCell ref="B4:C4"/>
    <mergeCell ref="B5:C5"/>
    <mergeCell ref="B6:C6"/>
    <mergeCell ref="B7:C7"/>
  </mergeCells>
  <phoneticPr fontId="52"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D10" sqref="D10"/>
    </sheetView>
  </sheetViews>
  <sheetFormatPr baseColWidth="10" defaultColWidth="0" defaultRowHeight="14.25" zeroHeight="1"/>
  <cols>
    <col min="1" max="1" width="2.625" customWidth="1"/>
    <col min="2" max="3" width="11.625" style="4" customWidth="1"/>
    <col min="4" max="4" width="6.5" style="4" customWidth="1"/>
    <col min="5" max="5" width="11.375" style="263" customWidth="1"/>
    <col min="6" max="6" width="7.125" hidden="1" customWidth="1"/>
    <col min="7" max="7" width="6.625" style="4" customWidth="1"/>
    <col min="8" max="8" width="3.125" customWidth="1"/>
    <col min="9" max="20" width="5.625" hidden="1" customWidth="1"/>
    <col min="21" max="21" width="0.625" hidden="1" customWidth="1"/>
    <col min="22" max="23" width="12.625" customWidth="1"/>
    <col min="24" max="25" width="5.625" customWidth="1"/>
    <col min="26" max="26" width="4.625" customWidth="1"/>
    <col min="27" max="27" width="10.375" style="68" hidden="1" customWidth="1"/>
    <col min="28" max="28" width="2.625" customWidth="1"/>
    <col min="29" max="16384" width="10.5" hidden="1"/>
  </cols>
  <sheetData>
    <row r="1" spans="1:31" ht="15.75" thickBot="1">
      <c r="A1" s="25"/>
      <c r="B1" s="2771"/>
      <c r="C1" s="2771"/>
      <c r="D1" s="2771"/>
      <c r="E1" s="2771"/>
      <c r="F1" s="2771"/>
      <c r="G1" s="2771"/>
      <c r="H1" s="25"/>
      <c r="I1" s="25"/>
      <c r="J1" s="25"/>
      <c r="K1" s="25"/>
      <c r="L1" s="25"/>
      <c r="M1" s="25"/>
      <c r="N1" s="25"/>
      <c r="O1" s="25"/>
      <c r="P1" s="25"/>
      <c r="Q1" s="25"/>
      <c r="R1" s="25"/>
      <c r="S1" s="25"/>
      <c r="T1" s="25"/>
      <c r="U1" s="25"/>
      <c r="V1" s="25"/>
      <c r="W1" s="25"/>
      <c r="X1" s="25"/>
      <c r="Y1" s="25"/>
      <c r="Z1" s="25"/>
      <c r="AA1" s="2747"/>
      <c r="AB1" s="2748"/>
      <c r="AE1" t="s">
        <v>820</v>
      </c>
    </row>
    <row r="2" spans="1:31" ht="18">
      <c r="A2" s="18"/>
      <c r="B2" s="2762" t="s">
        <v>1889</v>
      </c>
      <c r="C2" s="2763"/>
      <c r="D2" s="2763"/>
      <c r="E2" s="2763"/>
      <c r="F2" s="2763"/>
      <c r="G2" s="2764"/>
      <c r="H2" s="315"/>
      <c r="I2" s="661"/>
      <c r="J2" s="661"/>
      <c r="K2" s="661"/>
      <c r="L2" s="662" t="s">
        <v>139</v>
      </c>
      <c r="M2" s="661"/>
      <c r="N2" s="661"/>
      <c r="O2" s="661"/>
      <c r="P2" s="661"/>
      <c r="Q2" s="661"/>
      <c r="R2" s="661"/>
      <c r="S2" s="661"/>
      <c r="T2" s="661"/>
      <c r="U2" s="661"/>
      <c r="V2" s="2734" t="s">
        <v>140</v>
      </c>
      <c r="W2" s="2735"/>
      <c r="X2" s="2735"/>
      <c r="Y2" s="2735"/>
      <c r="Z2" s="2735"/>
      <c r="AA2" s="2736"/>
      <c r="AB2" s="25"/>
      <c r="AE2" t="s">
        <v>821</v>
      </c>
    </row>
    <row r="3" spans="1:31" ht="14.85" customHeight="1" thickBot="1">
      <c r="A3" s="18"/>
      <c r="B3" s="2765" t="str">
        <f>IF(OR(Ehevon="",Ehebis=""),"Bitte zunächst die Ehezeit ausfüllen →→→→→→→→→→→→→→→→→→→→→","Ehezeit wird in rosa angezeigt")</f>
        <v>Bitte zunächst die Ehezeit ausfüllen →→→→→→→→→→→→→→→→→→→→→</v>
      </c>
      <c r="C3" s="2766"/>
      <c r="D3" s="2766"/>
      <c r="E3" s="2766"/>
      <c r="F3" s="2766"/>
      <c r="G3" s="2767"/>
      <c r="H3" s="2772" t="s">
        <v>827</v>
      </c>
      <c r="L3" s="656" t="s">
        <v>141</v>
      </c>
      <c r="V3" s="2737" t="s">
        <v>170</v>
      </c>
      <c r="W3" s="2738"/>
      <c r="X3" s="25"/>
      <c r="Y3" s="25"/>
      <c r="Z3" s="25"/>
      <c r="AA3" s="2087"/>
      <c r="AB3" s="25"/>
      <c r="AD3" s="15" t="b">
        <v>0</v>
      </c>
      <c r="AE3" t="s">
        <v>538</v>
      </c>
    </row>
    <row r="4" spans="1:31" ht="14.85" customHeight="1" thickBot="1">
      <c r="A4" s="18"/>
      <c r="B4" s="2768" t="s">
        <v>142</v>
      </c>
      <c r="C4" s="2769"/>
      <c r="D4" s="2769"/>
      <c r="E4" s="2769"/>
      <c r="F4" s="2769"/>
      <c r="G4" s="2770"/>
      <c r="H4" s="2772"/>
      <c r="L4" s="15">
        <v>2</v>
      </c>
      <c r="V4" s="1337"/>
      <c r="W4" s="1338"/>
      <c r="X4" s="2773"/>
      <c r="Y4" s="2774"/>
      <c r="Z4" s="2774"/>
      <c r="AA4" s="2775"/>
      <c r="AB4" s="25"/>
      <c r="AE4" s="15">
        <v>2</v>
      </c>
    </row>
    <row r="5" spans="1:31" ht="14.85" customHeight="1" thickBot="1">
      <c r="A5" s="18"/>
      <c r="B5" s="2749" t="s">
        <v>1587</v>
      </c>
      <c r="C5" s="2751" t="s">
        <v>1588</v>
      </c>
      <c r="D5" s="2753" t="s">
        <v>1589</v>
      </c>
      <c r="E5" s="2755" t="s">
        <v>1590</v>
      </c>
      <c r="F5" s="1209"/>
      <c r="G5" s="2757" t="str">
        <f>CHOOSE(BerBasis,"5. Tage","5. volle Monate","5. Jahre")</f>
        <v>5. volle Monate</v>
      </c>
      <c r="H5" s="1208"/>
      <c r="L5" s="15"/>
      <c r="V5" s="1211" t="str">
        <f>IF(V4&gt;0,V4,IF(Dat_EzA&lt;&gt;"",Dat_EzA,""))</f>
        <v/>
      </c>
      <c r="W5" s="1211" t="str">
        <f>IF(W4&gt;0,W4,IF(Dat_EzE&lt;&gt;"",Dat_EzE,""))</f>
        <v/>
      </c>
      <c r="X5" s="2776"/>
      <c r="Y5" s="2777"/>
      <c r="Z5" s="2777"/>
      <c r="AA5" s="2778"/>
      <c r="AB5" s="25"/>
      <c r="AE5" s="15"/>
    </row>
    <row r="6" spans="1:31" ht="14.85" customHeight="1" thickBot="1">
      <c r="A6" s="18"/>
      <c r="B6" s="2750"/>
      <c r="C6" s="2752"/>
      <c r="D6" s="2754"/>
      <c r="E6" s="2756"/>
      <c r="F6" s="1210"/>
      <c r="G6" s="2758"/>
      <c r="H6" s="25"/>
      <c r="L6">
        <f>IF(L4=1,360,365)</f>
        <v>365</v>
      </c>
      <c r="V6" s="2739" t="s">
        <v>1591</v>
      </c>
      <c r="W6" s="2740"/>
      <c r="X6" s="2759" t="str">
        <f>CHOOSE(BerBasis,"7. Tage","7. volle Monate","7. Jahre")</f>
        <v>7. volle Monate</v>
      </c>
      <c r="Y6" s="2760"/>
      <c r="Z6" s="2761"/>
      <c r="AA6" s="2088" t="str">
        <f>CHOOSE(BerBasis,"8. Tage","8. volle Monate","8. Jahre")</f>
        <v>8. volle Monate</v>
      </c>
      <c r="AB6" s="25"/>
      <c r="AC6" t="s">
        <v>822</v>
      </c>
      <c r="AD6" s="15" t="b">
        <v>0</v>
      </c>
    </row>
    <row r="7" spans="1:31" ht="15" thickTop="1">
      <c r="A7" s="18"/>
      <c r="B7" s="61"/>
      <c r="C7" s="63"/>
      <c r="D7" s="48"/>
      <c r="E7" s="1042" t="str">
        <f t="shared" ref="E7:E15" si="0">IFERROR(IF(C7+B7=0,"",IF(TZ_Faktor,CHOOSE(BerBasis,C7-B7+1,DATEDIF(B7,C7+1,"M"),YEARFRAC(B7,C7,3))*IF(D7&lt;&gt;0,D7,1),"")),"")</f>
        <v/>
      </c>
      <c r="F7" s="1042"/>
      <c r="G7" s="1415" t="str">
        <f t="shared" ref="G7:G26" si="1">IF(OR(B7="",C7=""),"",CHOOSE(BerBasis,C7-B7+1,DATEDIF(B7,C7+1,"M"),YEARFRAC(B7,C7,3)))</f>
        <v/>
      </c>
      <c r="H7" s="663"/>
      <c r="K7">
        <f t="shared" ref="K7:K26" si="2">IF(OR(B7="",C7=""),0,1)</f>
        <v>0</v>
      </c>
      <c r="V7" s="641" t="str">
        <f t="shared" ref="V7:V26" si="3">IF(OR(Ehevon="",Ehebis="",B7=""),"",IF(AND(Ehevon&gt;=B7,Ehevon&lt;=C7),Ehevon,IF(AND(Ehevon&lt;B7,Ehebis&gt;=B7),B7,"")))</f>
        <v/>
      </c>
      <c r="W7" s="642" t="str">
        <f>IFERROR(IF(OR(Ehevon="",Ehebis="",C7=""),"",IF(AND(Ehebis&lt;=C7,Ehebis&gt;=B7),Ehebis,IF(AND(Ehebis&gt;=C7,V7&lt;&gt;""),C7,""))),"")</f>
        <v/>
      </c>
      <c r="X7" s="2741" t="str">
        <f t="shared" ref="X7:X15" si="4">IF(OR(V7="",W7=""),"",CHOOSE(BerBasis,W7-V7+1,DATEDIF(V7,W7+1,"m"),YEARFRAC(V7,W7,3)))</f>
        <v/>
      </c>
      <c r="Y7" s="2742"/>
      <c r="Z7" s="2743"/>
      <c r="AA7" s="2089" t="str">
        <f t="shared" ref="AA7:AA15" si="5">IF(OR(V7="",W7=""),"",CHOOSE(BerBasis,W7-V7+1,DATEDIF(V7,W7+1,"m"),YEARFRAC(V7,W7,3)))</f>
        <v/>
      </c>
      <c r="AB7" s="25"/>
    </row>
    <row r="8" spans="1:31">
      <c r="A8" s="18"/>
      <c r="B8" s="62"/>
      <c r="C8" s="63"/>
      <c r="D8" s="49"/>
      <c r="E8" s="1042" t="str">
        <f t="shared" si="0"/>
        <v/>
      </c>
      <c r="F8" s="1042"/>
      <c r="G8" s="1043" t="str">
        <f t="shared" si="1"/>
        <v/>
      </c>
      <c r="H8" s="663"/>
      <c r="K8">
        <f t="shared" si="2"/>
        <v>0</v>
      </c>
      <c r="V8" s="641" t="str">
        <f t="shared" si="3"/>
        <v/>
      </c>
      <c r="W8" s="642" t="str">
        <f t="shared" ref="W8:W26" si="6">IF(OR(Ehevon="",Ehebis="",C8=""),"",IF(AND(Ehebis&lt;=C8,Ehebis&gt;=B8),Ehebis,IF(AND(Ehebis&gt;=C8,V8&lt;&gt;""),C8,"")))</f>
        <v/>
      </c>
      <c r="X8" s="2731" t="str">
        <f t="shared" si="4"/>
        <v/>
      </c>
      <c r="Y8" s="2732"/>
      <c r="Z8" s="2733"/>
      <c r="AA8" s="2089" t="str">
        <f t="shared" si="5"/>
        <v/>
      </c>
      <c r="AB8" s="25"/>
    </row>
    <row r="9" spans="1:31">
      <c r="A9" s="18"/>
      <c r="B9" s="62"/>
      <c r="C9" s="63"/>
      <c r="D9" s="39"/>
      <c r="E9" s="1042" t="str">
        <f t="shared" si="0"/>
        <v/>
      </c>
      <c r="F9" s="1042"/>
      <c r="G9" s="1043" t="str">
        <f t="shared" si="1"/>
        <v/>
      </c>
      <c r="H9" s="663"/>
      <c r="K9">
        <f t="shared" si="2"/>
        <v>0</v>
      </c>
      <c r="V9" s="641" t="str">
        <f t="shared" si="3"/>
        <v/>
      </c>
      <c r="W9" s="642" t="str">
        <f t="shared" si="6"/>
        <v/>
      </c>
      <c r="X9" s="2731" t="str">
        <f t="shared" si="4"/>
        <v/>
      </c>
      <c r="Y9" s="2732"/>
      <c r="Z9" s="2733"/>
      <c r="AA9" s="2089" t="str">
        <f t="shared" si="5"/>
        <v/>
      </c>
      <c r="AB9" s="26"/>
    </row>
    <row r="10" spans="1:31">
      <c r="A10" s="18"/>
      <c r="B10" s="62"/>
      <c r="C10" s="63"/>
      <c r="D10" s="49"/>
      <c r="E10" s="1042" t="str">
        <f t="shared" si="0"/>
        <v/>
      </c>
      <c r="F10" s="1042"/>
      <c r="G10" s="1043" t="str">
        <f t="shared" si="1"/>
        <v/>
      </c>
      <c r="H10" s="663"/>
      <c r="K10">
        <f t="shared" si="2"/>
        <v>0</v>
      </c>
      <c r="V10" s="641" t="str">
        <f t="shared" si="3"/>
        <v/>
      </c>
      <c r="W10" s="642" t="str">
        <f t="shared" si="6"/>
        <v/>
      </c>
      <c r="X10" s="2731" t="str">
        <f t="shared" si="4"/>
        <v/>
      </c>
      <c r="Y10" s="2732"/>
      <c r="Z10" s="2733"/>
      <c r="AA10" s="2089" t="str">
        <f t="shared" si="5"/>
        <v/>
      </c>
      <c r="AB10" s="26"/>
    </row>
    <row r="11" spans="1:31">
      <c r="A11" s="18"/>
      <c r="B11" s="62"/>
      <c r="C11" s="63"/>
      <c r="D11" s="49"/>
      <c r="E11" s="1042" t="str">
        <f t="shared" si="0"/>
        <v/>
      </c>
      <c r="F11" s="1042"/>
      <c r="G11" s="1043" t="str">
        <f t="shared" si="1"/>
        <v/>
      </c>
      <c r="H11" s="663"/>
      <c r="K11">
        <f t="shared" si="2"/>
        <v>0</v>
      </c>
      <c r="V11" s="641" t="str">
        <f t="shared" si="3"/>
        <v/>
      </c>
      <c r="W11" s="642" t="str">
        <f t="shared" si="6"/>
        <v/>
      </c>
      <c r="X11" s="2731" t="str">
        <f t="shared" si="4"/>
        <v/>
      </c>
      <c r="Y11" s="2732"/>
      <c r="Z11" s="2733"/>
      <c r="AA11" s="2089" t="str">
        <f t="shared" si="5"/>
        <v/>
      </c>
      <c r="AB11" s="40"/>
    </row>
    <row r="12" spans="1:31">
      <c r="A12" s="18"/>
      <c r="B12" s="62"/>
      <c r="C12" s="63"/>
      <c r="D12" s="49"/>
      <c r="E12" s="1042" t="str">
        <f t="shared" si="0"/>
        <v/>
      </c>
      <c r="F12" s="1044"/>
      <c r="G12" s="1043" t="str">
        <f t="shared" si="1"/>
        <v/>
      </c>
      <c r="H12" s="663"/>
      <c r="K12">
        <f t="shared" si="2"/>
        <v>0</v>
      </c>
      <c r="V12" s="28" t="str">
        <f t="shared" si="3"/>
        <v/>
      </c>
      <c r="W12" s="35" t="str">
        <f t="shared" si="6"/>
        <v/>
      </c>
      <c r="X12" s="2731" t="str">
        <f t="shared" si="4"/>
        <v/>
      </c>
      <c r="Y12" s="2732"/>
      <c r="Z12" s="2733"/>
      <c r="AA12" s="2089" t="str">
        <f t="shared" si="5"/>
        <v/>
      </c>
      <c r="AB12" s="25"/>
    </row>
    <row r="13" spans="1:31">
      <c r="A13" s="18"/>
      <c r="B13" s="62"/>
      <c r="C13" s="63"/>
      <c r="D13" s="49"/>
      <c r="E13" s="1042" t="str">
        <f t="shared" si="0"/>
        <v/>
      </c>
      <c r="F13" s="1044"/>
      <c r="G13" s="1043" t="str">
        <f t="shared" si="1"/>
        <v/>
      </c>
      <c r="H13" s="663"/>
      <c r="K13">
        <f t="shared" si="2"/>
        <v>0</v>
      </c>
      <c r="V13" s="28" t="str">
        <f t="shared" si="3"/>
        <v/>
      </c>
      <c r="W13" s="35" t="str">
        <f t="shared" si="6"/>
        <v/>
      </c>
      <c r="X13" s="2731" t="str">
        <f t="shared" si="4"/>
        <v/>
      </c>
      <c r="Y13" s="2732"/>
      <c r="Z13" s="2733"/>
      <c r="AA13" s="2089" t="str">
        <f t="shared" si="5"/>
        <v/>
      </c>
      <c r="AB13" s="25"/>
    </row>
    <row r="14" spans="1:31">
      <c r="A14" s="18"/>
      <c r="B14" s="62"/>
      <c r="C14" s="63"/>
      <c r="D14" s="49"/>
      <c r="E14" s="1042" t="str">
        <f t="shared" si="0"/>
        <v/>
      </c>
      <c r="F14" s="1044"/>
      <c r="G14" s="1043" t="str">
        <f t="shared" si="1"/>
        <v/>
      </c>
      <c r="H14" s="663"/>
      <c r="K14">
        <f t="shared" si="2"/>
        <v>0</v>
      </c>
      <c r="V14" s="28" t="str">
        <f t="shared" si="3"/>
        <v/>
      </c>
      <c r="W14" s="35" t="str">
        <f t="shared" si="6"/>
        <v/>
      </c>
      <c r="X14" s="2731" t="str">
        <f t="shared" si="4"/>
        <v/>
      </c>
      <c r="Y14" s="2732"/>
      <c r="Z14" s="2733"/>
      <c r="AA14" s="2089" t="str">
        <f t="shared" si="5"/>
        <v/>
      </c>
      <c r="AB14" s="25"/>
    </row>
    <row r="15" spans="1:31" ht="15" thickBot="1">
      <c r="A15" s="18"/>
      <c r="B15" s="62"/>
      <c r="C15" s="63"/>
      <c r="D15" s="49"/>
      <c r="E15" s="1042" t="str">
        <f t="shared" si="0"/>
        <v/>
      </c>
      <c r="F15" s="1044"/>
      <c r="G15" s="1043" t="str">
        <f t="shared" si="1"/>
        <v/>
      </c>
      <c r="H15" s="663"/>
      <c r="K15">
        <f t="shared" si="2"/>
        <v>0</v>
      </c>
      <c r="V15" s="28" t="str">
        <f t="shared" si="3"/>
        <v/>
      </c>
      <c r="W15" s="35" t="str">
        <f t="shared" si="6"/>
        <v/>
      </c>
      <c r="X15" s="2731" t="str">
        <f t="shared" si="4"/>
        <v/>
      </c>
      <c r="Y15" s="2732"/>
      <c r="Z15" s="2733"/>
      <c r="AA15" s="2089" t="str">
        <f t="shared" si="5"/>
        <v/>
      </c>
      <c r="AB15" s="25"/>
    </row>
    <row r="16" spans="1:31" hidden="1">
      <c r="A16" s="18"/>
      <c r="B16" s="36"/>
      <c r="C16" s="37"/>
      <c r="D16" s="38"/>
      <c r="E16" s="1042" t="str">
        <f t="shared" ref="E16:E26" si="7">IF(C16+B16=0,"",IF(TZ_Faktor,CHOOSE(BerBasis,C16-B16+1,DATEDIF(B16,C16+1,"M"),YEARFRAC(B16,C16,3))*IF(D16&lt;&gt;0,D16,1),""))</f>
        <v/>
      </c>
      <c r="F16" s="1044"/>
      <c r="G16" s="1043" t="str">
        <f t="shared" si="1"/>
        <v/>
      </c>
      <c r="H16" s="663"/>
      <c r="K16">
        <f t="shared" si="2"/>
        <v>0</v>
      </c>
      <c r="V16" s="28" t="str">
        <f t="shared" si="3"/>
        <v/>
      </c>
      <c r="W16" s="35" t="str">
        <f t="shared" si="6"/>
        <v/>
      </c>
      <c r="X16" s="1048" t="str">
        <f t="shared" ref="X16:X26" si="8">IF(OR(V16="",Tage),"",ROUND(YEARFRAC(V16,W16+1,1),3)*IF(D16&gt;0,D16,1))</f>
        <v/>
      </c>
      <c r="Y16" s="1049"/>
      <c r="Z16" s="1050"/>
      <c r="AA16" s="2089" t="str">
        <f t="shared" ref="AA16:AA26" si="9">IF(OR(V16="",Tage),"",DATEDIF(V16,W16+1,"m")*IF(D16&gt;0,D16,1))</f>
        <v/>
      </c>
      <c r="AB16" s="25"/>
    </row>
    <row r="17" spans="1:30" hidden="1">
      <c r="A17" s="18"/>
      <c r="B17" s="36"/>
      <c r="C17" s="37"/>
      <c r="D17" s="38"/>
      <c r="E17" s="1042" t="str">
        <f t="shared" si="7"/>
        <v/>
      </c>
      <c r="F17" s="1044"/>
      <c r="G17" s="1043" t="str">
        <f t="shared" si="1"/>
        <v/>
      </c>
      <c r="H17" s="663"/>
      <c r="K17">
        <f t="shared" si="2"/>
        <v>0</v>
      </c>
      <c r="V17" s="28" t="str">
        <f t="shared" si="3"/>
        <v/>
      </c>
      <c r="W17" s="35" t="str">
        <f t="shared" si="6"/>
        <v/>
      </c>
      <c r="X17" s="1048" t="str">
        <f t="shared" si="8"/>
        <v/>
      </c>
      <c r="Y17" s="1049"/>
      <c r="Z17" s="1050"/>
      <c r="AA17" s="2089" t="str">
        <f t="shared" si="9"/>
        <v/>
      </c>
      <c r="AB17" s="25"/>
    </row>
    <row r="18" spans="1:30" hidden="1">
      <c r="A18" s="18"/>
      <c r="B18" s="36"/>
      <c r="C18" s="37"/>
      <c r="D18" s="38"/>
      <c r="E18" s="1042" t="str">
        <f t="shared" si="7"/>
        <v/>
      </c>
      <c r="F18" s="1044"/>
      <c r="G18" s="1043" t="str">
        <f t="shared" si="1"/>
        <v/>
      </c>
      <c r="H18" s="663"/>
      <c r="K18">
        <f t="shared" si="2"/>
        <v>0</v>
      </c>
      <c r="V18" s="28" t="str">
        <f t="shared" si="3"/>
        <v/>
      </c>
      <c r="W18" s="35" t="str">
        <f t="shared" si="6"/>
        <v/>
      </c>
      <c r="X18" s="1048" t="str">
        <f t="shared" si="8"/>
        <v/>
      </c>
      <c r="Y18" s="1049"/>
      <c r="Z18" s="1050"/>
      <c r="AA18" s="2089" t="str">
        <f t="shared" si="9"/>
        <v/>
      </c>
      <c r="AB18" s="25"/>
    </row>
    <row r="19" spans="1:30" hidden="1">
      <c r="A19" s="25"/>
      <c r="B19" s="36"/>
      <c r="C19" s="37"/>
      <c r="D19" s="38"/>
      <c r="E19" s="1042" t="str">
        <f t="shared" si="7"/>
        <v/>
      </c>
      <c r="F19" s="1044"/>
      <c r="G19" s="1043" t="str">
        <f t="shared" si="1"/>
        <v/>
      </c>
      <c r="H19" s="663"/>
      <c r="K19">
        <f t="shared" si="2"/>
        <v>0</v>
      </c>
      <c r="V19" s="28" t="str">
        <f t="shared" si="3"/>
        <v/>
      </c>
      <c r="W19" s="35" t="str">
        <f t="shared" si="6"/>
        <v/>
      </c>
      <c r="X19" s="1048" t="str">
        <f t="shared" si="8"/>
        <v/>
      </c>
      <c r="Y19" s="1049"/>
      <c r="Z19" s="1050"/>
      <c r="AA19" s="2089" t="str">
        <f t="shared" si="9"/>
        <v/>
      </c>
      <c r="AB19" s="25"/>
    </row>
    <row r="20" spans="1:30" hidden="1">
      <c r="A20" s="25"/>
      <c r="B20" s="36"/>
      <c r="C20" s="37"/>
      <c r="D20" s="38"/>
      <c r="E20" s="1042" t="str">
        <f t="shared" si="7"/>
        <v/>
      </c>
      <c r="F20" s="1044"/>
      <c r="G20" s="1043" t="str">
        <f t="shared" si="1"/>
        <v/>
      </c>
      <c r="H20" s="663"/>
      <c r="K20">
        <f t="shared" si="2"/>
        <v>0</v>
      </c>
      <c r="V20" s="28" t="str">
        <f t="shared" si="3"/>
        <v/>
      </c>
      <c r="W20" s="35" t="str">
        <f t="shared" si="6"/>
        <v/>
      </c>
      <c r="X20" s="1048" t="str">
        <f t="shared" si="8"/>
        <v/>
      </c>
      <c r="Y20" s="1049"/>
      <c r="Z20" s="1050"/>
      <c r="AA20" s="2089" t="str">
        <f t="shared" si="9"/>
        <v/>
      </c>
      <c r="AB20" s="25"/>
    </row>
    <row r="21" spans="1:30" hidden="1">
      <c r="A21" s="25"/>
      <c r="B21" s="36"/>
      <c r="C21" s="37"/>
      <c r="D21" s="38"/>
      <c r="E21" s="1042" t="str">
        <f t="shared" si="7"/>
        <v/>
      </c>
      <c r="F21" s="1044"/>
      <c r="G21" s="1043" t="str">
        <f t="shared" si="1"/>
        <v/>
      </c>
      <c r="H21" s="663"/>
      <c r="K21">
        <f t="shared" si="2"/>
        <v>0</v>
      </c>
      <c r="V21" s="28" t="str">
        <f t="shared" si="3"/>
        <v/>
      </c>
      <c r="W21" s="35" t="str">
        <f t="shared" si="6"/>
        <v/>
      </c>
      <c r="X21" s="1048" t="str">
        <f t="shared" si="8"/>
        <v/>
      </c>
      <c r="Y21" s="1049"/>
      <c r="Z21" s="1050"/>
      <c r="AA21" s="2089" t="str">
        <f t="shared" si="9"/>
        <v/>
      </c>
      <c r="AB21" s="25"/>
    </row>
    <row r="22" spans="1:30" hidden="1">
      <c r="A22" s="25"/>
      <c r="B22" s="36"/>
      <c r="C22" s="37"/>
      <c r="D22" s="38"/>
      <c r="E22" s="1042" t="str">
        <f t="shared" si="7"/>
        <v/>
      </c>
      <c r="F22" s="1044"/>
      <c r="G22" s="1043" t="str">
        <f t="shared" si="1"/>
        <v/>
      </c>
      <c r="H22" s="663"/>
      <c r="K22">
        <f t="shared" si="2"/>
        <v>0</v>
      </c>
      <c r="V22" s="28" t="str">
        <f t="shared" si="3"/>
        <v/>
      </c>
      <c r="W22" s="35" t="str">
        <f t="shared" si="6"/>
        <v/>
      </c>
      <c r="X22" s="1048" t="str">
        <f t="shared" si="8"/>
        <v/>
      </c>
      <c r="Y22" s="1049"/>
      <c r="Z22" s="1050"/>
      <c r="AA22" s="2089" t="str">
        <f t="shared" si="9"/>
        <v/>
      </c>
      <c r="AB22" s="25"/>
    </row>
    <row r="23" spans="1:30" hidden="1">
      <c r="A23" s="25"/>
      <c r="B23" s="36"/>
      <c r="C23" s="37"/>
      <c r="D23" s="38"/>
      <c r="E23" s="1042" t="str">
        <f t="shared" si="7"/>
        <v/>
      </c>
      <c r="F23" s="1044"/>
      <c r="G23" s="1043" t="str">
        <f t="shared" si="1"/>
        <v/>
      </c>
      <c r="H23" s="663"/>
      <c r="K23">
        <f t="shared" si="2"/>
        <v>0</v>
      </c>
      <c r="V23" s="28" t="str">
        <f t="shared" si="3"/>
        <v/>
      </c>
      <c r="W23" s="35" t="str">
        <f t="shared" si="6"/>
        <v/>
      </c>
      <c r="X23" s="1048" t="str">
        <f t="shared" si="8"/>
        <v/>
      </c>
      <c r="Y23" s="1049"/>
      <c r="Z23" s="1050"/>
      <c r="AA23" s="2089" t="str">
        <f t="shared" si="9"/>
        <v/>
      </c>
      <c r="AB23" s="25"/>
    </row>
    <row r="24" spans="1:30" hidden="1">
      <c r="A24" s="25"/>
      <c r="B24" s="36"/>
      <c r="C24" s="37"/>
      <c r="D24" s="38"/>
      <c r="E24" s="1042" t="str">
        <f t="shared" si="7"/>
        <v/>
      </c>
      <c r="F24" s="1044"/>
      <c r="G24" s="1043" t="str">
        <f t="shared" si="1"/>
        <v/>
      </c>
      <c r="H24" s="663"/>
      <c r="K24">
        <f t="shared" si="2"/>
        <v>0</v>
      </c>
      <c r="V24" s="28" t="str">
        <f t="shared" si="3"/>
        <v/>
      </c>
      <c r="W24" s="35" t="str">
        <f t="shared" si="6"/>
        <v/>
      </c>
      <c r="X24" s="1048" t="str">
        <f t="shared" si="8"/>
        <v/>
      </c>
      <c r="Y24" s="1049"/>
      <c r="Z24" s="1050"/>
      <c r="AA24" s="2089" t="str">
        <f t="shared" si="9"/>
        <v/>
      </c>
      <c r="AB24" s="41"/>
    </row>
    <row r="25" spans="1:30" hidden="1">
      <c r="A25" s="25"/>
      <c r="B25" s="42"/>
      <c r="C25" s="43"/>
      <c r="D25" s="44"/>
      <c r="E25" s="1042" t="str">
        <f t="shared" si="7"/>
        <v/>
      </c>
      <c r="F25" s="1044"/>
      <c r="G25" s="1043" t="str">
        <f t="shared" si="1"/>
        <v/>
      </c>
      <c r="H25" s="663"/>
      <c r="K25">
        <f t="shared" si="2"/>
        <v>0</v>
      </c>
      <c r="V25" s="28" t="str">
        <f t="shared" si="3"/>
        <v/>
      </c>
      <c r="W25" s="35" t="str">
        <f t="shared" si="6"/>
        <v/>
      </c>
      <c r="X25" s="1048" t="str">
        <f t="shared" si="8"/>
        <v/>
      </c>
      <c r="Y25" s="1049"/>
      <c r="Z25" s="1050"/>
      <c r="AA25" s="2089" t="str">
        <f t="shared" si="9"/>
        <v/>
      </c>
      <c r="AB25" s="25"/>
    </row>
    <row r="26" spans="1:30" ht="15" hidden="1" thickBot="1">
      <c r="A26" s="25"/>
      <c r="B26" s="45"/>
      <c r="C26" s="46"/>
      <c r="D26" s="47"/>
      <c r="E26" s="1042" t="str">
        <f t="shared" si="7"/>
        <v/>
      </c>
      <c r="F26" s="1044"/>
      <c r="G26" s="1043" t="str">
        <f t="shared" si="1"/>
        <v/>
      </c>
      <c r="H26" s="663"/>
      <c r="K26">
        <f t="shared" si="2"/>
        <v>0</v>
      </c>
      <c r="V26" s="28" t="str">
        <f t="shared" si="3"/>
        <v/>
      </c>
      <c r="W26" s="35" t="str">
        <f t="shared" si="6"/>
        <v/>
      </c>
      <c r="X26" s="1048" t="str">
        <f t="shared" si="8"/>
        <v/>
      </c>
      <c r="Y26" s="1049"/>
      <c r="Z26" s="1050"/>
      <c r="AA26" s="2089" t="str">
        <f t="shared" si="9"/>
        <v/>
      </c>
      <c r="AB26" s="25"/>
    </row>
    <row r="27" spans="1:30" ht="20.85" customHeight="1" thickTop="1" thickBot="1">
      <c r="A27" s="25"/>
      <c r="B27" s="2789" t="s">
        <v>143</v>
      </c>
      <c r="C27" s="2790"/>
      <c r="D27" s="2791"/>
      <c r="E27" s="1045" t="str">
        <f>IF(SUM(E7:E26)=0,"",SUM(E7:E26))</f>
        <v/>
      </c>
      <c r="F27" s="2802"/>
      <c r="G27" s="2805" t="str">
        <f>IF(SUM(G7:G26)=0,"",SUM(G7:G26))</f>
        <v/>
      </c>
      <c r="H27" s="25"/>
      <c r="Q27" t="e">
        <f>+X27/G27</f>
        <v>#VALUE!</v>
      </c>
      <c r="V27" s="2808" t="s">
        <v>143</v>
      </c>
      <c r="W27" s="2809"/>
      <c r="X27" s="2810" t="str">
        <f>IF(SUM(X7:X26)&gt;0,SUM(X7:X26),"")</f>
        <v/>
      </c>
      <c r="Y27" s="2811"/>
      <c r="Z27" s="2812"/>
      <c r="AA27" s="2090" t="str">
        <f>IF(SUM(AA7:AA26)=0,"",SUM(AA7:AA26))</f>
        <v/>
      </c>
      <c r="AB27" s="25"/>
    </row>
    <row r="28" spans="1:30" ht="17.100000000000001" customHeight="1">
      <c r="A28" s="25"/>
      <c r="B28" s="2792"/>
      <c r="C28" s="2793"/>
      <c r="D28" s="2794"/>
      <c r="E28" s="1046" t="str">
        <f>IF(BerBasis=3,"Ruhegehaltsquote","")</f>
        <v/>
      </c>
      <c r="F28" s="2803"/>
      <c r="G28" s="2806"/>
      <c r="H28" s="25"/>
      <c r="V28" s="2816" t="str">
        <f>"9. Ehezeitanteil: "&amp;IFERROR(TEXT(AA27,"#.##0,00")&amp;" / "&amp;TEXT(G27,"#.##0,00")&amp;" = "&amp;TEXT(X27/G27,"0,00%"),"")</f>
        <v xml:space="preserve">9. Ehezeitanteil: </v>
      </c>
      <c r="W28" s="2817"/>
      <c r="X28" s="2817"/>
      <c r="Y28" s="2817"/>
      <c r="Z28" s="2818"/>
      <c r="AA28" s="2744"/>
      <c r="AB28" s="25"/>
      <c r="AC28" t="s">
        <v>172</v>
      </c>
      <c r="AD28" s="15" t="b">
        <v>1</v>
      </c>
    </row>
    <row r="29" spans="1:30" ht="17.100000000000001" customHeight="1" thickBot="1">
      <c r="A29" s="25"/>
      <c r="B29" s="2795"/>
      <c r="C29" s="2796"/>
      <c r="D29" s="2797"/>
      <c r="E29" s="1047" t="str">
        <f>IFERROR(IF(BerBasis=3,IF(71.75/40*E27/100&gt;0.7175,0.7175,71.75/40*E27/100),""),"")</f>
        <v/>
      </c>
      <c r="F29" s="2804"/>
      <c r="G29" s="2807"/>
      <c r="H29" s="25"/>
      <c r="V29" s="2800" t="s">
        <v>1850</v>
      </c>
      <c r="W29" s="2801"/>
      <c r="X29" s="2819"/>
      <c r="Y29" s="2820"/>
      <c r="Z29" s="2821"/>
      <c r="AA29" s="2745"/>
      <c r="AB29" s="25"/>
    </row>
    <row r="30" spans="1:30" ht="17.100000000000001" customHeight="1">
      <c r="A30" s="25"/>
      <c r="B30" s="2783" t="s">
        <v>144</v>
      </c>
      <c r="C30" s="2784"/>
      <c r="D30" s="2784"/>
      <c r="E30" s="2784"/>
      <c r="F30" s="2784"/>
      <c r="G30" s="2784"/>
      <c r="H30" s="25"/>
      <c r="I30" s="25"/>
      <c r="J30" s="25"/>
      <c r="K30" s="25"/>
      <c r="L30" s="25"/>
      <c r="M30" s="25"/>
      <c r="N30" s="25"/>
      <c r="O30" s="25"/>
      <c r="P30" s="25"/>
      <c r="Q30" s="25"/>
      <c r="R30" s="25"/>
      <c r="S30" s="25"/>
      <c r="T30" s="25"/>
      <c r="U30" s="25"/>
      <c r="V30" s="2800" t="s">
        <v>1851</v>
      </c>
      <c r="W30" s="2801"/>
      <c r="X30" s="2822">
        <f>IFERROR(+X27/G27*X29,0)</f>
        <v>0</v>
      </c>
      <c r="Y30" s="2823"/>
      <c r="Z30" s="2824"/>
      <c r="AA30" s="2745"/>
      <c r="AB30" s="25"/>
    </row>
    <row r="31" spans="1:30" ht="17.100000000000001" customHeight="1">
      <c r="A31" s="25"/>
      <c r="B31" s="2785"/>
      <c r="C31" s="2786"/>
      <c r="D31" s="2786"/>
      <c r="E31" s="2786"/>
      <c r="F31" s="2786"/>
      <c r="G31" s="2786"/>
      <c r="H31" s="25"/>
      <c r="I31" s="25"/>
      <c r="J31" s="25"/>
      <c r="K31" s="25"/>
      <c r="L31" s="25"/>
      <c r="M31" s="25"/>
      <c r="N31" s="25"/>
      <c r="O31" s="25"/>
      <c r="P31" s="25"/>
      <c r="Q31" s="25"/>
      <c r="R31" s="25"/>
      <c r="S31" s="25"/>
      <c r="T31" s="25"/>
      <c r="U31" s="25"/>
      <c r="V31" s="2800" t="s">
        <v>2012</v>
      </c>
      <c r="W31" s="2801"/>
      <c r="X31" s="2779"/>
      <c r="Y31" s="2780"/>
      <c r="Z31" s="2781"/>
      <c r="AA31" s="2746"/>
      <c r="AB31" s="25"/>
    </row>
    <row r="32" spans="1:30" ht="17.100000000000001" customHeight="1" thickBot="1">
      <c r="A32" s="25"/>
      <c r="B32" s="2787"/>
      <c r="C32" s="2788"/>
      <c r="D32" s="2788"/>
      <c r="E32" s="2788"/>
      <c r="F32" s="2788"/>
      <c r="G32" s="2788"/>
      <c r="H32" s="316"/>
      <c r="I32" s="316"/>
      <c r="J32" s="316"/>
      <c r="K32" s="316"/>
      <c r="L32" s="316"/>
      <c r="M32" s="316"/>
      <c r="N32" s="316"/>
      <c r="O32" s="316"/>
      <c r="P32" s="316"/>
      <c r="Q32" s="316"/>
      <c r="R32" s="316"/>
      <c r="S32" s="316"/>
      <c r="T32" s="316"/>
      <c r="U32" s="316"/>
      <c r="V32" s="2798" t="s">
        <v>1592</v>
      </c>
      <c r="W32" s="2799"/>
      <c r="X32" s="2813">
        <f>IFERROR(IF(X31=0,X30,+X31*X29),"")</f>
        <v>0</v>
      </c>
      <c r="Y32" s="2814"/>
      <c r="Z32" s="2815"/>
      <c r="AA32" s="2092"/>
      <c r="AB32" s="25"/>
    </row>
    <row r="33" spans="1:28">
      <c r="A33" s="25"/>
      <c r="B33" s="2782" t="s">
        <v>145</v>
      </c>
      <c r="C33" s="2782"/>
      <c r="D33" s="2782"/>
      <c r="E33" s="2782"/>
      <c r="F33" s="2782"/>
      <c r="G33" s="2782"/>
      <c r="H33" s="2782"/>
      <c r="I33" s="2782"/>
      <c r="J33" s="2782"/>
      <c r="K33" s="2782"/>
      <c r="L33" s="2782"/>
      <c r="M33" s="2782"/>
      <c r="N33" s="2782"/>
      <c r="O33" s="2782"/>
      <c r="P33" s="2782"/>
      <c r="Q33" s="2782"/>
      <c r="R33" s="2782"/>
      <c r="S33" s="2782"/>
      <c r="T33" s="2782"/>
      <c r="U33" s="2782"/>
      <c r="V33" s="2782"/>
      <c r="W33" s="2782"/>
      <c r="X33" s="2782"/>
      <c r="Y33" s="2782"/>
      <c r="Z33" s="2782"/>
      <c r="AA33" s="2782"/>
      <c r="AB33" s="25"/>
    </row>
    <row r="34" spans="1:28" hidden="1">
      <c r="B34" s="646"/>
      <c r="C34" s="646"/>
      <c r="D34" s="646"/>
      <c r="E34" s="647"/>
      <c r="F34" s="646"/>
      <c r="G34" s="648"/>
    </row>
    <row r="35" spans="1:28" hidden="1">
      <c r="B35" s="649"/>
      <c r="C35" s="649"/>
      <c r="D35" s="649"/>
      <c r="E35" s="650"/>
      <c r="F35" s="651"/>
    </row>
    <row r="36" spans="1:28" hidden="1">
      <c r="B36" s="649"/>
      <c r="C36" s="649"/>
      <c r="D36" s="649"/>
      <c r="E36" s="650"/>
      <c r="F36" s="651"/>
    </row>
    <row r="37" spans="1:28" hidden="1">
      <c r="B37" s="649"/>
      <c r="C37" s="649"/>
      <c r="D37" s="649"/>
      <c r="E37" s="650"/>
      <c r="F37" s="651"/>
    </row>
    <row r="38" spans="1:28" hidden="1">
      <c r="B38" s="649"/>
      <c r="C38" s="649"/>
      <c r="D38" s="649"/>
      <c r="E38" s="650"/>
      <c r="F38" s="651"/>
    </row>
    <row r="39" spans="1:28" hidden="1">
      <c r="B39" s="649"/>
      <c r="C39" s="649"/>
      <c r="D39" s="649"/>
      <c r="E39" s="650"/>
      <c r="F39" s="651"/>
    </row>
    <row r="40" spans="1:28" hidden="1">
      <c r="B40" s="649"/>
      <c r="C40" s="649"/>
      <c r="D40" s="649"/>
      <c r="E40" s="650"/>
      <c r="F40" s="651"/>
    </row>
    <row r="41" spans="1:28" hidden="1">
      <c r="B41" s="649"/>
      <c r="C41" s="649"/>
      <c r="D41" s="649"/>
      <c r="E41" s="650"/>
      <c r="F41" s="651"/>
    </row>
    <row r="42" spans="1:28" hidden="1">
      <c r="B42" s="649"/>
      <c r="C42" s="649"/>
      <c r="D42" s="649"/>
      <c r="E42" s="650"/>
      <c r="F42" s="651"/>
    </row>
    <row r="43" spans="1:28" hidden="1">
      <c r="B43" s="649"/>
      <c r="C43" s="649"/>
      <c r="D43" s="649"/>
      <c r="E43" s="650"/>
      <c r="F43" s="651"/>
    </row>
    <row r="44" spans="1:28" hidden="1">
      <c r="B44" s="649"/>
      <c r="C44" s="649"/>
      <c r="D44" s="649"/>
      <c r="E44" s="650"/>
      <c r="F44" s="651"/>
    </row>
    <row r="45" spans="1:28" hidden="1">
      <c r="B45" s="649"/>
      <c r="C45" s="649"/>
      <c r="D45" s="649"/>
      <c r="E45" s="650"/>
      <c r="F45" s="651"/>
    </row>
    <row r="46" spans="1:28" hidden="1">
      <c r="B46" s="649"/>
      <c r="C46" s="649"/>
      <c r="D46" s="649"/>
      <c r="E46" s="650"/>
      <c r="F46" s="651"/>
    </row>
    <row r="47" spans="1:28" hidden="1">
      <c r="B47" s="649"/>
      <c r="C47" s="649"/>
      <c r="D47" s="649"/>
      <c r="E47" s="650"/>
      <c r="F47" s="651"/>
    </row>
    <row r="48" spans="1:28" hidden="1">
      <c r="B48" s="649"/>
      <c r="C48" s="649"/>
      <c r="D48" s="649"/>
      <c r="E48" s="650"/>
      <c r="F48" s="651"/>
    </row>
    <row r="49" spans="1:30" hidden="1">
      <c r="B49" s="649"/>
      <c r="C49" s="649"/>
      <c r="D49" s="649"/>
      <c r="E49" s="650"/>
      <c r="F49" s="651"/>
    </row>
    <row r="50" spans="1:30" hidden="1">
      <c r="B50" s="649"/>
      <c r="C50" s="649"/>
      <c r="D50" s="649"/>
      <c r="E50" s="650"/>
      <c r="F50" s="651"/>
    </row>
    <row r="51" spans="1:30" hidden="1">
      <c r="B51" s="649"/>
      <c r="C51" s="649"/>
      <c r="D51" s="649"/>
      <c r="E51" s="650"/>
      <c r="F51" s="651"/>
    </row>
    <row r="52" spans="1:30" hidden="1">
      <c r="B52" s="649"/>
      <c r="C52" s="649"/>
      <c r="D52" s="649"/>
      <c r="E52" s="650"/>
      <c r="F52" s="651"/>
    </row>
    <row r="53" spans="1:30" hidden="1">
      <c r="B53" s="649"/>
      <c r="C53" s="649"/>
      <c r="D53" s="649"/>
      <c r="E53" s="650"/>
      <c r="F53" s="651"/>
    </row>
    <row r="54" spans="1:30" hidden="1">
      <c r="B54" s="649"/>
      <c r="C54" s="649"/>
      <c r="D54" s="649"/>
      <c r="E54" s="650"/>
      <c r="F54" s="651"/>
    </row>
    <row r="55" spans="1:30" ht="27" hidden="1">
      <c r="B55" s="652"/>
      <c r="C55" s="652"/>
      <c r="D55" s="653"/>
      <c r="E55" s="654"/>
      <c r="F55" s="655"/>
      <c r="G55" s="646"/>
    </row>
    <row r="56" spans="1:30" ht="27" hidden="1">
      <c r="B56" s="652"/>
      <c r="C56" s="652"/>
      <c r="D56" s="653"/>
      <c r="E56" s="654"/>
      <c r="F56" s="655"/>
    </row>
    <row r="57" spans="1:30" ht="27" hidden="1">
      <c r="B57" s="652"/>
      <c r="C57" s="652"/>
      <c r="D57" s="653"/>
      <c r="E57" s="654"/>
      <c r="F57" s="655"/>
    </row>
    <row r="59" spans="1:30" s="25" customFormat="1" hidden="1">
      <c r="A59"/>
      <c r="B59" s="4"/>
      <c r="C59" s="4"/>
      <c r="D59" s="4"/>
      <c r="E59" s="263"/>
      <c r="F59"/>
      <c r="G59" s="4"/>
      <c r="H59"/>
      <c r="I59"/>
      <c r="J59"/>
      <c r="K59"/>
      <c r="L59"/>
      <c r="M59"/>
      <c r="N59"/>
      <c r="O59"/>
      <c r="P59"/>
      <c r="Q59"/>
      <c r="R59"/>
      <c r="S59"/>
      <c r="T59"/>
      <c r="U59"/>
      <c r="V59" s="656"/>
      <c r="W59" s="657"/>
      <c r="X59" s="657"/>
      <c r="Y59"/>
      <c r="Z59"/>
      <c r="AA59" s="68"/>
      <c r="AB59"/>
      <c r="AC59"/>
      <c r="AD59"/>
    </row>
    <row r="60" spans="1:30" s="25" customFormat="1" hidden="1">
      <c r="A60"/>
      <c r="B60" s="4"/>
      <c r="C60" s="4"/>
      <c r="D60" s="4"/>
      <c r="E60" s="263"/>
      <c r="F60"/>
      <c r="G60" s="4"/>
      <c r="H60"/>
      <c r="I60"/>
      <c r="J60"/>
      <c r="K60"/>
      <c r="L60"/>
      <c r="M60"/>
      <c r="N60"/>
      <c r="O60"/>
      <c r="P60"/>
      <c r="Q60"/>
      <c r="R60"/>
      <c r="S60"/>
      <c r="T60"/>
      <c r="U60"/>
      <c r="V60"/>
      <c r="W60"/>
      <c r="X60"/>
      <c r="Y60"/>
      <c r="Z60"/>
      <c r="AA60" s="68"/>
      <c r="AB60"/>
      <c r="AC60"/>
      <c r="AD60"/>
    </row>
    <row r="61" spans="1:30" hidden="1">
      <c r="B61" s="658"/>
      <c r="C61" s="658"/>
      <c r="D61" s="658"/>
      <c r="E61" s="659"/>
      <c r="F61" s="660"/>
      <c r="G61" s="658"/>
      <c r="H61" s="660"/>
      <c r="I61" s="660"/>
      <c r="J61" s="660"/>
      <c r="K61" s="660"/>
      <c r="L61" s="660"/>
      <c r="M61" s="660"/>
      <c r="N61" s="660"/>
      <c r="O61" s="660"/>
      <c r="P61" s="660"/>
      <c r="Q61" s="660"/>
      <c r="R61" s="660"/>
      <c r="S61" s="660"/>
      <c r="T61" s="660"/>
      <c r="U61" s="660"/>
      <c r="V61" s="660"/>
      <c r="W61" s="660"/>
      <c r="X61" s="660"/>
      <c r="Y61" s="660"/>
      <c r="Z61" s="660"/>
      <c r="AA61" s="2091"/>
    </row>
    <row r="62" spans="1:30" hidden="1">
      <c r="B62" s="658"/>
      <c r="C62" s="658"/>
      <c r="D62" s="658"/>
      <c r="E62" s="659"/>
      <c r="F62" s="660"/>
      <c r="G62" s="658"/>
      <c r="H62" s="660"/>
      <c r="I62" s="660"/>
      <c r="J62" s="660"/>
      <c r="K62" s="660"/>
      <c r="L62" s="660"/>
      <c r="M62" s="660"/>
      <c r="N62" s="660"/>
      <c r="O62" s="660"/>
      <c r="P62" s="660"/>
      <c r="Q62" s="660"/>
      <c r="R62" s="660"/>
      <c r="S62" s="660"/>
      <c r="T62" s="660"/>
      <c r="U62" s="660"/>
      <c r="V62" s="660"/>
      <c r="W62" s="660"/>
      <c r="X62" s="660"/>
      <c r="Y62" s="660"/>
      <c r="Z62" s="660"/>
      <c r="AA62" s="2091"/>
    </row>
    <row r="63" spans="1:30" hidden="1">
      <c r="B63" s="658"/>
      <c r="C63" s="658"/>
      <c r="D63" s="658"/>
      <c r="E63" s="659"/>
      <c r="F63" s="660"/>
      <c r="G63" s="658"/>
      <c r="H63" s="660"/>
      <c r="I63" s="660"/>
      <c r="J63" s="660"/>
      <c r="K63" s="660"/>
      <c r="L63" s="660"/>
      <c r="M63" s="660"/>
      <c r="N63" s="660"/>
      <c r="O63" s="660"/>
      <c r="P63" s="660"/>
      <c r="Q63" s="660"/>
      <c r="R63" s="660"/>
      <c r="S63" s="660"/>
      <c r="T63" s="660"/>
      <c r="U63" s="660"/>
      <c r="V63" s="660"/>
      <c r="W63" s="660"/>
      <c r="X63" s="660"/>
      <c r="Y63" s="660"/>
      <c r="Z63" s="660"/>
      <c r="AA63" s="2091"/>
    </row>
    <row r="64" spans="1:30" hidden="1">
      <c r="B64" s="658"/>
      <c r="C64" s="658"/>
      <c r="D64" s="658"/>
      <c r="E64" s="659"/>
      <c r="F64" s="660"/>
      <c r="G64" s="658"/>
      <c r="H64" s="660"/>
      <c r="I64" s="660"/>
      <c r="J64" s="660"/>
      <c r="K64" s="660"/>
      <c r="L64" s="660"/>
      <c r="M64" s="660"/>
      <c r="N64" s="660"/>
      <c r="O64" s="660"/>
      <c r="P64" s="660"/>
      <c r="Q64" s="660"/>
      <c r="R64" s="660"/>
      <c r="S64" s="660"/>
      <c r="T64" s="660"/>
      <c r="U64" s="660"/>
      <c r="V64" s="660"/>
      <c r="W64" s="660"/>
      <c r="X64" s="660"/>
      <c r="Y64" s="660"/>
      <c r="Z64" s="660"/>
      <c r="AA64" s="2091"/>
    </row>
    <row r="65" spans="2:27" hidden="1">
      <c r="B65" s="658"/>
      <c r="C65" s="658"/>
      <c r="D65" s="658"/>
      <c r="E65" s="659"/>
      <c r="F65" s="660"/>
      <c r="G65" s="658"/>
      <c r="H65" s="660"/>
      <c r="I65" s="660"/>
      <c r="J65" s="660"/>
      <c r="K65" s="660"/>
      <c r="L65" s="660"/>
      <c r="M65" s="660"/>
      <c r="N65" s="660"/>
      <c r="O65" s="660"/>
      <c r="P65" s="660"/>
      <c r="Q65" s="660"/>
      <c r="R65" s="660"/>
      <c r="S65" s="660"/>
      <c r="T65" s="660"/>
      <c r="U65" s="660"/>
      <c r="V65" s="660"/>
      <c r="W65" s="660"/>
      <c r="X65" s="660"/>
      <c r="Y65" s="660"/>
      <c r="Z65" s="660"/>
      <c r="AA65" s="2091"/>
    </row>
  </sheetData>
  <sheetProtection algorithmName="SHA-512" hashValue="eeDalmz9qLAMtFeOUS12oq/wpEtLLOWKBmFM7D+oX7KaJsBsXmic9p/FKq9P8jp1317Knm/SaoYsDAFtpztFMA==" saltValue="vYKRpc0AP1QlK1dSlAg1Rw==" spinCount="100000" sheet="1" objects="1" scenarios="1" selectLockedCells="1"/>
  <scenarios current="0" show="0">
    <scenario name="Nullstellung Ehezeitanteil" locked="1" count="30" user="Hauß" comment="Erstellt von Hauß am 14.07.2022_x000a_Modifiziert von Hauß am 14.07.2022_x000a_Modifiziert von Hauß am 26.07.2022_x000a_Modifiziert von Hauß am 01.10.2022">
      <inputCells r="B7" val=""/>
      <inputCells r="C7" val=""/>
      <inputCells r="D7" val=""/>
      <inputCells r="B8" val=""/>
      <inputCells r="C8" val=""/>
      <inputCells r="D8" val=""/>
      <inputCells r="B9" val=""/>
      <inputCells r="C9" val=""/>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
      <inputCells r="W5" val=""/>
      <inputCells r="AA28" val=""/>
    </scenario>
    <scenario name="5-10-22" locked="1" count="30" user="Hauß" comment="Erstellt von Jörn Hauß am 23.09.2022_x000a_Modifiziert von Hauß am 01.10.2022">
      <inputCells r="B7" val="29221" numFmtId="14"/>
      <inputCells r="C7" val="32539" numFmtId="14"/>
      <inputCells r="D7" val=""/>
      <inputCells r="B8" val="36281" numFmtId="14"/>
      <inputCells r="C8" val="42369" numFmtId="14"/>
      <inputCells r="D8" val=""/>
      <inputCells r="B9" val="42736"/>
      <inputCells r="C9" val="47118"/>
      <inputCells r="D9" val=""/>
      <inputCells r="B10" val=""/>
      <inputCells r="C10" val=""/>
      <inputCells r="D10" val=""/>
      <inputCells r="B11" val=""/>
      <inputCells r="C11" val=""/>
      <inputCells r="D11" val=""/>
      <inputCells r="B12" val=""/>
      <inputCells r="C12" val=""/>
      <inputCells r="D12" val=""/>
      <inputCells r="B13" val=""/>
      <inputCells r="C13" val=""/>
      <inputCells r="D13" val=""/>
      <inputCells r="B14" val=""/>
      <inputCells r="C14" val=""/>
      <inputCells r="D14" val=""/>
      <inputCells r="B15" val=""/>
      <inputCells r="C15" val=""/>
      <inputCells r="D15" val=""/>
      <inputCells r="V5" val="32874" numFmtId="14"/>
      <inputCells r="W5" val="44804"/>
      <inputCells r="AA28" val=""/>
    </scenario>
  </scenarios>
  <dataConsolidate/>
  <mergeCells count="4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14:Z14"/>
    <mergeCell ref="X15:Z15"/>
    <mergeCell ref="X11:Z11"/>
    <mergeCell ref="V2:AA2"/>
    <mergeCell ref="V3:W3"/>
    <mergeCell ref="V6:W6"/>
    <mergeCell ref="X7:Z7"/>
    <mergeCell ref="X8:Z8"/>
    <mergeCell ref="X9:Z9"/>
    <mergeCell ref="X10:Z10"/>
    <mergeCell ref="X12:Z12"/>
  </mergeCells>
  <conditionalFormatting sqref="B7:C7">
    <cfRule type="expression" dxfId="324" priority="18">
      <formula>B7=""</formula>
    </cfRule>
  </conditionalFormatting>
  <conditionalFormatting sqref="B7:C15">
    <cfRule type="expression" dxfId="323" priority="520">
      <formula>AND(B7&gt;=$V$5,B7&lt;=$W$5)</formula>
    </cfRule>
  </conditionalFormatting>
  <conditionalFormatting sqref="B11:D15">
    <cfRule type="expression" dxfId="322" priority="5">
      <formula>OR(Ehevon="",Ehebis="")</formula>
    </cfRule>
  </conditionalFormatting>
  <conditionalFormatting sqref="B3:G3">
    <cfRule type="expression" dxfId="321" priority="12">
      <formula>"WENN(ODER(Ehevon&lt;&gt;"""";Ehebis&lt;&gt;"""")"</formula>
    </cfRule>
  </conditionalFormatting>
  <conditionalFormatting sqref="B7:G10 E8:E26 G8:G26 E11:G11">
    <cfRule type="expression" dxfId="320" priority="13">
      <formula>OR(Ehevon="",Ehebis="")</formula>
    </cfRule>
  </conditionalFormatting>
  <conditionalFormatting sqref="E7:G11 E8:E26">
    <cfRule type="expression" dxfId="319" priority="8">
      <formula>$AE$4&lt;3</formula>
    </cfRule>
  </conditionalFormatting>
  <conditionalFormatting sqref="E7:G28 X7:AA26 X27 AA27:AA28 F29:G29">
    <cfRule type="expression" dxfId="318" priority="14">
      <formula>BerBasis=3</formula>
    </cfRule>
  </conditionalFormatting>
  <conditionalFormatting sqref="H3:H5">
    <cfRule type="expression" dxfId="317" priority="9">
      <formula>OR(Ehevon&lt;&gt;"",Ehebis&lt;&gt;"")</formula>
    </cfRule>
  </conditionalFormatting>
  <conditionalFormatting sqref="V4">
    <cfRule type="expression" dxfId="316" priority="4">
      <formula>AND($V$4="",V5="")</formula>
    </cfRule>
  </conditionalFormatting>
  <conditionalFormatting sqref="W4">
    <cfRule type="expression" dxfId="314"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695325</xdr:colOff>
                    <xdr:row>1</xdr:row>
                    <xdr:rowOff>9525</xdr:rowOff>
                  </from>
                  <to>
                    <xdr:col>6</xdr:col>
                    <xdr:colOff>504825</xdr:colOff>
                    <xdr:row>1</xdr:row>
                    <xdr:rowOff>200025</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142875</xdr:rowOff>
                  </from>
                  <to>
                    <xdr:col>4</xdr:col>
                    <xdr:colOff>752475</xdr:colOff>
                    <xdr:row>5</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68" workbookViewId="0">
      <selection activeCell="C43" sqref="C43:C93"/>
    </sheetView>
  </sheetViews>
  <sheetFormatPr baseColWidth="10" defaultColWidth="11.125" defaultRowHeight="15"/>
  <cols>
    <col min="1" max="1" width="3.625" customWidth="1"/>
    <col min="2" max="2" width="7.125" customWidth="1"/>
    <col min="3" max="3" width="8.125" customWidth="1"/>
    <col min="4" max="4" width="3.625" customWidth="1"/>
    <col min="5" max="5" width="7.125" customWidth="1"/>
    <col min="6" max="6" width="8.125" customWidth="1"/>
    <col min="7" max="7" width="1.625" hidden="1" customWidth="1"/>
    <col min="8" max="8" width="3.625" customWidth="1"/>
    <col min="9" max="9" width="7.125" customWidth="1"/>
    <col min="10" max="10" width="8.125" customWidth="1"/>
    <col min="11" max="11" width="3.625" customWidth="1"/>
    <col min="12" max="12" width="7.125" customWidth="1"/>
    <col min="13" max="13" width="8.125" customWidth="1"/>
    <col min="14" max="14" width="7" style="25" hidden="1" customWidth="1"/>
    <col min="15" max="17" width="11.125" customWidth="1"/>
    <col min="18" max="18" width="13.125" customWidth="1"/>
    <col min="19" max="19" width="49.125" customWidth="1"/>
    <col min="22" max="22" width="2.625" customWidth="1"/>
    <col min="23" max="23" width="3.125" customWidth="1"/>
    <col min="24" max="24" width="3.625" style="128" customWidth="1"/>
    <col min="25" max="52" width="4.125" style="128" customWidth="1"/>
    <col min="53" max="59" width="4.125" style="128" hidden="1" customWidth="1"/>
    <col min="60" max="60" width="4.125" hidden="1" customWidth="1"/>
    <col min="64" max="64" width="9.125" style="4" customWidth="1"/>
    <col min="65" max="71" width="9.125" customWidth="1"/>
    <col min="76" max="76" width="11.125" style="151"/>
    <col min="77" max="77" width="11.625" style="149" bestFit="1" customWidth="1"/>
    <col min="81" max="81" width="4.125" style="520" customWidth="1"/>
    <col min="82" max="82" width="4.125" style="128" customWidth="1"/>
    <col min="83" max="101" width="4.125" style="524" customWidth="1"/>
    <col min="102" max="102" width="4.125" style="367" customWidth="1"/>
    <col min="103" max="118" width="4.625" style="367" customWidth="1"/>
    <col min="119" max="121" width="4.125" style="367" customWidth="1"/>
  </cols>
  <sheetData>
    <row r="1" spans="1:121" s="71" customFormat="1" ht="15" customHeight="1" thickBot="1">
      <c r="A1" s="2910" t="s">
        <v>2011</v>
      </c>
      <c r="B1" s="2911"/>
      <c r="C1" s="2911"/>
      <c r="D1" s="2911"/>
      <c r="E1" s="2911"/>
      <c r="F1" s="2911"/>
      <c r="G1" s="2911"/>
      <c r="H1" s="2911"/>
      <c r="I1" s="2911"/>
      <c r="J1" s="2911"/>
      <c r="K1" s="2911"/>
      <c r="L1" s="2911"/>
      <c r="M1" s="2911"/>
      <c r="N1" s="1344"/>
      <c r="O1" s="1344"/>
      <c r="P1" s="1345"/>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802"/>
      <c r="CD1" s="128"/>
      <c r="CE1" s="524"/>
      <c r="CF1" s="524"/>
      <c r="CG1" s="524"/>
      <c r="CH1" s="524"/>
      <c r="CI1" s="524"/>
      <c r="CJ1" s="524"/>
      <c r="CK1" s="524"/>
      <c r="CL1" s="524"/>
      <c r="CM1" s="524"/>
      <c r="CN1" s="524"/>
      <c r="CO1" s="524"/>
      <c r="CP1" s="524"/>
      <c r="CQ1" s="524"/>
      <c r="CR1" s="524"/>
      <c r="CS1" s="524"/>
      <c r="CT1" s="524"/>
      <c r="CU1" s="524"/>
      <c r="CV1" s="524"/>
      <c r="CW1" s="524"/>
      <c r="CX1" s="352"/>
      <c r="CY1" s="352"/>
      <c r="CZ1" s="352"/>
      <c r="DA1" s="352"/>
      <c r="DB1" s="352"/>
      <c r="DC1" s="352"/>
      <c r="DD1" s="352"/>
      <c r="DE1" s="352"/>
      <c r="DF1" s="352"/>
      <c r="DG1" s="352"/>
      <c r="DH1" s="352"/>
      <c r="DI1" s="352"/>
      <c r="DJ1" s="352"/>
      <c r="DK1" s="352"/>
      <c r="DL1" s="352"/>
      <c r="DM1" s="352"/>
      <c r="DN1" s="352"/>
      <c r="DO1" s="352"/>
      <c r="DP1" s="352"/>
      <c r="DQ1" s="352"/>
    </row>
    <row r="2" spans="1:121" s="71" customFormat="1" ht="15" customHeight="1">
      <c r="A2" s="2912"/>
      <c r="B2" s="2913"/>
      <c r="C2" s="2913"/>
      <c r="D2" s="2913"/>
      <c r="E2" s="2913"/>
      <c r="F2" s="2913"/>
      <c r="G2" s="2913"/>
      <c r="H2" s="2913"/>
      <c r="I2" s="2913"/>
      <c r="J2" s="2913"/>
      <c r="K2" s="2913"/>
      <c r="L2" s="2913"/>
      <c r="M2" s="2913"/>
      <c r="N2" s="1346"/>
      <c r="O2" s="1346"/>
      <c r="P2" s="1347"/>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829" t="s">
        <v>592</v>
      </c>
      <c r="CD2" s="2830"/>
      <c r="CE2" s="2830"/>
      <c r="CF2" s="2830"/>
      <c r="CG2" s="2830"/>
      <c r="CH2" s="2830"/>
      <c r="CI2" s="2830"/>
      <c r="CJ2" s="2830"/>
      <c r="CK2" s="2830"/>
      <c r="CL2" s="2830"/>
      <c r="CM2" s="2830"/>
      <c r="CN2" s="2830"/>
      <c r="CO2" s="2830"/>
      <c r="CP2" s="2830"/>
      <c r="CQ2" s="2830"/>
      <c r="CR2" s="2830"/>
      <c r="CS2" s="2830"/>
      <c r="CT2" s="2830"/>
      <c r="CU2" s="2830"/>
      <c r="CV2" s="2830"/>
      <c r="CW2" s="2831"/>
      <c r="CX2" s="322"/>
      <c r="CY2" s="352"/>
      <c r="CZ2" s="352"/>
      <c r="DA2" s="352"/>
      <c r="DB2" s="352"/>
      <c r="DC2" s="352"/>
      <c r="DD2" s="352"/>
      <c r="DE2" s="352"/>
      <c r="DF2" s="352"/>
      <c r="DG2" s="352"/>
      <c r="DH2" s="352"/>
      <c r="DI2" s="352"/>
      <c r="DJ2" s="352"/>
      <c r="DK2" s="352"/>
      <c r="DL2" s="352"/>
      <c r="DM2" s="352"/>
      <c r="DN2" s="352"/>
      <c r="DO2" s="352"/>
      <c r="DP2" s="352"/>
      <c r="DQ2" s="352"/>
    </row>
    <row r="3" spans="1:121" ht="9.75" hidden="1" customHeight="1">
      <c r="A3" s="2914" t="s">
        <v>11</v>
      </c>
      <c r="B3" s="2915"/>
      <c r="C3" s="2915"/>
      <c r="D3" s="2915"/>
      <c r="E3" s="2915"/>
      <c r="F3" s="2916"/>
      <c r="G3" s="152"/>
      <c r="H3" s="2914" t="s">
        <v>11</v>
      </c>
      <c r="I3" s="2915"/>
      <c r="J3" s="2915"/>
      <c r="K3" s="2915"/>
      <c r="L3" s="2915"/>
      <c r="M3" s="2916"/>
      <c r="P3" s="622"/>
      <c r="CC3" s="2832"/>
      <c r="CD3" s="2833"/>
      <c r="CE3" s="2833"/>
      <c r="CF3" s="2833"/>
      <c r="CG3" s="2833"/>
      <c r="CH3" s="2833"/>
      <c r="CI3" s="2833"/>
      <c r="CJ3" s="2833"/>
      <c r="CK3" s="2833"/>
      <c r="CL3" s="2833"/>
      <c r="CM3" s="2833"/>
      <c r="CN3" s="2833"/>
      <c r="CO3" s="2833"/>
      <c r="CP3" s="2833"/>
      <c r="CQ3" s="2833"/>
      <c r="CR3" s="2833"/>
      <c r="CS3" s="2833"/>
      <c r="CT3" s="2833"/>
      <c r="CU3" s="2833"/>
      <c r="CV3" s="2833"/>
      <c r="CW3" s="2834"/>
      <c r="CX3" s="541"/>
    </row>
    <row r="4" spans="1:121" ht="15.75" customHeight="1" thickBot="1">
      <c r="A4" s="2917" t="s">
        <v>220</v>
      </c>
      <c r="B4" s="2918"/>
      <c r="C4" s="2918"/>
      <c r="D4" s="2918"/>
      <c r="E4" s="2918"/>
      <c r="F4" s="2919"/>
      <c r="G4" s="152"/>
      <c r="H4" s="2917" t="s">
        <v>221</v>
      </c>
      <c r="I4" s="2918"/>
      <c r="J4" s="2918"/>
      <c r="K4" s="2918"/>
      <c r="L4" s="2918"/>
      <c r="M4" s="2919"/>
      <c r="O4" s="2273" t="s">
        <v>587</v>
      </c>
      <c r="P4" s="2838"/>
      <c r="CC4" s="2832"/>
      <c r="CD4" s="2833"/>
      <c r="CE4" s="2833"/>
      <c r="CF4" s="2833"/>
      <c r="CG4" s="2833"/>
      <c r="CH4" s="2833"/>
      <c r="CI4" s="2833"/>
      <c r="CJ4" s="2833"/>
      <c r="CK4" s="2833"/>
      <c r="CL4" s="2833"/>
      <c r="CM4" s="2833"/>
      <c r="CN4" s="2833"/>
      <c r="CO4" s="2833"/>
      <c r="CP4" s="2833"/>
      <c r="CQ4" s="2833"/>
      <c r="CR4" s="2833"/>
      <c r="CS4" s="2833"/>
      <c r="CT4" s="2833"/>
      <c r="CU4" s="2833"/>
      <c r="CV4" s="2833"/>
      <c r="CW4" s="2834"/>
      <c r="CX4" s="541"/>
    </row>
    <row r="5" spans="1:121" ht="15.75" hidden="1" customHeight="1" thickBot="1">
      <c r="A5" s="2871" t="s">
        <v>222</v>
      </c>
      <c r="B5" s="2872"/>
      <c r="C5" s="2872"/>
      <c r="D5" s="2872"/>
      <c r="E5" s="2872"/>
      <c r="F5" s="2873"/>
      <c r="G5" s="152"/>
      <c r="H5" s="2871" t="s">
        <v>222</v>
      </c>
      <c r="I5" s="2872"/>
      <c r="J5" s="2872"/>
      <c r="K5" s="2872"/>
      <c r="L5" s="2872"/>
      <c r="M5" s="2873"/>
      <c r="P5" s="622"/>
      <c r="CC5" s="2832"/>
      <c r="CD5" s="2833"/>
      <c r="CE5" s="2833"/>
      <c r="CF5" s="2833"/>
      <c r="CG5" s="2833"/>
      <c r="CH5" s="2833"/>
      <c r="CI5" s="2833"/>
      <c r="CJ5" s="2833"/>
      <c r="CK5" s="2833"/>
      <c r="CL5" s="2833"/>
      <c r="CM5" s="2833"/>
      <c r="CN5" s="2833"/>
      <c r="CO5" s="2833"/>
      <c r="CP5" s="2833"/>
      <c r="CQ5" s="2833"/>
      <c r="CR5" s="2833"/>
      <c r="CS5" s="2833"/>
      <c r="CT5" s="2833"/>
      <c r="CU5" s="2833"/>
      <c r="CV5" s="2833"/>
      <c r="CW5" s="2834"/>
      <c r="CX5" s="541"/>
    </row>
    <row r="6" spans="1:121" ht="7.5" customHeight="1" thickBot="1">
      <c r="A6" s="2908" t="s">
        <v>223</v>
      </c>
      <c r="B6" s="2839" t="s">
        <v>224</v>
      </c>
      <c r="C6" s="2841" t="s">
        <v>225</v>
      </c>
      <c r="D6" s="2860" t="s">
        <v>223</v>
      </c>
      <c r="E6" s="2839" t="s">
        <v>224</v>
      </c>
      <c r="F6" s="2841" t="str">
        <f>+C6</f>
        <v>Durchschn. Lebenserwar-tung im Alter x</v>
      </c>
      <c r="G6" s="860"/>
      <c r="H6" s="2908" t="s">
        <v>223</v>
      </c>
      <c r="I6" s="2839" t="s">
        <v>224</v>
      </c>
      <c r="J6" s="2841" t="str">
        <f>+F6</f>
        <v>Durchschn. Lebenserwar-tung im Alter x</v>
      </c>
      <c r="K6" s="2860" t="s">
        <v>223</v>
      </c>
      <c r="L6" s="2839" t="s">
        <v>224</v>
      </c>
      <c r="M6" s="2841" t="str">
        <f>+J6</f>
        <v>Durchschn. Lebenserwar-tung im Alter x</v>
      </c>
      <c r="O6" s="2839" t="s">
        <v>224</v>
      </c>
      <c r="P6" s="2841" t="str">
        <f>+L6</f>
        <v>Überlebende im Alter x</v>
      </c>
      <c r="CC6" s="2832"/>
      <c r="CD6" s="2833"/>
      <c r="CE6" s="2833"/>
      <c r="CF6" s="2833"/>
      <c r="CG6" s="2833"/>
      <c r="CH6" s="2833"/>
      <c r="CI6" s="2833"/>
      <c r="CJ6" s="2833"/>
      <c r="CK6" s="2833"/>
      <c r="CL6" s="2833"/>
      <c r="CM6" s="2833"/>
      <c r="CN6" s="2833"/>
      <c r="CO6" s="2833"/>
      <c r="CP6" s="2833"/>
      <c r="CQ6" s="2833"/>
      <c r="CR6" s="2833"/>
      <c r="CS6" s="2833"/>
      <c r="CT6" s="2833"/>
      <c r="CU6" s="2833"/>
      <c r="CV6" s="2833"/>
      <c r="CW6" s="2834"/>
      <c r="CX6" s="541"/>
    </row>
    <row r="7" spans="1:121" s="71" customFormat="1" ht="11.25" customHeight="1" thickBot="1">
      <c r="A7" s="2909"/>
      <c r="B7" s="2840" t="s">
        <v>226</v>
      </c>
      <c r="C7" s="2842" t="s">
        <v>227</v>
      </c>
      <c r="D7" s="2861"/>
      <c r="E7" s="2840" t="s">
        <v>226</v>
      </c>
      <c r="F7" s="2842" t="s">
        <v>227</v>
      </c>
      <c r="G7" s="861"/>
      <c r="H7" s="2909"/>
      <c r="I7" s="2840" t="s">
        <v>226</v>
      </c>
      <c r="J7" s="2842" t="s">
        <v>227</v>
      </c>
      <c r="K7" s="2861"/>
      <c r="L7" s="2840" t="s">
        <v>226</v>
      </c>
      <c r="M7" s="2842" t="s">
        <v>227</v>
      </c>
      <c r="N7" s="64"/>
      <c r="O7" s="2840" t="s">
        <v>226</v>
      </c>
      <c r="P7" s="2842" t="s">
        <v>227</v>
      </c>
      <c r="W7" s="2843" t="s">
        <v>228</v>
      </c>
      <c r="X7" s="2844"/>
      <c r="Y7" s="2844"/>
      <c r="Z7" s="2844"/>
      <c r="AA7" s="2844"/>
      <c r="AB7" s="2844"/>
      <c r="AC7" s="2844"/>
      <c r="AD7" s="2844"/>
      <c r="AE7" s="2844"/>
      <c r="AF7" s="2844"/>
      <c r="AG7" s="2844"/>
      <c r="AH7" s="2844"/>
      <c r="AI7" s="2844"/>
      <c r="AJ7" s="2844"/>
      <c r="AK7" s="2844"/>
      <c r="AL7" s="2844"/>
      <c r="AM7" s="2844"/>
      <c r="AN7" s="2844"/>
      <c r="AO7" s="2844"/>
      <c r="AP7" s="2844"/>
      <c r="AQ7" s="2844"/>
      <c r="AR7" s="2844"/>
      <c r="AS7" s="2844"/>
      <c r="AT7" s="2844"/>
      <c r="AU7" s="2844"/>
      <c r="AV7" s="2844"/>
      <c r="AW7" s="2844"/>
      <c r="AX7" s="2844"/>
      <c r="AY7" s="2844"/>
      <c r="AZ7" s="2844"/>
      <c r="BA7" s="2844"/>
      <c r="BB7" s="2844"/>
      <c r="BC7" s="2844"/>
      <c r="BD7" s="2844"/>
      <c r="BE7" s="2844"/>
      <c r="BF7" s="2844"/>
      <c r="BG7" s="2844"/>
      <c r="BH7" s="2845"/>
      <c r="BL7" s="128"/>
      <c r="BX7" s="153"/>
      <c r="BY7" s="154"/>
      <c r="CC7" s="2832"/>
      <c r="CD7" s="2833"/>
      <c r="CE7" s="2833"/>
      <c r="CF7" s="2833"/>
      <c r="CG7" s="2833"/>
      <c r="CH7" s="2833"/>
      <c r="CI7" s="2833"/>
      <c r="CJ7" s="2833"/>
      <c r="CK7" s="2833"/>
      <c r="CL7" s="2833"/>
      <c r="CM7" s="2833"/>
      <c r="CN7" s="2833"/>
      <c r="CO7" s="2833"/>
      <c r="CP7" s="2833"/>
      <c r="CQ7" s="2833"/>
      <c r="CR7" s="2833"/>
      <c r="CS7" s="2833"/>
      <c r="CT7" s="2833"/>
      <c r="CU7" s="2833"/>
      <c r="CV7" s="2833"/>
      <c r="CW7" s="2834"/>
      <c r="CX7" s="322"/>
      <c r="CY7" s="352"/>
      <c r="CZ7" s="352"/>
      <c r="DA7" s="352"/>
      <c r="DB7" s="352"/>
      <c r="DC7" s="352"/>
      <c r="DD7" s="352"/>
      <c r="DE7" s="352"/>
      <c r="DF7" s="352"/>
      <c r="DG7" s="352"/>
      <c r="DH7" s="352"/>
      <c r="DI7" s="352"/>
      <c r="DJ7" s="352"/>
      <c r="DK7" s="352"/>
      <c r="DL7" s="352"/>
      <c r="DM7" s="352"/>
      <c r="DN7" s="352"/>
      <c r="DO7" s="352"/>
      <c r="DP7" s="352"/>
      <c r="DQ7" s="352"/>
    </row>
    <row r="8" spans="1:121" s="71" customFormat="1" ht="11.25" customHeight="1" thickBot="1">
      <c r="A8" s="2909"/>
      <c r="B8" s="2840" t="s">
        <v>229</v>
      </c>
      <c r="C8" s="2842" t="s">
        <v>230</v>
      </c>
      <c r="D8" s="2861"/>
      <c r="E8" s="2840" t="s">
        <v>229</v>
      </c>
      <c r="F8" s="2842" t="s">
        <v>230</v>
      </c>
      <c r="G8" s="861"/>
      <c r="H8" s="2909"/>
      <c r="I8" s="2840" t="s">
        <v>229</v>
      </c>
      <c r="J8" s="2842" t="s">
        <v>230</v>
      </c>
      <c r="K8" s="2861"/>
      <c r="L8" s="2840" t="s">
        <v>229</v>
      </c>
      <c r="M8" s="2842" t="s">
        <v>230</v>
      </c>
      <c r="N8" s="64"/>
      <c r="O8" s="2840" t="s">
        <v>229</v>
      </c>
      <c r="P8" s="2842" t="s">
        <v>230</v>
      </c>
      <c r="S8" s="2862" t="s">
        <v>231</v>
      </c>
      <c r="T8" s="2863"/>
      <c r="U8" s="2864"/>
      <c r="W8" s="2846"/>
      <c r="X8" s="2847"/>
      <c r="Y8" s="2847"/>
      <c r="Z8" s="2847"/>
      <c r="AA8" s="2847"/>
      <c r="AB8" s="2847"/>
      <c r="AC8" s="2847"/>
      <c r="AD8" s="2847"/>
      <c r="AE8" s="2847"/>
      <c r="AF8" s="2847"/>
      <c r="AG8" s="2847"/>
      <c r="AH8" s="2847"/>
      <c r="AI8" s="2847"/>
      <c r="AJ8" s="2847"/>
      <c r="AK8" s="2847"/>
      <c r="AL8" s="2847"/>
      <c r="AM8" s="2847"/>
      <c r="AN8" s="2847"/>
      <c r="AO8" s="2847"/>
      <c r="AP8" s="2847"/>
      <c r="AQ8" s="2847"/>
      <c r="AR8" s="2847"/>
      <c r="AS8" s="2847"/>
      <c r="AT8" s="2847"/>
      <c r="AU8" s="2847"/>
      <c r="AV8" s="2847"/>
      <c r="AW8" s="2847"/>
      <c r="AX8" s="2847"/>
      <c r="AY8" s="2847"/>
      <c r="AZ8" s="2847"/>
      <c r="BA8" s="2847"/>
      <c r="BB8" s="2847"/>
      <c r="BC8" s="2847"/>
      <c r="BD8" s="2847"/>
      <c r="BE8" s="2847"/>
      <c r="BF8" s="2847"/>
      <c r="BG8" s="2847"/>
      <c r="BH8" s="2848"/>
      <c r="BL8" s="128"/>
      <c r="BX8" s="153"/>
      <c r="BY8" s="154"/>
      <c r="CC8" s="2835"/>
      <c r="CD8" s="2836"/>
      <c r="CE8" s="2836"/>
      <c r="CF8" s="2836"/>
      <c r="CG8" s="2836"/>
      <c r="CH8" s="2836"/>
      <c r="CI8" s="2836"/>
      <c r="CJ8" s="2836"/>
      <c r="CK8" s="2836"/>
      <c r="CL8" s="2836"/>
      <c r="CM8" s="2836"/>
      <c r="CN8" s="2836"/>
      <c r="CO8" s="2836"/>
      <c r="CP8" s="2836"/>
      <c r="CQ8" s="2836"/>
      <c r="CR8" s="2836"/>
      <c r="CS8" s="2836"/>
      <c r="CT8" s="2836"/>
      <c r="CU8" s="2836"/>
      <c r="CV8" s="2836"/>
      <c r="CW8" s="2837"/>
      <c r="CX8" s="322"/>
      <c r="CY8" s="352"/>
      <c r="CZ8" s="352"/>
      <c r="DA8" s="352"/>
      <c r="DB8" s="352"/>
      <c r="DC8" s="352"/>
      <c r="DD8" s="352"/>
      <c r="DE8" s="352"/>
      <c r="DF8" s="352"/>
      <c r="DG8" s="352"/>
      <c r="DH8" s="352"/>
      <c r="DI8" s="352"/>
      <c r="DJ8" s="352"/>
      <c r="DK8" s="352"/>
      <c r="DL8" s="352"/>
      <c r="DM8" s="352"/>
      <c r="DN8" s="352"/>
      <c r="DO8" s="352"/>
      <c r="DP8" s="352"/>
      <c r="DQ8" s="352"/>
    </row>
    <row r="9" spans="1:121" ht="7.5" customHeight="1">
      <c r="A9" s="2909"/>
      <c r="B9" s="2840"/>
      <c r="C9" s="2842" t="s">
        <v>229</v>
      </c>
      <c r="D9" s="2861"/>
      <c r="E9" s="2840"/>
      <c r="F9" s="2842" t="s">
        <v>229</v>
      </c>
      <c r="G9" s="860"/>
      <c r="H9" s="2909"/>
      <c r="I9" s="2840"/>
      <c r="J9" s="2842" t="s">
        <v>229</v>
      </c>
      <c r="K9" s="2861"/>
      <c r="L9" s="2840"/>
      <c r="M9" s="2842" t="s">
        <v>229</v>
      </c>
      <c r="O9" s="2840"/>
      <c r="P9" s="2842" t="s">
        <v>229</v>
      </c>
      <c r="S9" s="2865"/>
      <c r="T9" s="2866"/>
      <c r="U9" s="2867"/>
      <c r="W9" s="2874" t="s">
        <v>232</v>
      </c>
      <c r="X9" s="2875"/>
      <c r="Y9" s="2875"/>
      <c r="Z9" s="2875"/>
      <c r="AA9" s="2875"/>
      <c r="AB9" s="2875"/>
      <c r="AC9" s="2875"/>
      <c r="AD9" s="2875"/>
      <c r="AE9" s="2875"/>
      <c r="AF9" s="2875"/>
      <c r="AG9" s="2875"/>
      <c r="AH9" s="2875"/>
      <c r="AI9" s="2875"/>
      <c r="AJ9" s="2875"/>
      <c r="AK9" s="2875"/>
      <c r="AL9" s="2875"/>
      <c r="AM9" s="2875"/>
      <c r="AN9" s="2875"/>
      <c r="AO9" s="2875"/>
      <c r="AP9" s="2875"/>
      <c r="AQ9" s="2875"/>
      <c r="AR9" s="2875"/>
      <c r="AS9" s="2875"/>
      <c r="AT9" s="2875"/>
      <c r="AU9" s="2875"/>
      <c r="AV9" s="2875"/>
      <c r="AW9" s="2875"/>
      <c r="AX9" s="2875"/>
      <c r="AY9" s="2875"/>
      <c r="AZ9" s="2875"/>
      <c r="BA9" s="2875"/>
      <c r="BB9" s="2875"/>
      <c r="BC9" s="2875"/>
      <c r="BD9" s="2875"/>
      <c r="BE9" s="2875"/>
      <c r="BF9" s="2875"/>
      <c r="BG9" s="2875"/>
      <c r="BH9" s="2876"/>
      <c r="CC9" s="2825" t="s">
        <v>599</v>
      </c>
      <c r="CD9" s="2826"/>
      <c r="CE9" s="2826"/>
      <c r="CF9" s="2826"/>
      <c r="CG9" s="2826"/>
      <c r="CH9" s="2826"/>
      <c r="CI9" s="2826"/>
      <c r="CJ9" s="2826"/>
      <c r="CK9" s="2826"/>
      <c r="CL9" s="2826"/>
      <c r="CM9" s="2826"/>
      <c r="CN9" s="2826"/>
      <c r="CO9" s="2826"/>
      <c r="CP9" s="2826"/>
      <c r="CQ9" s="2826"/>
      <c r="CR9" s="2826"/>
      <c r="CS9" s="2826"/>
      <c r="CT9" s="2826"/>
      <c r="CU9" s="2826"/>
      <c r="CV9" s="2826"/>
      <c r="CW9" s="2827"/>
      <c r="CX9" s="541"/>
    </row>
    <row r="10" spans="1:121" ht="7.5" customHeight="1">
      <c r="A10" s="2909"/>
      <c r="B10" s="2840"/>
      <c r="C10" s="2842" t="s">
        <v>233</v>
      </c>
      <c r="D10" s="2861"/>
      <c r="E10" s="2840"/>
      <c r="F10" s="2842" t="s">
        <v>233</v>
      </c>
      <c r="G10" s="860"/>
      <c r="H10" s="2909"/>
      <c r="I10" s="2840"/>
      <c r="J10" s="2842" t="s">
        <v>233</v>
      </c>
      <c r="K10" s="2861"/>
      <c r="L10" s="2840"/>
      <c r="M10" s="2842" t="s">
        <v>233</v>
      </c>
      <c r="O10" s="2840"/>
      <c r="P10" s="2842" t="s">
        <v>233</v>
      </c>
      <c r="S10" s="2868"/>
      <c r="T10" s="2869"/>
      <c r="U10" s="2870"/>
      <c r="W10" s="2877"/>
      <c r="X10" s="2878"/>
      <c r="Y10" s="2878"/>
      <c r="Z10" s="2878"/>
      <c r="AA10" s="2878"/>
      <c r="AB10" s="2878"/>
      <c r="AC10" s="2878"/>
      <c r="AD10" s="2878"/>
      <c r="AE10" s="2878"/>
      <c r="AF10" s="2878"/>
      <c r="AG10" s="2878"/>
      <c r="AH10" s="2878"/>
      <c r="AI10" s="2878"/>
      <c r="AJ10" s="2878"/>
      <c r="AK10" s="2878"/>
      <c r="AL10" s="2878"/>
      <c r="AM10" s="2878"/>
      <c r="AN10" s="2878"/>
      <c r="AO10" s="2878"/>
      <c r="AP10" s="2878"/>
      <c r="AQ10" s="2878"/>
      <c r="AR10" s="2878"/>
      <c r="AS10" s="2878"/>
      <c r="AT10" s="2878"/>
      <c r="AU10" s="2878"/>
      <c r="AV10" s="2878"/>
      <c r="AW10" s="2878"/>
      <c r="AX10" s="2878"/>
      <c r="AY10" s="2878"/>
      <c r="AZ10" s="2878"/>
      <c r="BA10" s="2878"/>
      <c r="BB10" s="2878"/>
      <c r="BC10" s="2878"/>
      <c r="BD10" s="2878"/>
      <c r="BE10" s="2878"/>
      <c r="BF10" s="2878"/>
      <c r="BG10" s="2878"/>
      <c r="BH10" s="2879"/>
      <c r="CC10" s="2825"/>
      <c r="CD10" s="2826"/>
      <c r="CE10" s="2826"/>
      <c r="CF10" s="2826"/>
      <c r="CG10" s="2826"/>
      <c r="CH10" s="2826"/>
      <c r="CI10" s="2826"/>
      <c r="CJ10" s="2826"/>
      <c r="CK10" s="2826"/>
      <c r="CL10" s="2826"/>
      <c r="CM10" s="2826"/>
      <c r="CN10" s="2826"/>
      <c r="CO10" s="2826"/>
      <c r="CP10" s="2826"/>
      <c r="CQ10" s="2826"/>
      <c r="CR10" s="2826"/>
      <c r="CS10" s="2826"/>
      <c r="CT10" s="2826"/>
      <c r="CU10" s="2826"/>
      <c r="CV10" s="2826"/>
      <c r="CW10" s="2827"/>
      <c r="CX10" s="541"/>
    </row>
    <row r="11" spans="1:121">
      <c r="A11" s="2909"/>
      <c r="B11" s="155" t="s">
        <v>234</v>
      </c>
      <c r="C11" s="156" t="s">
        <v>235</v>
      </c>
      <c r="D11" s="2861"/>
      <c r="E11" s="155" t="s">
        <v>234</v>
      </c>
      <c r="F11" s="156" t="s">
        <v>235</v>
      </c>
      <c r="G11" s="862"/>
      <c r="H11" s="2909"/>
      <c r="I11" s="155" t="s">
        <v>588</v>
      </c>
      <c r="J11" s="156" t="s">
        <v>589</v>
      </c>
      <c r="K11" s="2861"/>
      <c r="L11" s="155" t="s">
        <v>588</v>
      </c>
      <c r="M11" s="156" t="s">
        <v>589</v>
      </c>
      <c r="O11" s="155" t="s">
        <v>590</v>
      </c>
      <c r="P11" s="156" t="s">
        <v>591</v>
      </c>
      <c r="S11" s="157"/>
      <c r="T11" s="158" t="s">
        <v>175</v>
      </c>
      <c r="U11" s="159" t="s">
        <v>176</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858" t="s">
        <v>593</v>
      </c>
      <c r="CD11" s="2859"/>
      <c r="CE11" s="2859"/>
      <c r="CF11" s="2859"/>
      <c r="CG11" s="2859"/>
      <c r="CH11" s="535">
        <v>67</v>
      </c>
      <c r="CI11" s="2857" t="s">
        <v>594</v>
      </c>
      <c r="CJ11" s="2857"/>
      <c r="CK11" s="2857"/>
      <c r="CL11" s="2857"/>
      <c r="CM11" s="2857"/>
      <c r="CN11" s="2857"/>
      <c r="CO11" s="535" t="s">
        <v>386</v>
      </c>
      <c r="CP11" s="2857" t="s">
        <v>596</v>
      </c>
      <c r="CQ11" s="2857"/>
      <c r="CR11" s="2857"/>
      <c r="CS11" s="2857"/>
      <c r="CT11" s="2828">
        <v>18255</v>
      </c>
      <c r="CU11" s="2828"/>
      <c r="CV11" s="2828"/>
      <c r="CW11" s="536"/>
      <c r="CX11" s="541"/>
    </row>
    <row r="12" spans="1:121" ht="14.25">
      <c r="A12" s="163"/>
      <c r="B12" s="164"/>
      <c r="C12" s="165"/>
      <c r="D12" s="166"/>
      <c r="E12" s="164"/>
      <c r="F12" s="165"/>
      <c r="G12" s="152"/>
      <c r="H12" s="163"/>
      <c r="I12" s="164"/>
      <c r="J12" s="165"/>
      <c r="K12" s="166"/>
      <c r="L12" s="164"/>
      <c r="M12" s="165"/>
      <c r="O12" s="164"/>
      <c r="P12" s="165"/>
      <c r="S12" s="167" t="s">
        <v>7</v>
      </c>
      <c r="T12" s="50">
        <v>50</v>
      </c>
      <c r="U12" s="168">
        <v>50</v>
      </c>
      <c r="W12" s="2880" t="s">
        <v>236</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8" t="s">
        <v>7</v>
      </c>
      <c r="CD12" s="525">
        <v>5.0000000000000001E-3</v>
      </c>
      <c r="CE12" s="525">
        <v>6.0000000000000001E-3</v>
      </c>
      <c r="CF12" s="525">
        <v>7.0000000000000001E-3</v>
      </c>
      <c r="CG12" s="525">
        <v>8.0000000000000002E-3</v>
      </c>
      <c r="CH12" s="525">
        <v>8.9999999999999993E-3</v>
      </c>
      <c r="CI12" s="525">
        <v>0.01</v>
      </c>
      <c r="CJ12" s="525">
        <v>1.0999999999999999E-2</v>
      </c>
      <c r="CK12" s="525">
        <v>1.2E-2</v>
      </c>
      <c r="CL12" s="525">
        <v>1.2999999999999999E-2</v>
      </c>
      <c r="CM12" s="525">
        <v>1.4E-2</v>
      </c>
      <c r="CN12" s="525">
        <v>1.4999999999999999E-2</v>
      </c>
      <c r="CO12" s="525">
        <v>1.6E-2</v>
      </c>
      <c r="CP12" s="525">
        <v>1.7000000000000001E-2</v>
      </c>
      <c r="CQ12" s="525">
        <v>1.7999999999999999E-2</v>
      </c>
      <c r="CR12" s="525">
        <v>1.9E-2</v>
      </c>
      <c r="CS12" s="525">
        <v>0.02</v>
      </c>
      <c r="CT12" s="525">
        <v>2.1000000000000001E-2</v>
      </c>
      <c r="CU12" s="525">
        <v>2.1999999999999999E-2</v>
      </c>
      <c r="CV12" s="525">
        <v>2.3E-2</v>
      </c>
      <c r="CW12" s="529">
        <v>2.4E-2</v>
      </c>
      <c r="CX12" s="541"/>
    </row>
    <row r="13" spans="1:121" thickBot="1">
      <c r="A13" s="172">
        <v>0</v>
      </c>
      <c r="B13" s="2250">
        <v>100000</v>
      </c>
      <c r="C13" s="173">
        <v>78.17</v>
      </c>
      <c r="D13" s="174"/>
      <c r="E13" s="2250"/>
      <c r="F13" s="173"/>
      <c r="G13" s="152"/>
      <c r="H13" s="172">
        <v>0</v>
      </c>
      <c r="I13" s="2250">
        <v>100000</v>
      </c>
      <c r="J13" s="173">
        <v>82.99</v>
      </c>
      <c r="K13" s="174"/>
      <c r="L13" s="2250"/>
      <c r="M13" s="173"/>
      <c r="O13" s="2250">
        <f>+(I13+B13)/2</f>
        <v>100000</v>
      </c>
      <c r="P13" s="173">
        <f>+(J13+C13)/2</f>
        <v>80.58</v>
      </c>
      <c r="S13" s="175" t="s">
        <v>237</v>
      </c>
      <c r="T13" s="176">
        <f>VLOOKUP(T12,Sterbetafel,2)</f>
        <v>96093</v>
      </c>
      <c r="U13" s="177">
        <f>VLOOKUP(U12,Sterbetafel,9)</f>
        <v>97748</v>
      </c>
      <c r="W13" s="2880"/>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8">
        <v>30</v>
      </c>
      <c r="CD13" s="526">
        <f t="shared" ref="CD13:CM22" si="4">(((1+CD$12)^$CA$15-1)/CD$12)*$CA$18*(1+CD$12)^($CH$11-$CC13)*12</f>
        <v>265.9232392165593</v>
      </c>
      <c r="CE13" s="526">
        <f t="shared" si="4"/>
        <v>278.2266779897472</v>
      </c>
      <c r="CF13" s="526">
        <f t="shared" si="4"/>
        <v>291.09372978359448</v>
      </c>
      <c r="CG13" s="526">
        <f t="shared" si="4"/>
        <v>304.54995309756288</v>
      </c>
      <c r="CH13" s="526">
        <f t="shared" si="4"/>
        <v>318.6220532952558</v>
      </c>
      <c r="CI13" s="526">
        <f t="shared" si="4"/>
        <v>333.3379334960465</v>
      </c>
      <c r="CJ13" s="526">
        <f t="shared" si="4"/>
        <v>348.72674769800022</v>
      </c>
      <c r="CK13" s="526">
        <f t="shared" si="4"/>
        <v>364.81895622905074</v>
      </c>
      <c r="CL13" s="526">
        <f t="shared" si="4"/>
        <v>381.64638362680489</v>
      </c>
      <c r="CM13" s="526">
        <f t="shared" si="4"/>
        <v>399.24227905230873</v>
      </c>
      <c r="CN13" s="526">
        <f t="shared" ref="CN13:CW22" si="5">(((1+CN$12)^$CA$15-1)/CN$12)*$CA$18*(1+CN$12)^($CH$11-$CC13)*12</f>
        <v>417.641379346966</v>
      </c>
      <c r="CO13" s="526">
        <f t="shared" si="5"/>
        <v>436.87997484707296</v>
      </c>
      <c r="CP13" s="526">
        <f t="shared" si="5"/>
        <v>456.99597807465352</v>
      </c>
      <c r="CQ13" s="526">
        <f t="shared" si="5"/>
        <v>478.02899542904026</v>
      </c>
      <c r="CR13" s="526">
        <f t="shared" si="5"/>
        <v>500.02040200819783</v>
      </c>
      <c r="CS13" s="526">
        <f t="shared" si="5"/>
        <v>523.01341969500049</v>
      </c>
      <c r="CT13" s="526">
        <f t="shared" si="5"/>
        <v>547.05319864871979</v>
      </c>
      <c r="CU13" s="526">
        <f t="shared" si="5"/>
        <v>572.18690234859946</v>
      </c>
      <c r="CV13" s="526">
        <f t="shared" si="5"/>
        <v>598.46379634197001</v>
      </c>
      <c r="CW13" s="530">
        <f t="shared" si="5"/>
        <v>625.93534085650276</v>
      </c>
      <c r="CX13" s="541"/>
      <c r="CY13" s="523"/>
      <c r="CZ13" s="523"/>
      <c r="DA13" s="523"/>
      <c r="DB13" s="523"/>
      <c r="DC13" s="523"/>
      <c r="DD13" s="523"/>
      <c r="DE13" s="523"/>
      <c r="DF13" s="523"/>
      <c r="DG13" s="523"/>
      <c r="DH13" s="523"/>
      <c r="DI13" s="523"/>
      <c r="DJ13" s="523"/>
      <c r="DK13" s="523"/>
      <c r="DL13" s="522">
        <v>3.9E-2</v>
      </c>
      <c r="DM13" s="522">
        <v>0.04</v>
      </c>
      <c r="DN13" s="522">
        <v>4.1000000000000002E-2</v>
      </c>
      <c r="DO13" s="522">
        <v>4.2000000000000003E-2</v>
      </c>
      <c r="DP13" s="522">
        <v>4.2999999999999997E-2</v>
      </c>
      <c r="DQ13" s="522">
        <v>4.3999999999999997E-2</v>
      </c>
    </row>
    <row r="14" spans="1:121" ht="14.25">
      <c r="A14" s="163">
        <v>1</v>
      </c>
      <c r="B14" s="2251">
        <v>99675</v>
      </c>
      <c r="C14" s="179">
        <v>77.42</v>
      </c>
      <c r="D14" s="163">
        <v>51</v>
      </c>
      <c r="E14" s="2251">
        <f>+B64</f>
        <v>95771</v>
      </c>
      <c r="F14" s="179">
        <f>+C64</f>
        <v>29.03</v>
      </c>
      <c r="G14" s="152"/>
      <c r="H14" s="163">
        <v>1</v>
      </c>
      <c r="I14" s="2251">
        <v>99711</v>
      </c>
      <c r="J14" s="179">
        <v>82.23</v>
      </c>
      <c r="K14" s="163">
        <v>51</v>
      </c>
      <c r="L14" s="2251">
        <f>+I64</f>
        <v>97568</v>
      </c>
      <c r="M14" s="179">
        <f>+J64</f>
        <v>33.22</v>
      </c>
      <c r="O14" s="2251">
        <f t="shared" ref="O14:O77" si="6">+(I14+B14)/2</f>
        <v>99693</v>
      </c>
      <c r="P14" s="179">
        <f t="shared" ref="P14:P77" si="7">+(J14+C14)/2</f>
        <v>79.825000000000003</v>
      </c>
      <c r="S14" s="167" t="s">
        <v>174</v>
      </c>
      <c r="T14" s="50">
        <v>67</v>
      </c>
      <c r="U14" s="168">
        <v>67</v>
      </c>
      <c r="W14" s="2880"/>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855" t="s">
        <v>595</v>
      </c>
      <c r="CA14" s="2856"/>
      <c r="CC14" s="528">
        <v>31</v>
      </c>
      <c r="CD14" s="527">
        <f t="shared" si="4"/>
        <v>264.60023802642723</v>
      </c>
      <c r="CE14" s="527">
        <f t="shared" si="4"/>
        <v>276.56727434368509</v>
      </c>
      <c r="CF14" s="527">
        <f t="shared" si="4"/>
        <v>289.07023811677698</v>
      </c>
      <c r="CG14" s="527">
        <f t="shared" si="4"/>
        <v>302.13288997774089</v>
      </c>
      <c r="CH14" s="527">
        <f t="shared" si="4"/>
        <v>315.78003299827139</v>
      </c>
      <c r="CI14" s="527">
        <f t="shared" si="4"/>
        <v>330.03755791687763</v>
      </c>
      <c r="CJ14" s="527">
        <f t="shared" si="4"/>
        <v>344.93249030464909</v>
      </c>
      <c r="CK14" s="527">
        <f t="shared" si="4"/>
        <v>360.49303975202645</v>
      </c>
      <c r="CL14" s="527">
        <f t="shared" si="4"/>
        <v>376.74865116170281</v>
      </c>
      <c r="CM14" s="527">
        <f t="shared" si="4"/>
        <v>393.73005823699077</v>
      </c>
      <c r="CN14" s="527">
        <f t="shared" si="5"/>
        <v>411.46933925809469</v>
      </c>
      <c r="CO14" s="527">
        <f t="shared" si="5"/>
        <v>429.99997524318195</v>
      </c>
      <c r="CP14" s="527">
        <f t="shared" si="5"/>
        <v>449.35691059454626</v>
      </c>
      <c r="CQ14" s="527">
        <f t="shared" si="5"/>
        <v>469.57661633501016</v>
      </c>
      <c r="CR14" s="527">
        <f t="shared" si="5"/>
        <v>490.69715604337398</v>
      </c>
      <c r="CS14" s="527">
        <f t="shared" si="5"/>
        <v>512.75825460294163</v>
      </c>
      <c r="CT14" s="527">
        <f t="shared" si="5"/>
        <v>535.80136988121433</v>
      </c>
      <c r="CU14" s="527">
        <f t="shared" si="5"/>
        <v>559.8697674643829</v>
      </c>
      <c r="CV14" s="527">
        <f t="shared" si="5"/>
        <v>585.00859857475075</v>
      </c>
      <c r="CW14" s="531">
        <f t="shared" si="5"/>
        <v>611.26498130517848</v>
      </c>
      <c r="CX14" s="542"/>
    </row>
    <row r="15" spans="1:121" ht="14.25">
      <c r="A15" s="172">
        <v>2</v>
      </c>
      <c r="B15" s="2250">
        <v>99649</v>
      </c>
      <c r="C15" s="173">
        <v>76.44</v>
      </c>
      <c r="D15" s="172">
        <v>52</v>
      </c>
      <c r="E15" s="2250">
        <f t="shared" ref="E15:F63" si="10">+B65</f>
        <v>95416</v>
      </c>
      <c r="F15" s="173">
        <f t="shared" si="10"/>
        <v>28.14</v>
      </c>
      <c r="G15" s="152"/>
      <c r="H15" s="172">
        <v>2</v>
      </c>
      <c r="I15" s="2250">
        <v>99690</v>
      </c>
      <c r="J15" s="173">
        <v>81.25</v>
      </c>
      <c r="K15" s="172">
        <v>52</v>
      </c>
      <c r="L15" s="2250">
        <f t="shared" ref="L15:M63" si="11">+I65</f>
        <v>97369</v>
      </c>
      <c r="M15" s="173">
        <f t="shared" si="11"/>
        <v>32.28</v>
      </c>
      <c r="O15" s="2250">
        <f t="shared" si="6"/>
        <v>99669.5</v>
      </c>
      <c r="P15" s="173">
        <f t="shared" si="7"/>
        <v>78.844999999999999</v>
      </c>
      <c r="S15" s="157" t="s">
        <v>238</v>
      </c>
      <c r="T15" s="181">
        <f>IF(T12&gt;S12,T14+(T12-S12),T14)</f>
        <v>67</v>
      </c>
      <c r="U15" s="181">
        <f>IF(U12&gt;T12,U14+(U12-T12),U14)</f>
        <v>67</v>
      </c>
      <c r="W15" s="2880"/>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7" t="s">
        <v>597</v>
      </c>
      <c r="CA15" s="538">
        <f>IF(CT11&lt;&gt;"",CA16,CA17)</f>
        <v>17.670000000000002</v>
      </c>
      <c r="CC15" s="528">
        <v>32</v>
      </c>
      <c r="CD15" s="526">
        <f t="shared" si="4"/>
        <v>263.28381893176851</v>
      </c>
      <c r="CE15" s="526">
        <f t="shared" si="4"/>
        <v>274.9177677372615</v>
      </c>
      <c r="CF15" s="526">
        <f t="shared" si="4"/>
        <v>287.06081242976859</v>
      </c>
      <c r="CG15" s="526">
        <f t="shared" si="4"/>
        <v>299.73500989855251</v>
      </c>
      <c r="CH15" s="526">
        <f t="shared" si="4"/>
        <v>312.96336273366836</v>
      </c>
      <c r="CI15" s="526">
        <f t="shared" si="4"/>
        <v>326.76985932364124</v>
      </c>
      <c r="CJ15" s="526">
        <f t="shared" si="4"/>
        <v>341.17951563268957</v>
      </c>
      <c r="CK15" s="526">
        <f t="shared" si="4"/>
        <v>356.21841872729885</v>
      </c>
      <c r="CL15" s="526">
        <f t="shared" si="4"/>
        <v>371.91377212408963</v>
      </c>
      <c r="CM15" s="526">
        <f t="shared" si="4"/>
        <v>388.29394303450761</v>
      </c>
      <c r="CN15" s="526">
        <f t="shared" si="5"/>
        <v>405.38851158432976</v>
      </c>
      <c r="CO15" s="526">
        <f t="shared" si="5"/>
        <v>423.22832208974603</v>
      </c>
      <c r="CP15" s="526">
        <f t="shared" si="5"/>
        <v>441.84553647448013</v>
      </c>
      <c r="CQ15" s="526">
        <f t="shared" si="5"/>
        <v>461.27368991651286</v>
      </c>
      <c r="CR15" s="526">
        <f t="shared" si="5"/>
        <v>481.54774881587235</v>
      </c>
      <c r="CS15" s="526">
        <f t="shared" si="5"/>
        <v>502.70417117935455</v>
      </c>
      <c r="CT15" s="526">
        <f t="shared" si="5"/>
        <v>524.78096952126782</v>
      </c>
      <c r="CU15" s="526">
        <f t="shared" si="5"/>
        <v>547.81777638393635</v>
      </c>
      <c r="CV15" s="526">
        <f t="shared" si="5"/>
        <v>571.85591258528916</v>
      </c>
      <c r="CW15" s="530">
        <f t="shared" si="5"/>
        <v>596.93845830583837</v>
      </c>
      <c r="CX15" s="542"/>
    </row>
    <row r="16" spans="1:121" ht="14.25">
      <c r="A16" s="163">
        <v>3</v>
      </c>
      <c r="B16" s="2251">
        <v>99631</v>
      </c>
      <c r="C16" s="179">
        <v>75.45</v>
      </c>
      <c r="D16" s="163">
        <v>53</v>
      </c>
      <c r="E16" s="2251">
        <f t="shared" si="10"/>
        <v>95023</v>
      </c>
      <c r="F16" s="179">
        <f t="shared" si="10"/>
        <v>27.25</v>
      </c>
      <c r="G16" s="152"/>
      <c r="H16" s="163">
        <v>3</v>
      </c>
      <c r="I16" s="2251">
        <v>99675</v>
      </c>
      <c r="J16" s="179">
        <v>80.260000000000005</v>
      </c>
      <c r="K16" s="163">
        <v>53</v>
      </c>
      <c r="L16" s="2251">
        <f t="shared" si="11"/>
        <v>97149</v>
      </c>
      <c r="M16" s="179">
        <f t="shared" si="11"/>
        <v>31.35</v>
      </c>
      <c r="O16" s="2251">
        <f t="shared" si="6"/>
        <v>99653</v>
      </c>
      <c r="P16" s="179">
        <f t="shared" si="7"/>
        <v>77.855000000000004</v>
      </c>
      <c r="S16" s="175" t="s">
        <v>239</v>
      </c>
      <c r="T16" s="176">
        <f>VLOOKUP(T15,Sterbetafel,2)</f>
        <v>82623</v>
      </c>
      <c r="U16" s="177">
        <f>VLOOKUP(U15,Sterbetafel,9)</f>
        <v>90177</v>
      </c>
      <c r="W16" s="2880"/>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7" t="s">
        <v>598</v>
      </c>
      <c r="CA16" s="538">
        <f>VLOOKUP(CH11,Lebenserwartung_M_V2,YEAR(CT11)-1900+2)</f>
        <v>17.670000000000002</v>
      </c>
      <c r="CC16" s="528">
        <v>33</v>
      </c>
      <c r="CD16" s="527">
        <f t="shared" si="4"/>
        <v>261.97394918583933</v>
      </c>
      <c r="CE16" s="527">
        <f t="shared" si="4"/>
        <v>273.27809914240709</v>
      </c>
      <c r="CF16" s="527">
        <f t="shared" si="4"/>
        <v>285.06535494515265</v>
      </c>
      <c r="CG16" s="527">
        <f t="shared" si="4"/>
        <v>297.35616061364328</v>
      </c>
      <c r="CH16" s="527">
        <f t="shared" si="4"/>
        <v>310.17181638619269</v>
      </c>
      <c r="CI16" s="527">
        <f t="shared" si="4"/>
        <v>323.53451418182306</v>
      </c>
      <c r="CJ16" s="527">
        <f t="shared" si="4"/>
        <v>337.46737451304608</v>
      </c>
      <c r="CK16" s="527">
        <f t="shared" si="4"/>
        <v>351.99448490839808</v>
      </c>
      <c r="CL16" s="527">
        <f t="shared" si="4"/>
        <v>367.14093990532047</v>
      </c>
      <c r="CM16" s="527">
        <f t="shared" si="4"/>
        <v>382.93288267702923</v>
      </c>
      <c r="CN16" s="527">
        <f t="shared" si="5"/>
        <v>399.39754835894558</v>
      </c>
      <c r="CO16" s="527">
        <f t="shared" si="5"/>
        <v>416.56330914345079</v>
      </c>
      <c r="CP16" s="527">
        <f t="shared" si="5"/>
        <v>434.45972121384489</v>
      </c>
      <c r="CQ16" s="527">
        <f t="shared" si="5"/>
        <v>453.11757359185935</v>
      </c>
      <c r="CR16" s="527">
        <f t="shared" si="5"/>
        <v>472.56893897534087</v>
      </c>
      <c r="CS16" s="527">
        <f t="shared" si="5"/>
        <v>492.84722664642607</v>
      </c>
      <c r="CT16" s="527">
        <f t="shared" si="5"/>
        <v>513.98723753307331</v>
      </c>
      <c r="CU16" s="527">
        <f t="shared" si="5"/>
        <v>536.02522151070082</v>
      </c>
      <c r="CV16" s="527">
        <f t="shared" si="5"/>
        <v>558.99893703351836</v>
      </c>
      <c r="CW16" s="531">
        <f t="shared" si="5"/>
        <v>582.9477131892952</v>
      </c>
      <c r="CX16" s="542"/>
    </row>
    <row r="17" spans="1:102" ht="14.25">
      <c r="A17" s="172">
        <v>4</v>
      </c>
      <c r="B17" s="2250">
        <v>99617</v>
      </c>
      <c r="C17" s="173">
        <v>74.47</v>
      </c>
      <c r="D17" s="172">
        <v>54</v>
      </c>
      <c r="E17" s="2250">
        <f t="shared" si="10"/>
        <v>94589</v>
      </c>
      <c r="F17" s="173">
        <f t="shared" si="10"/>
        <v>26.37</v>
      </c>
      <c r="G17" s="152"/>
      <c r="H17" s="172">
        <v>4</v>
      </c>
      <c r="I17" s="2250">
        <v>99663</v>
      </c>
      <c r="J17" s="173">
        <v>79.27</v>
      </c>
      <c r="K17" s="172">
        <v>54</v>
      </c>
      <c r="L17" s="2250">
        <f t="shared" si="11"/>
        <v>96906</v>
      </c>
      <c r="M17" s="173">
        <f t="shared" si="11"/>
        <v>30.43</v>
      </c>
      <c r="O17" s="2250">
        <f t="shared" si="6"/>
        <v>99640</v>
      </c>
      <c r="P17" s="173">
        <f t="shared" si="7"/>
        <v>76.87</v>
      </c>
      <c r="S17" s="157" t="s">
        <v>240</v>
      </c>
      <c r="T17" s="180">
        <f>+T16/T13</f>
        <v>0.85982329618182385</v>
      </c>
      <c r="U17" s="181">
        <f>+U16/U13</f>
        <v>0.92254572983590455</v>
      </c>
      <c r="W17" s="2880"/>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7" t="s">
        <v>597</v>
      </c>
      <c r="CA17" s="538">
        <f>VLOOKUP($CH$11,Sterbetafel,IF(CO11="m",3,IF(CO11="w",10,IF(CO11="d",16))))</f>
        <v>17.594999999999999</v>
      </c>
      <c r="CC17" s="528">
        <v>34</v>
      </c>
      <c r="CD17" s="526">
        <f t="shared" si="4"/>
        <v>260.6705962048153</v>
      </c>
      <c r="CE17" s="526">
        <f t="shared" si="4"/>
        <v>271.64820988310845</v>
      </c>
      <c r="CF17" s="526">
        <f t="shared" si="4"/>
        <v>283.08376856519624</v>
      </c>
      <c r="CG17" s="526">
        <f t="shared" si="4"/>
        <v>294.99619108496358</v>
      </c>
      <c r="CH17" s="526">
        <f t="shared" si="4"/>
        <v>307.40516985747547</v>
      </c>
      <c r="CI17" s="526">
        <f t="shared" si="4"/>
        <v>320.33120216022087</v>
      </c>
      <c r="CJ17" s="526">
        <f t="shared" si="4"/>
        <v>333.79562266374489</v>
      </c>
      <c r="CK17" s="526">
        <f t="shared" si="4"/>
        <v>347.82063726126296</v>
      </c>
      <c r="CL17" s="526">
        <f t="shared" si="4"/>
        <v>362.42935824809524</v>
      </c>
      <c r="CM17" s="526">
        <f t="shared" si="4"/>
        <v>377.64584090436807</v>
      </c>
      <c r="CN17" s="526">
        <f t="shared" si="5"/>
        <v>393.49512153590706</v>
      </c>
      <c r="CO17" s="526">
        <f t="shared" si="5"/>
        <v>410.00325703095552</v>
      </c>
      <c r="CP17" s="526">
        <f t="shared" si="5"/>
        <v>427.1973659919812</v>
      </c>
      <c r="CQ17" s="526">
        <f t="shared" si="5"/>
        <v>445.10567150477345</v>
      </c>
      <c r="CR17" s="526">
        <f t="shared" si="5"/>
        <v>463.75754560877419</v>
      </c>
      <c r="CS17" s="526">
        <f t="shared" si="5"/>
        <v>483.18355553571183</v>
      </c>
      <c r="CT17" s="526">
        <f t="shared" si="5"/>
        <v>503.41551178557631</v>
      </c>
      <c r="CU17" s="526">
        <f t="shared" si="5"/>
        <v>524.48651811223192</v>
      </c>
      <c r="CV17" s="526">
        <f t="shared" si="5"/>
        <v>546.4310234931753</v>
      </c>
      <c r="CW17" s="530">
        <f t="shared" si="5"/>
        <v>569.28487616142115</v>
      </c>
      <c r="CX17" s="542"/>
    </row>
    <row r="18" spans="1:102" ht="15.75" thickBot="1">
      <c r="A18" s="163">
        <v>5</v>
      </c>
      <c r="B18" s="2251">
        <v>99606</v>
      </c>
      <c r="C18" s="179">
        <v>73.47</v>
      </c>
      <c r="D18" s="163">
        <v>55</v>
      </c>
      <c r="E18" s="2251">
        <f t="shared" si="10"/>
        <v>94108</v>
      </c>
      <c r="F18" s="179">
        <f t="shared" si="10"/>
        <v>25.51</v>
      </c>
      <c r="G18" s="152"/>
      <c r="H18" s="163">
        <v>5</v>
      </c>
      <c r="I18" s="2251">
        <v>99653</v>
      </c>
      <c r="J18" s="179">
        <v>78.28</v>
      </c>
      <c r="K18" s="163">
        <v>55</v>
      </c>
      <c r="L18" s="2251">
        <f t="shared" si="11"/>
        <v>96638</v>
      </c>
      <c r="M18" s="179">
        <f t="shared" si="11"/>
        <v>29.51</v>
      </c>
      <c r="O18" s="2251">
        <f t="shared" si="6"/>
        <v>99629.5</v>
      </c>
      <c r="P18" s="179">
        <f t="shared" si="7"/>
        <v>75.875</v>
      </c>
      <c r="S18" s="157" t="s">
        <v>241</v>
      </c>
      <c r="T18" s="2882">
        <f>+T17*U17</f>
        <v>0.79322631030597379</v>
      </c>
      <c r="U18" s="2883"/>
      <c r="W18" s="2880"/>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9" t="s">
        <v>600</v>
      </c>
      <c r="CA18" s="540">
        <v>1</v>
      </c>
      <c r="CC18" s="528">
        <v>35</v>
      </c>
      <c r="CD18" s="527">
        <f t="shared" si="4"/>
        <v>259.37372756698039</v>
      </c>
      <c r="CE18" s="527">
        <f t="shared" si="4"/>
        <v>270.02804163330859</v>
      </c>
      <c r="CF18" s="527">
        <f t="shared" si="4"/>
        <v>281.11595686712644</v>
      </c>
      <c r="CG18" s="527">
        <f t="shared" si="4"/>
        <v>292.65495147317819</v>
      </c>
      <c r="CH18" s="527">
        <f t="shared" si="4"/>
        <v>304.66320104804305</v>
      </c>
      <c r="CI18" s="527">
        <f t="shared" si="4"/>
        <v>317.15960609922854</v>
      </c>
      <c r="CJ18" s="527">
        <f t="shared" si="4"/>
        <v>330.16382063674075</v>
      </c>
      <c r="CK18" s="527">
        <f t="shared" si="4"/>
        <v>343.69628187871831</v>
      </c>
      <c r="CL18" s="527">
        <f t="shared" si="4"/>
        <v>357.77824111361826</v>
      </c>
      <c r="CM18" s="527">
        <f t="shared" si="4"/>
        <v>372.43179576367652</v>
      </c>
      <c r="CN18" s="527">
        <f t="shared" si="5"/>
        <v>387.679922695475</v>
      </c>
      <c r="CO18" s="527">
        <f t="shared" si="5"/>
        <v>403.54651282574366</v>
      </c>
      <c r="CP18" s="527">
        <f t="shared" si="5"/>
        <v>420.05640707176133</v>
      </c>
      <c r="CQ18" s="527">
        <f t="shared" si="5"/>
        <v>437.23543369820572</v>
      </c>
      <c r="CR18" s="527">
        <f t="shared" si="5"/>
        <v>455.11044711361558</v>
      </c>
      <c r="CS18" s="527">
        <f t="shared" si="5"/>
        <v>473.70936817226652</v>
      </c>
      <c r="CT18" s="527">
        <f t="shared" si="5"/>
        <v>493.06122603876236</v>
      </c>
      <c r="CU18" s="527">
        <f t="shared" si="5"/>
        <v>513.19620167537357</v>
      </c>
      <c r="CV18" s="527">
        <f t="shared" si="5"/>
        <v>534.14567301385659</v>
      </c>
      <c r="CW18" s="531">
        <f t="shared" si="5"/>
        <v>555.94226187638787</v>
      </c>
      <c r="CX18" s="542"/>
    </row>
    <row r="19" spans="1:102" ht="14.25">
      <c r="A19" s="172">
        <v>6</v>
      </c>
      <c r="B19" s="2250">
        <v>99595</v>
      </c>
      <c r="C19" s="173">
        <v>72.48</v>
      </c>
      <c r="D19" s="172">
        <v>56</v>
      </c>
      <c r="E19" s="2250">
        <f t="shared" si="10"/>
        <v>93576</v>
      </c>
      <c r="F19" s="173">
        <f t="shared" si="10"/>
        <v>24.65</v>
      </c>
      <c r="G19" s="152"/>
      <c r="H19" s="172">
        <v>6</v>
      </c>
      <c r="I19" s="2250">
        <v>99645</v>
      </c>
      <c r="J19" s="173">
        <v>77.290000000000006</v>
      </c>
      <c r="K19" s="172">
        <v>56</v>
      </c>
      <c r="L19" s="2250">
        <f t="shared" si="11"/>
        <v>96342</v>
      </c>
      <c r="M19" s="173">
        <f t="shared" si="11"/>
        <v>28.6</v>
      </c>
      <c r="O19" s="2250">
        <f t="shared" si="6"/>
        <v>99620</v>
      </c>
      <c r="P19" s="173">
        <f t="shared" si="7"/>
        <v>74.885000000000005</v>
      </c>
      <c r="S19" s="182" t="s">
        <v>242</v>
      </c>
      <c r="T19" s="183">
        <f>VLOOKUP(T15,Sterbetafel,3)</f>
        <v>16.07</v>
      </c>
      <c r="U19" s="184">
        <f>VLOOKUP(U15,Sterbetafel,10)</f>
        <v>19.12</v>
      </c>
      <c r="W19" s="2880"/>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8">
        <v>36</v>
      </c>
      <c r="CD19" s="526">
        <f t="shared" si="4"/>
        <v>258.08331101192084</v>
      </c>
      <c r="CE19" s="526">
        <f t="shared" si="4"/>
        <v>268.41753641481966</v>
      </c>
      <c r="CF19" s="526">
        <f t="shared" si="4"/>
        <v>279.16182409843736</v>
      </c>
      <c r="CG19" s="526">
        <f t="shared" si="4"/>
        <v>290.33229312815297</v>
      </c>
      <c r="CH19" s="526">
        <f t="shared" si="4"/>
        <v>301.94568983948773</v>
      </c>
      <c r="CI19" s="526">
        <f t="shared" si="4"/>
        <v>314.01941197943415</v>
      </c>
      <c r="CJ19" s="526">
        <f t="shared" si="4"/>
        <v>326.57153376532222</v>
      </c>
      <c r="CK19" s="526">
        <f t="shared" si="4"/>
        <v>339.62083189596683</v>
      </c>
      <c r="CL19" s="526">
        <f t="shared" si="4"/>
        <v>353.18681255046226</v>
      </c>
      <c r="CM19" s="526">
        <f t="shared" si="4"/>
        <v>367.28973941190975</v>
      </c>
      <c r="CN19" s="526">
        <f t="shared" si="5"/>
        <v>381.95066275416264</v>
      </c>
      <c r="CO19" s="526">
        <f t="shared" si="5"/>
        <v>397.1914496316374</v>
      </c>
      <c r="CP19" s="526">
        <f t="shared" si="5"/>
        <v>413.03481521313802</v>
      </c>
      <c r="CQ19" s="526">
        <f t="shared" si="5"/>
        <v>429.50435530275615</v>
      </c>
      <c r="CR19" s="526">
        <f t="shared" si="5"/>
        <v>446.62458009187003</v>
      </c>
      <c r="CS19" s="526">
        <f t="shared" si="5"/>
        <v>464.42094918849648</v>
      </c>
      <c r="CT19" s="526">
        <f t="shared" si="5"/>
        <v>482.91990797136367</v>
      </c>
      <c r="CU19" s="526">
        <f t="shared" si="5"/>
        <v>502.14892531836955</v>
      </c>
      <c r="CV19" s="526">
        <f t="shared" si="5"/>
        <v>522.13653276036814</v>
      </c>
      <c r="CW19" s="530">
        <f t="shared" si="5"/>
        <v>542.91236511366003</v>
      </c>
      <c r="CX19" s="542"/>
    </row>
    <row r="20" spans="1:102" ht="14.25">
      <c r="A20" s="163">
        <v>7</v>
      </c>
      <c r="B20" s="2251">
        <v>99586</v>
      </c>
      <c r="C20" s="179">
        <v>71.489999999999995</v>
      </c>
      <c r="D20" s="163">
        <v>57</v>
      </c>
      <c r="E20" s="2251">
        <f t="shared" si="10"/>
        <v>92985</v>
      </c>
      <c r="F20" s="179">
        <f t="shared" si="10"/>
        <v>23.8</v>
      </c>
      <c r="G20" s="152"/>
      <c r="H20" s="163">
        <v>7</v>
      </c>
      <c r="I20" s="2251">
        <v>99638</v>
      </c>
      <c r="J20" s="179">
        <v>76.290000000000006</v>
      </c>
      <c r="K20" s="163">
        <v>57</v>
      </c>
      <c r="L20" s="2251">
        <f t="shared" si="11"/>
        <v>96017</v>
      </c>
      <c r="M20" s="179">
        <f t="shared" si="11"/>
        <v>27.7</v>
      </c>
      <c r="O20" s="2251">
        <f t="shared" si="6"/>
        <v>99612</v>
      </c>
      <c r="P20" s="179">
        <f t="shared" si="7"/>
        <v>73.89</v>
      </c>
      <c r="S20" s="157" t="s">
        <v>243</v>
      </c>
      <c r="T20" s="2884">
        <f>IF(T19&gt;U19,U19,T19)</f>
        <v>16.07</v>
      </c>
      <c r="U20" s="2885"/>
      <c r="W20" s="2880"/>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8">
        <v>37</v>
      </c>
      <c r="CD20" s="527">
        <f t="shared" si="4"/>
        <v>256.79931443972231</v>
      </c>
      <c r="CE20" s="527">
        <f t="shared" si="4"/>
        <v>266.81663659524821</v>
      </c>
      <c r="CF20" s="527">
        <f t="shared" si="4"/>
        <v>277.2212751722318</v>
      </c>
      <c r="CG20" s="527">
        <f t="shared" si="4"/>
        <v>288.02806857951674</v>
      </c>
      <c r="CH20" s="527">
        <f t="shared" si="4"/>
        <v>299.25241807679663</v>
      </c>
      <c r="CI20" s="527">
        <f t="shared" si="4"/>
        <v>310.91030889052894</v>
      </c>
      <c r="CJ20" s="527">
        <f t="shared" si="4"/>
        <v>323.0183321120893</v>
      </c>
      <c r="CK20" s="527">
        <f t="shared" si="4"/>
        <v>335.59370740708175</v>
      </c>
      <c r="CL20" s="527">
        <f t="shared" si="4"/>
        <v>348.6543065651158</v>
      </c>
      <c r="CM20" s="527">
        <f t="shared" si="4"/>
        <v>362.21867792101557</v>
      </c>
      <c r="CN20" s="527">
        <f t="shared" si="5"/>
        <v>376.30607167897796</v>
      </c>
      <c r="CO20" s="527">
        <f t="shared" si="5"/>
        <v>390.93646617287152</v>
      </c>
      <c r="CP20" s="527">
        <f t="shared" si="5"/>
        <v>406.13059509649759</v>
      </c>
      <c r="CQ20" s="527">
        <f t="shared" si="5"/>
        <v>421.90997573944605</v>
      </c>
      <c r="CR20" s="527">
        <f t="shared" si="5"/>
        <v>438.2969382648381</v>
      </c>
      <c r="CS20" s="527">
        <f t="shared" si="5"/>
        <v>455.31465606715346</v>
      </c>
      <c r="CT20" s="527">
        <f t="shared" si="5"/>
        <v>472.98717724913206</v>
      </c>
      <c r="CU20" s="527">
        <f t="shared" si="5"/>
        <v>491.33945725867852</v>
      </c>
      <c r="CV20" s="527">
        <f t="shared" si="5"/>
        <v>510.39739272763279</v>
      </c>
      <c r="CW20" s="531">
        <f t="shared" si="5"/>
        <v>530.18785655630859</v>
      </c>
      <c r="CX20" s="542"/>
    </row>
    <row r="21" spans="1:102" ht="15.75" thickBot="1">
      <c r="A21" s="172">
        <v>8</v>
      </c>
      <c r="B21" s="2250">
        <v>99577</v>
      </c>
      <c r="C21" s="173">
        <v>70.489999999999995</v>
      </c>
      <c r="D21" s="172">
        <v>58</v>
      </c>
      <c r="E21" s="2250">
        <f t="shared" si="10"/>
        <v>92331</v>
      </c>
      <c r="F21" s="173">
        <f t="shared" si="10"/>
        <v>22.97</v>
      </c>
      <c r="G21" s="152"/>
      <c r="H21" s="172">
        <v>8</v>
      </c>
      <c r="I21" s="2250">
        <v>99631</v>
      </c>
      <c r="J21" s="173">
        <v>75.3</v>
      </c>
      <c r="K21" s="172">
        <v>58</v>
      </c>
      <c r="L21" s="2250">
        <f t="shared" si="11"/>
        <v>95657</v>
      </c>
      <c r="M21" s="173">
        <f t="shared" si="11"/>
        <v>26.8</v>
      </c>
      <c r="O21" s="2250">
        <f t="shared" si="6"/>
        <v>99604</v>
      </c>
      <c r="P21" s="173">
        <f t="shared" si="7"/>
        <v>72.894999999999996</v>
      </c>
      <c r="S21" s="185" t="str">
        <f>"Wahrscheinlich gemeinsame Zeit: "&amp;TEXT(T20,"#0,00")&amp;" x "&amp;TEXT(T18,"#0,00%")</f>
        <v>Wahrscheinlich gemeinsame Zeit: 16,07 x 79,32%</v>
      </c>
      <c r="T21" s="2886">
        <f>+T20*T18</f>
        <v>12.747146806617</v>
      </c>
      <c r="U21" s="2887"/>
      <c r="W21" s="2880"/>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8">
        <v>38</v>
      </c>
      <c r="CD21" s="526">
        <f t="shared" si="4"/>
        <v>255.52170591017148</v>
      </c>
      <c r="CE21" s="526">
        <f t="shared" si="4"/>
        <v>265.22528488593264</v>
      </c>
      <c r="CF21" s="526">
        <f t="shared" si="4"/>
        <v>275.29421566259373</v>
      </c>
      <c r="CG21" s="526">
        <f t="shared" si="4"/>
        <v>285.74213152729834</v>
      </c>
      <c r="CH21" s="526">
        <f t="shared" si="4"/>
        <v>296.5831695508391</v>
      </c>
      <c r="CI21" s="526">
        <f t="shared" si="4"/>
        <v>307.83198900052366</v>
      </c>
      <c r="CJ21" s="526">
        <f t="shared" si="4"/>
        <v>319.50379041749682</v>
      </c>
      <c r="CK21" s="526">
        <f t="shared" si="4"/>
        <v>331.61433538249179</v>
      </c>
      <c r="CL21" s="526">
        <f t="shared" si="4"/>
        <v>344.17996699419126</v>
      </c>
      <c r="CM21" s="526">
        <f t="shared" si="4"/>
        <v>357.21763108581411</v>
      </c>
      <c r="CN21" s="526">
        <f t="shared" si="5"/>
        <v>370.74489820588974</v>
      </c>
      <c r="CO21" s="526">
        <f t="shared" si="5"/>
        <v>384.77998639062156</v>
      </c>
      <c r="CP21" s="526">
        <f t="shared" si="5"/>
        <v>399.34178475565147</v>
      </c>
      <c r="CQ21" s="526">
        <f t="shared" si="5"/>
        <v>414.44987793658754</v>
      </c>
      <c r="CR21" s="526">
        <f t="shared" si="5"/>
        <v>430.12457140808442</v>
      </c>
      <c r="CS21" s="526">
        <f t="shared" si="5"/>
        <v>446.38691771289558</v>
      </c>
      <c r="CT21" s="526">
        <f t="shared" si="5"/>
        <v>463.25874363284231</v>
      </c>
      <c r="CU21" s="526">
        <f t="shared" si="5"/>
        <v>480.76267833530198</v>
      </c>
      <c r="CV21" s="526">
        <f t="shared" si="5"/>
        <v>498.92218252945543</v>
      </c>
      <c r="CW21" s="530">
        <f t="shared" si="5"/>
        <v>517.76157866827009</v>
      </c>
      <c r="CX21" s="542"/>
    </row>
    <row r="22" spans="1:102" ht="14.25">
      <c r="A22" s="163">
        <v>9</v>
      </c>
      <c r="B22" s="2251">
        <v>99569</v>
      </c>
      <c r="C22" s="179">
        <v>69.5</v>
      </c>
      <c r="D22" s="163">
        <v>59</v>
      </c>
      <c r="E22" s="2251">
        <f t="shared" si="10"/>
        <v>91606</v>
      </c>
      <c r="F22" s="179">
        <f t="shared" si="10"/>
        <v>22.14</v>
      </c>
      <c r="G22" s="152"/>
      <c r="H22" s="163">
        <v>9</v>
      </c>
      <c r="I22" s="2251">
        <v>99624</v>
      </c>
      <c r="J22" s="179">
        <v>74.3</v>
      </c>
      <c r="K22" s="163">
        <v>59</v>
      </c>
      <c r="L22" s="2251">
        <f t="shared" si="11"/>
        <v>95261</v>
      </c>
      <c r="M22" s="179">
        <f t="shared" si="11"/>
        <v>25.91</v>
      </c>
      <c r="O22" s="2251">
        <f t="shared" si="6"/>
        <v>99596.5</v>
      </c>
      <c r="P22" s="179">
        <f t="shared" si="7"/>
        <v>71.900000000000006</v>
      </c>
      <c r="W22" s="2880"/>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8">
        <v>39</v>
      </c>
      <c r="CD22" s="527">
        <f t="shared" si="4"/>
        <v>254.25045364196171</v>
      </c>
      <c r="CE22" s="527">
        <f t="shared" si="4"/>
        <v>263.64342433989322</v>
      </c>
      <c r="CF22" s="527">
        <f t="shared" si="4"/>
        <v>273.38055179999378</v>
      </c>
      <c r="CG22" s="527">
        <f t="shared" si="4"/>
        <v>283.47433683263728</v>
      </c>
      <c r="CH22" s="527">
        <f t="shared" si="4"/>
        <v>293.93772998101002</v>
      </c>
      <c r="CI22" s="527">
        <f t="shared" si="4"/>
        <v>304.78414752527095</v>
      </c>
      <c r="CJ22" s="527">
        <f t="shared" si="4"/>
        <v>316.02748804895839</v>
      </c>
      <c r="CK22" s="527">
        <f t="shared" si="4"/>
        <v>327.6821495874425</v>
      </c>
      <c r="CL22" s="527">
        <f t="shared" si="4"/>
        <v>339.76304737827371</v>
      </c>
      <c r="CM22" s="527">
        <f t="shared" si="4"/>
        <v>352.28563223453068</v>
      </c>
      <c r="CN22" s="527">
        <f t="shared" si="5"/>
        <v>365.26590956245298</v>
      </c>
      <c r="CO22" s="527">
        <f t="shared" si="5"/>
        <v>378.72045904588731</v>
      </c>
      <c r="CP22" s="527">
        <f t="shared" si="5"/>
        <v>392.66645502030633</v>
      </c>
      <c r="CQ22" s="527">
        <f t="shared" si="5"/>
        <v>407.12168756049846</v>
      </c>
      <c r="CR22" s="527">
        <f t="shared" si="5"/>
        <v>422.10458430626545</v>
      </c>
      <c r="CS22" s="527">
        <f t="shared" si="5"/>
        <v>437.63423305185847</v>
      </c>
      <c r="CT22" s="527">
        <f t="shared" si="5"/>
        <v>453.730405125213</v>
      </c>
      <c r="CU22" s="527">
        <f t="shared" si="5"/>
        <v>470.41357958444416</v>
      </c>
      <c r="CV22" s="527">
        <f t="shared" si="5"/>
        <v>487.70496825948715</v>
      </c>
      <c r="CW22" s="531">
        <f t="shared" si="5"/>
        <v>505.62654166823256</v>
      </c>
      <c r="CX22" s="542"/>
    </row>
    <row r="23" spans="1:102" thickBot="1">
      <c r="A23" s="172">
        <v>10</v>
      </c>
      <c r="B23" s="2250">
        <v>99561</v>
      </c>
      <c r="C23" s="173">
        <v>68.510000000000005</v>
      </c>
      <c r="D23" s="172">
        <v>60</v>
      </c>
      <c r="E23" s="2250">
        <f t="shared" si="10"/>
        <v>90805</v>
      </c>
      <c r="F23" s="173">
        <f t="shared" si="10"/>
        <v>21.34</v>
      </c>
      <c r="G23" s="152"/>
      <c r="H23" s="172">
        <v>10</v>
      </c>
      <c r="I23" s="2250">
        <v>99617</v>
      </c>
      <c r="J23" s="173">
        <v>73.31</v>
      </c>
      <c r="K23" s="172">
        <v>60</v>
      </c>
      <c r="L23" s="2250">
        <f t="shared" si="11"/>
        <v>94822</v>
      </c>
      <c r="M23" s="173">
        <f t="shared" si="11"/>
        <v>25.03</v>
      </c>
      <c r="O23" s="2250">
        <f t="shared" si="6"/>
        <v>99589</v>
      </c>
      <c r="P23" s="173">
        <f t="shared" si="7"/>
        <v>70.91</v>
      </c>
      <c r="W23" s="2880"/>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8">
        <v>40</v>
      </c>
      <c r="CD23" s="526">
        <f t="shared" ref="CD23:CM32" si="30">(((1+CD$12)^$CA$15-1)/CD$12)*$CA$18*(1+CD$12)^($CH$11-$CC23)*12</f>
        <v>252.98552601190227</v>
      </c>
      <c r="CE23" s="526">
        <f t="shared" si="30"/>
        <v>262.07099834979442</v>
      </c>
      <c r="CF23" s="526">
        <f t="shared" si="30"/>
        <v>271.4801904667267</v>
      </c>
      <c r="CG23" s="526">
        <f t="shared" si="30"/>
        <v>281.22454050856874</v>
      </c>
      <c r="CH23" s="526">
        <f t="shared" si="30"/>
        <v>291.31588699802774</v>
      </c>
      <c r="CI23" s="526">
        <f t="shared" si="30"/>
        <v>301.76648269828803</v>
      </c>
      <c r="CJ23" s="526">
        <f t="shared" si="30"/>
        <v>312.58900895050283</v>
      </c>
      <c r="CK23" s="526">
        <f t="shared" si="30"/>
        <v>323.7965905014255</v>
      </c>
      <c r="CL23" s="526">
        <f t="shared" si="30"/>
        <v>335.40281083738768</v>
      </c>
      <c r="CM23" s="526">
        <f t="shared" si="30"/>
        <v>347.42172804194342</v>
      </c>
      <c r="CN23" s="526">
        <f t="shared" ref="CN23:CW32" si="31">(((1+CN$12)^$CA$15-1)/CN$12)*$CA$18*(1+CN$12)^($CH$11-$CC23)*12</f>
        <v>359.86789119453499</v>
      </c>
      <c r="CO23" s="526">
        <f t="shared" si="31"/>
        <v>372.75635732862924</v>
      </c>
      <c r="CP23" s="526">
        <f t="shared" si="31"/>
        <v>386.10270896785289</v>
      </c>
      <c r="CQ23" s="526">
        <f t="shared" si="31"/>
        <v>399.92307225982171</v>
      </c>
      <c r="CR23" s="526">
        <f t="shared" si="31"/>
        <v>414.23413572744403</v>
      </c>
      <c r="CS23" s="526">
        <f t="shared" si="31"/>
        <v>429.05316965868468</v>
      </c>
      <c r="CT23" s="526">
        <f t="shared" si="31"/>
        <v>444.39804615593835</v>
      </c>
      <c r="CU23" s="526">
        <f t="shared" si="31"/>
        <v>460.2872598673622</v>
      </c>
      <c r="CV23" s="526">
        <f t="shared" si="31"/>
        <v>476.73994942276363</v>
      </c>
      <c r="CW23" s="530">
        <f t="shared" si="31"/>
        <v>493.77591959788333</v>
      </c>
      <c r="CX23" s="542"/>
    </row>
    <row r="24" spans="1:102" ht="14.25">
      <c r="A24" s="163">
        <v>11</v>
      </c>
      <c r="B24" s="2251">
        <v>99553</v>
      </c>
      <c r="C24" s="179">
        <v>67.510000000000005</v>
      </c>
      <c r="D24" s="163">
        <v>61</v>
      </c>
      <c r="E24" s="2251">
        <f t="shared" si="10"/>
        <v>89921</v>
      </c>
      <c r="F24" s="179">
        <f t="shared" si="10"/>
        <v>20.54</v>
      </c>
      <c r="G24" s="152"/>
      <c r="H24" s="163">
        <v>11</v>
      </c>
      <c r="I24" s="2251">
        <v>99611</v>
      </c>
      <c r="J24" s="179">
        <v>72.31</v>
      </c>
      <c r="K24" s="163">
        <v>61</v>
      </c>
      <c r="L24" s="2251">
        <f t="shared" si="11"/>
        <v>94336</v>
      </c>
      <c r="M24" s="179">
        <f t="shared" si="11"/>
        <v>24.15</v>
      </c>
      <c r="O24" s="2251">
        <f t="shared" si="6"/>
        <v>99582</v>
      </c>
      <c r="P24" s="179">
        <f t="shared" si="7"/>
        <v>69.91</v>
      </c>
      <c r="S24" s="2888" t="s">
        <v>244</v>
      </c>
      <c r="T24" s="2889"/>
      <c r="U24" s="2890"/>
      <c r="W24" s="2880"/>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8">
        <v>41</v>
      </c>
      <c r="CD24" s="527">
        <f t="shared" si="30"/>
        <v>251.72689155413161</v>
      </c>
      <c r="CE24" s="527">
        <f t="shared" si="30"/>
        <v>260.50795064591892</v>
      </c>
      <c r="CF24" s="527">
        <f t="shared" si="30"/>
        <v>269.59303919238005</v>
      </c>
      <c r="CG24" s="527">
        <f t="shared" si="30"/>
        <v>278.99259971088168</v>
      </c>
      <c r="CH24" s="527">
        <f t="shared" si="30"/>
        <v>288.71743012688574</v>
      </c>
      <c r="CI24" s="527">
        <f t="shared" si="30"/>
        <v>298.77869574087936</v>
      </c>
      <c r="CJ24" s="527">
        <f t="shared" si="30"/>
        <v>309.18794159298005</v>
      </c>
      <c r="CK24" s="527">
        <f t="shared" si="30"/>
        <v>319.95710523856269</v>
      </c>
      <c r="CL24" s="527">
        <f t="shared" si="30"/>
        <v>331.09852994806289</v>
      </c>
      <c r="CM24" s="527">
        <f t="shared" si="30"/>
        <v>342.62497834511186</v>
      </c>
      <c r="CN24" s="527">
        <f t="shared" si="31"/>
        <v>354.54964649707887</v>
      </c>
      <c r="CO24" s="527">
        <f t="shared" si="31"/>
        <v>366.88617847306034</v>
      </c>
      <c r="CP24" s="527">
        <f t="shared" si="31"/>
        <v>379.6486813843195</v>
      </c>
      <c r="CQ24" s="527">
        <f t="shared" si="31"/>
        <v>392.85174092320409</v>
      </c>
      <c r="CR24" s="527">
        <f t="shared" si="31"/>
        <v>406.51043741653007</v>
      </c>
      <c r="CS24" s="527">
        <f t="shared" si="31"/>
        <v>420.64036241047523</v>
      </c>
      <c r="CT24" s="527">
        <f t="shared" si="31"/>
        <v>435.25763580405328</v>
      </c>
      <c r="CU24" s="527">
        <f t="shared" si="31"/>
        <v>450.37892354927811</v>
      </c>
      <c r="CV24" s="527">
        <f t="shared" si="31"/>
        <v>466.02145593623038</v>
      </c>
      <c r="CW24" s="531">
        <f t="shared" si="31"/>
        <v>482.20304648230797</v>
      </c>
      <c r="CX24" s="542"/>
    </row>
    <row r="25" spans="1:102" ht="14.25">
      <c r="A25" s="172">
        <v>12</v>
      </c>
      <c r="B25" s="2250">
        <v>99545</v>
      </c>
      <c r="C25" s="173">
        <v>66.52</v>
      </c>
      <c r="D25" s="172">
        <v>62</v>
      </c>
      <c r="E25" s="2250">
        <f t="shared" si="10"/>
        <v>88949</v>
      </c>
      <c r="F25" s="173">
        <f t="shared" si="10"/>
        <v>19.760000000000002</v>
      </c>
      <c r="G25" s="152"/>
      <c r="H25" s="172">
        <v>12</v>
      </c>
      <c r="I25" s="2250">
        <v>99603</v>
      </c>
      <c r="J25" s="173">
        <v>71.319999999999993</v>
      </c>
      <c r="K25" s="172">
        <v>62</v>
      </c>
      <c r="L25" s="2250">
        <f t="shared" si="11"/>
        <v>93797</v>
      </c>
      <c r="M25" s="173">
        <f t="shared" si="11"/>
        <v>23.29</v>
      </c>
      <c r="O25" s="2250">
        <f t="shared" si="6"/>
        <v>99574</v>
      </c>
      <c r="P25" s="173">
        <f t="shared" si="7"/>
        <v>68.919999999999987</v>
      </c>
      <c r="S25" s="2891"/>
      <c r="T25" s="2892"/>
      <c r="U25" s="2893"/>
      <c r="W25" s="2880"/>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8">
        <v>42</v>
      </c>
      <c r="CD25" s="526">
        <f t="shared" si="30"/>
        <v>250.474518959335</v>
      </c>
      <c r="CE25" s="526">
        <f t="shared" si="30"/>
        <v>258.95422529415407</v>
      </c>
      <c r="CF25" s="526">
        <f t="shared" si="30"/>
        <v>267.71900614933475</v>
      </c>
      <c r="CG25" s="526">
        <f t="shared" si="30"/>
        <v>276.77837272904924</v>
      </c>
      <c r="CH25" s="526">
        <f t="shared" si="30"/>
        <v>286.14215076995623</v>
      </c>
      <c r="CI25" s="526">
        <f t="shared" si="30"/>
        <v>295.82049083255379</v>
      </c>
      <c r="CJ25" s="526">
        <f t="shared" si="30"/>
        <v>305.82387892480722</v>
      </c>
      <c r="CK25" s="526">
        <f t="shared" si="30"/>
        <v>316.16314746893545</v>
      </c>
      <c r="CL25" s="526">
        <f t="shared" si="30"/>
        <v>326.84948662197723</v>
      </c>
      <c r="CM25" s="526">
        <f t="shared" si="30"/>
        <v>337.8944559616487</v>
      </c>
      <c r="CN25" s="526">
        <f t="shared" si="31"/>
        <v>349.30999654884624</v>
      </c>
      <c r="CO25" s="526">
        <f t="shared" si="31"/>
        <v>361.10844337899636</v>
      </c>
      <c r="CP25" s="526">
        <f t="shared" si="31"/>
        <v>373.30253823433588</v>
      </c>
      <c r="CQ25" s="526">
        <f t="shared" si="31"/>
        <v>385.90544295010221</v>
      </c>
      <c r="CR25" s="526">
        <f t="shared" si="31"/>
        <v>398.9307531074877</v>
      </c>
      <c r="CS25" s="526">
        <f t="shared" si="31"/>
        <v>412.39251216713251</v>
      </c>
      <c r="CT25" s="526">
        <f t="shared" si="31"/>
        <v>426.30522605685923</v>
      </c>
      <c r="CU25" s="526">
        <f t="shared" si="31"/>
        <v>440.68387822825639</v>
      </c>
      <c r="CV25" s="526">
        <f t="shared" si="31"/>
        <v>455.5439451967062</v>
      </c>
      <c r="CW25" s="530">
        <f t="shared" si="31"/>
        <v>470.90141258037875</v>
      </c>
      <c r="CX25" s="542"/>
    </row>
    <row r="26" spans="1:102" ht="14.25">
      <c r="A26" s="163">
        <v>13</v>
      </c>
      <c r="B26" s="2251">
        <v>99536</v>
      </c>
      <c r="C26" s="179">
        <v>65.52</v>
      </c>
      <c r="D26" s="163">
        <v>63</v>
      </c>
      <c r="E26" s="2251">
        <f t="shared" si="10"/>
        <v>87883</v>
      </c>
      <c r="F26" s="179">
        <f t="shared" si="10"/>
        <v>18.989999999999998</v>
      </c>
      <c r="G26" s="152"/>
      <c r="H26" s="163">
        <v>13</v>
      </c>
      <c r="I26" s="2251">
        <v>99595</v>
      </c>
      <c r="J26" s="179">
        <v>70.319999999999993</v>
      </c>
      <c r="K26" s="163">
        <v>63</v>
      </c>
      <c r="L26" s="2251">
        <f t="shared" si="11"/>
        <v>93201</v>
      </c>
      <c r="M26" s="179">
        <f t="shared" si="11"/>
        <v>22.44</v>
      </c>
      <c r="O26" s="2251">
        <f t="shared" si="6"/>
        <v>99565.5</v>
      </c>
      <c r="P26" s="179">
        <f t="shared" si="7"/>
        <v>67.919999999999987</v>
      </c>
      <c r="S26" s="186" t="s">
        <v>245</v>
      </c>
      <c r="T26" s="2894">
        <v>70</v>
      </c>
      <c r="U26" s="2895"/>
      <c r="W26" s="2880"/>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8">
        <v>43</v>
      </c>
      <c r="CD26" s="527">
        <f t="shared" si="30"/>
        <v>249.22837707396519</v>
      </c>
      <c r="CE26" s="527">
        <f t="shared" si="30"/>
        <v>257.40976669399015</v>
      </c>
      <c r="CF26" s="527">
        <f t="shared" si="30"/>
        <v>265.8580001482967</v>
      </c>
      <c r="CG26" s="527">
        <f t="shared" si="30"/>
        <v>274.58171897723139</v>
      </c>
      <c r="CH26" s="527">
        <f t="shared" si="30"/>
        <v>283.5898421902441</v>
      </c>
      <c r="CI26" s="527">
        <f t="shared" si="30"/>
        <v>292.89157508173639</v>
      </c>
      <c r="CJ26" s="527">
        <f t="shared" si="30"/>
        <v>302.49641832325148</v>
      </c>
      <c r="CK26" s="527">
        <f t="shared" si="30"/>
        <v>312.4141773408453</v>
      </c>
      <c r="CL26" s="527">
        <f t="shared" si="30"/>
        <v>322.65497198615719</v>
      </c>
      <c r="CM26" s="527">
        <f t="shared" si="30"/>
        <v>333.22924651050164</v>
      </c>
      <c r="CN26" s="527">
        <f t="shared" si="31"/>
        <v>344.14777985108003</v>
      </c>
      <c r="CO26" s="527">
        <f t="shared" si="31"/>
        <v>355.42169623916965</v>
      </c>
      <c r="CP26" s="527">
        <f t="shared" si="31"/>
        <v>367.06247613995663</v>
      </c>
      <c r="CQ26" s="527">
        <f t="shared" si="31"/>
        <v>379.08196753448152</v>
      </c>
      <c r="CR26" s="527">
        <f t="shared" si="31"/>
        <v>391.49239755396252</v>
      </c>
      <c r="CS26" s="527">
        <f t="shared" si="31"/>
        <v>404.30638447758093</v>
      </c>
      <c r="CT26" s="527">
        <f t="shared" si="31"/>
        <v>417.53695010466146</v>
      </c>
      <c r="CU26" s="527">
        <f t="shared" si="31"/>
        <v>431.19753251297107</v>
      </c>
      <c r="CV26" s="527">
        <f t="shared" si="31"/>
        <v>445.30199921476662</v>
      </c>
      <c r="CW26" s="531">
        <f t="shared" si="31"/>
        <v>459.86466072302619</v>
      </c>
      <c r="CX26" s="542"/>
    </row>
    <row r="27" spans="1:102" ht="14.25">
      <c r="A27" s="172">
        <v>14</v>
      </c>
      <c r="B27" s="2250">
        <v>99526</v>
      </c>
      <c r="C27" s="173">
        <v>64.53</v>
      </c>
      <c r="D27" s="172">
        <v>64</v>
      </c>
      <c r="E27" s="2250">
        <f t="shared" si="10"/>
        <v>86719</v>
      </c>
      <c r="F27" s="173">
        <f t="shared" si="10"/>
        <v>18.239999999999998</v>
      </c>
      <c r="G27" s="152"/>
      <c r="H27" s="172">
        <v>14</v>
      </c>
      <c r="I27" s="2250">
        <v>99585</v>
      </c>
      <c r="J27" s="173">
        <v>69.33</v>
      </c>
      <c r="K27" s="172">
        <v>64</v>
      </c>
      <c r="L27" s="2250">
        <f t="shared" si="11"/>
        <v>92543</v>
      </c>
      <c r="M27" s="173">
        <f t="shared" si="11"/>
        <v>21.59</v>
      </c>
      <c r="O27" s="2250">
        <f t="shared" si="6"/>
        <v>99555.5</v>
      </c>
      <c r="P27" s="173">
        <f t="shared" si="7"/>
        <v>66.930000000000007</v>
      </c>
      <c r="S27" s="186" t="s">
        <v>246</v>
      </c>
      <c r="T27" s="2894" t="s">
        <v>247</v>
      </c>
      <c r="U27" s="2895"/>
      <c r="W27" s="2880"/>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8">
        <v>44</v>
      </c>
      <c r="CD27" s="526">
        <f t="shared" si="30"/>
        <v>247.98843489946785</v>
      </c>
      <c r="CE27" s="526">
        <f t="shared" si="30"/>
        <v>255.8745195765309</v>
      </c>
      <c r="CF27" s="526">
        <f t="shared" si="30"/>
        <v>264.00993063385965</v>
      </c>
      <c r="CG27" s="526">
        <f t="shared" si="30"/>
        <v>272.40249898534859</v>
      </c>
      <c r="CH27" s="526">
        <f t="shared" si="30"/>
        <v>281.06029949479091</v>
      </c>
      <c r="CI27" s="526">
        <f t="shared" si="30"/>
        <v>289.99165849676865</v>
      </c>
      <c r="CJ27" s="526">
        <f t="shared" si="30"/>
        <v>299.20516154624278</v>
      </c>
      <c r="CK27" s="526">
        <f t="shared" si="30"/>
        <v>308.70966140399742</v>
      </c>
      <c r="CL27" s="526">
        <f t="shared" si="30"/>
        <v>318.51428626471591</v>
      </c>
      <c r="CM27" s="526">
        <f t="shared" si="30"/>
        <v>328.62844823520868</v>
      </c>
      <c r="CN27" s="526">
        <f t="shared" si="31"/>
        <v>339.06185207002966</v>
      </c>
      <c r="CO27" s="526">
        <f t="shared" si="31"/>
        <v>349.82450417241103</v>
      </c>
      <c r="CP27" s="526">
        <f t="shared" si="31"/>
        <v>360.92672186819721</v>
      </c>
      <c r="CQ27" s="526">
        <f t="shared" si="31"/>
        <v>372.37914296118038</v>
      </c>
      <c r="CR27" s="526">
        <f t="shared" si="31"/>
        <v>384.19273557798084</v>
      </c>
      <c r="CS27" s="526">
        <f t="shared" si="31"/>
        <v>396.37880831135385</v>
      </c>
      <c r="CT27" s="526">
        <f t="shared" si="31"/>
        <v>408.94902067057933</v>
      </c>
      <c r="CU27" s="526">
        <f t="shared" si="31"/>
        <v>421.91539384830821</v>
      </c>
      <c r="CV27" s="526">
        <f t="shared" si="31"/>
        <v>435.29032181306616</v>
      </c>
      <c r="CW27" s="530">
        <f t="shared" si="31"/>
        <v>449.08658273733033</v>
      </c>
      <c r="CX27" s="542"/>
    </row>
    <row r="28" spans="1:102" ht="14.25">
      <c r="A28" s="163">
        <v>15</v>
      </c>
      <c r="B28" s="2251">
        <v>99513</v>
      </c>
      <c r="C28" s="179">
        <v>63.54</v>
      </c>
      <c r="D28" s="163">
        <v>65</v>
      </c>
      <c r="E28" s="2251">
        <f t="shared" si="10"/>
        <v>85455</v>
      </c>
      <c r="F28" s="179">
        <f t="shared" si="10"/>
        <v>17.5</v>
      </c>
      <c r="G28" s="152"/>
      <c r="H28" s="163">
        <v>15</v>
      </c>
      <c r="I28" s="2251">
        <v>99574</v>
      </c>
      <c r="J28" s="179">
        <v>68.34</v>
      </c>
      <c r="K28" s="163">
        <v>65</v>
      </c>
      <c r="L28" s="2251">
        <f t="shared" si="11"/>
        <v>91821</v>
      </c>
      <c r="M28" s="179">
        <f t="shared" si="11"/>
        <v>20.76</v>
      </c>
      <c r="O28" s="2251">
        <f t="shared" si="6"/>
        <v>99543.5</v>
      </c>
      <c r="P28" s="179">
        <f t="shared" si="7"/>
        <v>65.94</v>
      </c>
      <c r="S28" s="186" t="s">
        <v>248</v>
      </c>
      <c r="T28" s="2894">
        <v>30</v>
      </c>
      <c r="U28" s="2895"/>
      <c r="W28" s="2880"/>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8">
        <v>45</v>
      </c>
      <c r="CD28" s="527">
        <f t="shared" si="30"/>
        <v>246.75466159151037</v>
      </c>
      <c r="CE28" s="527">
        <f t="shared" si="30"/>
        <v>254.34842900251584</v>
      </c>
      <c r="CF28" s="527">
        <f t="shared" si="30"/>
        <v>262.17470768009906</v>
      </c>
      <c r="CG28" s="527">
        <f t="shared" si="30"/>
        <v>270.2405743902267</v>
      </c>
      <c r="CH28" s="527">
        <f t="shared" si="30"/>
        <v>278.55331961822696</v>
      </c>
      <c r="CI28" s="527">
        <f t="shared" si="30"/>
        <v>287.12045395719673</v>
      </c>
      <c r="CJ28" s="527">
        <f t="shared" si="30"/>
        <v>295.94971468471095</v>
      </c>
      <c r="CK28" s="527">
        <f t="shared" si="30"/>
        <v>305.0490725335942</v>
      </c>
      <c r="CL28" s="527">
        <f t="shared" si="30"/>
        <v>314.42673866210845</v>
      </c>
      <c r="CM28" s="527">
        <f t="shared" si="30"/>
        <v>324.09117182959437</v>
      </c>
      <c r="CN28" s="527">
        <f t="shared" si="31"/>
        <v>334.05108578328048</v>
      </c>
      <c r="CO28" s="527">
        <f t="shared" si="31"/>
        <v>344.31545686260927</v>
      </c>
      <c r="CP28" s="527">
        <f t="shared" si="31"/>
        <v>354.89353182713592</v>
      </c>
      <c r="CQ28" s="527">
        <f t="shared" si="31"/>
        <v>365.79483591471535</v>
      </c>
      <c r="CR28" s="527">
        <f t="shared" si="31"/>
        <v>377.02918113638952</v>
      </c>
      <c r="CS28" s="527">
        <f t="shared" si="31"/>
        <v>388.60667481505277</v>
      </c>
      <c r="CT28" s="527">
        <f t="shared" si="31"/>
        <v>400.53772837471047</v>
      </c>
      <c r="CU28" s="527">
        <f t="shared" si="31"/>
        <v>412.83306638777719</v>
      </c>
      <c r="CV28" s="527">
        <f t="shared" si="31"/>
        <v>425.50373588765029</v>
      </c>
      <c r="CW28" s="531">
        <f t="shared" si="31"/>
        <v>438.56111595442405</v>
      </c>
      <c r="CX28" s="542"/>
    </row>
    <row r="29" spans="1:102" ht="14.25">
      <c r="A29" s="172">
        <v>16</v>
      </c>
      <c r="B29" s="2250">
        <v>99496</v>
      </c>
      <c r="C29" s="173">
        <v>62.55</v>
      </c>
      <c r="D29" s="172">
        <v>66</v>
      </c>
      <c r="E29" s="2250">
        <f t="shared" si="10"/>
        <v>84089</v>
      </c>
      <c r="F29" s="173">
        <f t="shared" si="10"/>
        <v>16.78</v>
      </c>
      <c r="G29" s="152"/>
      <c r="H29" s="172">
        <v>16</v>
      </c>
      <c r="I29" s="2250">
        <v>99561</v>
      </c>
      <c r="J29" s="173">
        <v>67.349999999999994</v>
      </c>
      <c r="K29" s="172">
        <v>66</v>
      </c>
      <c r="L29" s="2250">
        <f t="shared" si="11"/>
        <v>91032</v>
      </c>
      <c r="M29" s="173">
        <f t="shared" si="11"/>
        <v>19.93</v>
      </c>
      <c r="O29" s="2250">
        <f t="shared" si="6"/>
        <v>99528.5</v>
      </c>
      <c r="P29" s="173">
        <f t="shared" si="7"/>
        <v>64.949999999999989</v>
      </c>
      <c r="S29" s="186" t="s">
        <v>249</v>
      </c>
      <c r="T29" s="2896">
        <v>12000</v>
      </c>
      <c r="U29" s="2897"/>
      <c r="W29" s="2880"/>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8">
        <v>46</v>
      </c>
      <c r="CD29" s="526">
        <f t="shared" si="30"/>
        <v>245.52702645921431</v>
      </c>
      <c r="CE29" s="526">
        <f t="shared" si="30"/>
        <v>252.83144036035372</v>
      </c>
      <c r="CF29" s="526">
        <f t="shared" si="30"/>
        <v>260.35224198619574</v>
      </c>
      <c r="CG29" s="526">
        <f t="shared" si="30"/>
        <v>268.09580792681226</v>
      </c>
      <c r="CH29" s="526">
        <f t="shared" si="30"/>
        <v>276.06870130646877</v>
      </c>
      <c r="CI29" s="526">
        <f t="shared" si="30"/>
        <v>284.27767718534324</v>
      </c>
      <c r="CJ29" s="526">
        <f t="shared" si="30"/>
        <v>292.72968811544115</v>
      </c>
      <c r="CK29" s="526">
        <f t="shared" si="30"/>
        <v>301.43188985533027</v>
      </c>
      <c r="CL29" s="526">
        <f t="shared" si="30"/>
        <v>310.39164724788594</v>
      </c>
      <c r="CM29" s="526">
        <f t="shared" si="30"/>
        <v>319.61654026587212</v>
      </c>
      <c r="CN29" s="526">
        <f t="shared" si="31"/>
        <v>329.11437022983307</v>
      </c>
      <c r="CO29" s="526">
        <f t="shared" si="31"/>
        <v>338.89316620335558</v>
      </c>
      <c r="CP29" s="526">
        <f t="shared" si="31"/>
        <v>348.96119157043853</v>
      </c>
      <c r="CQ29" s="526">
        <f t="shared" si="31"/>
        <v>359.32695080030982</v>
      </c>
      <c r="CR29" s="526">
        <f t="shared" si="31"/>
        <v>369.99919640470023</v>
      </c>
      <c r="CS29" s="526">
        <f t="shared" si="31"/>
        <v>380.986936093189</v>
      </c>
      <c r="CT29" s="526">
        <f t="shared" si="31"/>
        <v>392.29944013193978</v>
      </c>
      <c r="CU29" s="526">
        <f t="shared" si="31"/>
        <v>403.94624891171929</v>
      </c>
      <c r="CV29" s="526">
        <f t="shared" si="31"/>
        <v>415.93718073084091</v>
      </c>
      <c r="CW29" s="530">
        <f t="shared" si="31"/>
        <v>428.28233979924232</v>
      </c>
      <c r="CX29" s="542"/>
    </row>
    <row r="30" spans="1:102" ht="14.25">
      <c r="A30" s="163">
        <v>17</v>
      </c>
      <c r="B30" s="2251">
        <v>99474</v>
      </c>
      <c r="C30" s="179">
        <v>61.56</v>
      </c>
      <c r="D30" s="163">
        <v>67</v>
      </c>
      <c r="E30" s="2251">
        <f t="shared" si="10"/>
        <v>82623</v>
      </c>
      <c r="F30" s="179">
        <f t="shared" si="10"/>
        <v>16.07</v>
      </c>
      <c r="G30" s="152"/>
      <c r="H30" s="163">
        <v>17</v>
      </c>
      <c r="I30" s="2251">
        <v>99546</v>
      </c>
      <c r="J30" s="179">
        <v>66.36</v>
      </c>
      <c r="K30" s="163">
        <v>67</v>
      </c>
      <c r="L30" s="2251">
        <f t="shared" si="11"/>
        <v>90177</v>
      </c>
      <c r="M30" s="179">
        <f t="shared" si="11"/>
        <v>19.12</v>
      </c>
      <c r="O30" s="2251">
        <f t="shared" si="6"/>
        <v>99510</v>
      </c>
      <c r="P30" s="179">
        <f t="shared" si="7"/>
        <v>63.96</v>
      </c>
      <c r="S30" s="186" t="s">
        <v>250</v>
      </c>
      <c r="T30" s="2898">
        <v>0.04</v>
      </c>
      <c r="U30" s="2899"/>
      <c r="W30" s="2880"/>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8">
        <v>47</v>
      </c>
      <c r="CD30" s="527">
        <f t="shared" si="30"/>
        <v>244.30549896439243</v>
      </c>
      <c r="CE30" s="527">
        <f t="shared" si="30"/>
        <v>251.3234993641687</v>
      </c>
      <c r="CF30" s="527">
        <f t="shared" si="30"/>
        <v>258.5424448720911</v>
      </c>
      <c r="CG30" s="527">
        <f t="shared" si="30"/>
        <v>265.9680634194566</v>
      </c>
      <c r="CH30" s="527">
        <f t="shared" si="30"/>
        <v>273.60624510056374</v>
      </c>
      <c r="CI30" s="527">
        <f t="shared" si="30"/>
        <v>281.46304671816165</v>
      </c>
      <c r="CJ30" s="527">
        <f t="shared" si="30"/>
        <v>289.54469645444232</v>
      </c>
      <c r="CK30" s="527">
        <f t="shared" si="30"/>
        <v>297.85759867127496</v>
      </c>
      <c r="CL30" s="527">
        <f t="shared" si="30"/>
        <v>306.40833884292795</v>
      </c>
      <c r="CM30" s="527">
        <f t="shared" si="30"/>
        <v>315.20368862512044</v>
      </c>
      <c r="CN30" s="527">
        <f t="shared" si="31"/>
        <v>324.25061106387494</v>
      </c>
      <c r="CO30" s="527">
        <f t="shared" si="31"/>
        <v>333.5562659481846</v>
      </c>
      <c r="CP30" s="527">
        <f t="shared" si="31"/>
        <v>343.12801531016572</v>
      </c>
      <c r="CQ30" s="527">
        <f t="shared" si="31"/>
        <v>352.97342907692519</v>
      </c>
      <c r="CR30" s="527">
        <f t="shared" si="31"/>
        <v>363.10029087801786</v>
      </c>
      <c r="CS30" s="527">
        <f t="shared" si="31"/>
        <v>373.51660401293043</v>
      </c>
      <c r="CT30" s="527">
        <f t="shared" si="31"/>
        <v>384.23059758270301</v>
      </c>
      <c r="CU30" s="527">
        <f t="shared" si="31"/>
        <v>395.25073279033205</v>
      </c>
      <c r="CV30" s="527">
        <f t="shared" si="31"/>
        <v>406.58570941431179</v>
      </c>
      <c r="CW30" s="531">
        <f t="shared" si="31"/>
        <v>418.24447246019758</v>
      </c>
      <c r="CX30" s="542"/>
    </row>
    <row r="31" spans="1:102" ht="14.25">
      <c r="A31" s="172">
        <v>18</v>
      </c>
      <c r="B31" s="2250">
        <v>99446</v>
      </c>
      <c r="C31" s="173">
        <v>60.58</v>
      </c>
      <c r="D31" s="172">
        <v>68</v>
      </c>
      <c r="E31" s="2250">
        <f t="shared" si="10"/>
        <v>81054</v>
      </c>
      <c r="F31" s="173">
        <f t="shared" si="10"/>
        <v>15.37</v>
      </c>
      <c r="G31" s="152"/>
      <c r="H31" s="172">
        <v>18</v>
      </c>
      <c r="I31" s="2250">
        <v>99529</v>
      </c>
      <c r="J31" s="173">
        <v>65.37</v>
      </c>
      <c r="K31" s="172">
        <v>68</v>
      </c>
      <c r="L31" s="2250">
        <f t="shared" si="11"/>
        <v>89253</v>
      </c>
      <c r="M31" s="173">
        <f t="shared" si="11"/>
        <v>18.309999999999999</v>
      </c>
      <c r="O31" s="2250">
        <f t="shared" si="6"/>
        <v>99487.5</v>
      </c>
      <c r="P31" s="173">
        <f t="shared" si="7"/>
        <v>62.975000000000001</v>
      </c>
      <c r="S31" s="186" t="s">
        <v>251</v>
      </c>
      <c r="T31" s="2900">
        <f>+T29*T28</f>
        <v>360000</v>
      </c>
      <c r="U31" s="2901"/>
      <c r="W31" s="2880"/>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8">
        <v>48</v>
      </c>
      <c r="CD31" s="526">
        <f t="shared" si="30"/>
        <v>243.0900487207885</v>
      </c>
      <c r="CE31" s="526">
        <f t="shared" si="30"/>
        <v>249.82455205185755</v>
      </c>
      <c r="CF31" s="526">
        <f t="shared" si="30"/>
        <v>256.74522827417189</v>
      </c>
      <c r="CG31" s="526">
        <f t="shared" si="30"/>
        <v>263.85720577327038</v>
      </c>
      <c r="CH31" s="526">
        <f t="shared" si="30"/>
        <v>271.1657533206776</v>
      </c>
      <c r="CI31" s="526">
        <f t="shared" si="30"/>
        <v>278.67628387936793</v>
      </c>
      <c r="CJ31" s="526">
        <f t="shared" si="30"/>
        <v>286.39435851082328</v>
      </c>
      <c r="CK31" s="526">
        <f t="shared" si="30"/>
        <v>294.32569038663536</v>
      </c>
      <c r="CL31" s="526">
        <f t="shared" si="30"/>
        <v>302.47614890713521</v>
      </c>
      <c r="CM31" s="526">
        <f t="shared" si="30"/>
        <v>310.85176393009903</v>
      </c>
      <c r="CN31" s="526">
        <f t="shared" si="31"/>
        <v>319.45873011219214</v>
      </c>
      <c r="CO31" s="526">
        <f t="shared" si="31"/>
        <v>328.30341136632342</v>
      </c>
      <c r="CP31" s="526">
        <f t="shared" si="31"/>
        <v>337.39234543772443</v>
      </c>
      <c r="CQ31" s="526">
        <f t="shared" si="31"/>
        <v>346.73224860208757</v>
      </c>
      <c r="CR31" s="526">
        <f t="shared" si="31"/>
        <v>356.33002048873198</v>
      </c>
      <c r="CS31" s="526">
        <f t="shared" si="31"/>
        <v>366.19274903228472</v>
      </c>
      <c r="CT31" s="526">
        <f t="shared" si="31"/>
        <v>376.32771555602653</v>
      </c>
      <c r="CU31" s="526">
        <f t="shared" si="31"/>
        <v>386.74239999054015</v>
      </c>
      <c r="CV31" s="526">
        <f t="shared" si="31"/>
        <v>397.44448623099879</v>
      </c>
      <c r="CW31" s="530">
        <f t="shared" si="31"/>
        <v>408.44186763691175</v>
      </c>
      <c r="CX31" s="542"/>
    </row>
    <row r="32" spans="1:102" ht="14.25">
      <c r="A32" s="163">
        <v>19</v>
      </c>
      <c r="B32" s="2251">
        <v>99410</v>
      </c>
      <c r="C32" s="179">
        <v>59.6</v>
      </c>
      <c r="D32" s="163">
        <v>69</v>
      </c>
      <c r="E32" s="2251">
        <f t="shared" si="10"/>
        <v>79384</v>
      </c>
      <c r="F32" s="179">
        <f t="shared" si="10"/>
        <v>14.68</v>
      </c>
      <c r="G32" s="152"/>
      <c r="H32" s="163">
        <v>19</v>
      </c>
      <c r="I32" s="2251">
        <v>99509</v>
      </c>
      <c r="J32" s="179">
        <v>64.38</v>
      </c>
      <c r="K32" s="163">
        <v>69</v>
      </c>
      <c r="L32" s="2251">
        <f t="shared" si="11"/>
        <v>88257</v>
      </c>
      <c r="M32" s="179">
        <f t="shared" si="11"/>
        <v>17.510000000000002</v>
      </c>
      <c r="O32" s="2251">
        <f t="shared" si="6"/>
        <v>99459.5</v>
      </c>
      <c r="P32" s="179">
        <f t="shared" si="7"/>
        <v>61.989999999999995</v>
      </c>
      <c r="S32" s="186" t="s">
        <v>252</v>
      </c>
      <c r="T32" s="2900">
        <f>-PV(St_Zins,T28,St_Forderung,,1)</f>
        <v>215804.57559229282</v>
      </c>
      <c r="U32" s="2901"/>
      <c r="W32" s="2880"/>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8">
        <v>49</v>
      </c>
      <c r="CD32" s="527">
        <f t="shared" si="30"/>
        <v>241.88064549332194</v>
      </c>
      <c r="CE32" s="527">
        <f t="shared" si="30"/>
        <v>248.33454478315861</v>
      </c>
      <c r="CF32" s="527">
        <f t="shared" si="30"/>
        <v>254.96050474098504</v>
      </c>
      <c r="CG32" s="527">
        <f t="shared" si="30"/>
        <v>261.76310096554602</v>
      </c>
      <c r="CH32" s="527">
        <f t="shared" si="30"/>
        <v>268.74703005022559</v>
      </c>
      <c r="CI32" s="527">
        <f t="shared" si="30"/>
        <v>275.91711275184952</v>
      </c>
      <c r="CJ32" s="527">
        <f t="shared" si="30"/>
        <v>283.27829724117043</v>
      </c>
      <c r="CK32" s="527">
        <f t="shared" si="30"/>
        <v>290.83566243738665</v>
      </c>
      <c r="CL32" s="527">
        <f t="shared" si="30"/>
        <v>298.59442142856386</v>
      </c>
      <c r="CM32" s="527">
        <f t="shared" si="30"/>
        <v>306.55992498037381</v>
      </c>
      <c r="CN32" s="527">
        <f t="shared" si="31"/>
        <v>314.73766513516472</v>
      </c>
      <c r="CO32" s="527">
        <f t="shared" si="31"/>
        <v>323.13327890386165</v>
      </c>
      <c r="CP32" s="527">
        <f t="shared" si="31"/>
        <v>331.75255205282645</v>
      </c>
      <c r="CQ32" s="527">
        <f t="shared" si="31"/>
        <v>340.60142298829817</v>
      </c>
      <c r="CR32" s="527">
        <f t="shared" si="31"/>
        <v>349.68598674065947</v>
      </c>
      <c r="CS32" s="527">
        <f t="shared" si="31"/>
        <v>359.01249905125951</v>
      </c>
      <c r="CT32" s="527">
        <f t="shared" si="31"/>
        <v>368.58738056417883</v>
      </c>
      <c r="CU32" s="527">
        <f t="shared" si="31"/>
        <v>378.41722112577315</v>
      </c>
      <c r="CV32" s="527">
        <f t="shared" si="31"/>
        <v>388.50878419452488</v>
      </c>
      <c r="CW32" s="531">
        <f t="shared" si="31"/>
        <v>398.86901136417151</v>
      </c>
      <c r="CX32" s="542"/>
    </row>
    <row r="33" spans="1:102" ht="14.25">
      <c r="A33" s="172">
        <v>20</v>
      </c>
      <c r="B33" s="2250">
        <v>99368</v>
      </c>
      <c r="C33" s="173">
        <v>58.63</v>
      </c>
      <c r="D33" s="172">
        <v>70</v>
      </c>
      <c r="E33" s="2250">
        <f t="shared" si="10"/>
        <v>77611</v>
      </c>
      <c r="F33" s="173">
        <f t="shared" si="10"/>
        <v>14.01</v>
      </c>
      <c r="G33" s="152"/>
      <c r="H33" s="172">
        <v>20</v>
      </c>
      <c r="I33" s="2250">
        <v>99489</v>
      </c>
      <c r="J33" s="173">
        <v>63.4</v>
      </c>
      <c r="K33" s="172">
        <v>70</v>
      </c>
      <c r="L33" s="2250">
        <f t="shared" si="11"/>
        <v>87183</v>
      </c>
      <c r="M33" s="173">
        <f t="shared" si="11"/>
        <v>16.72</v>
      </c>
      <c r="O33" s="2250">
        <f t="shared" si="6"/>
        <v>99428.5</v>
      </c>
      <c r="P33" s="173">
        <f t="shared" si="7"/>
        <v>61.015000000000001</v>
      </c>
      <c r="S33" s="2906" t="s">
        <v>253</v>
      </c>
      <c r="T33" s="2902">
        <f>+BY25</f>
        <v>119127.74559733819</v>
      </c>
      <c r="U33" s="2903"/>
      <c r="W33" s="2880"/>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8">
        <v>50</v>
      </c>
      <c r="CD33" s="526">
        <f t="shared" ref="CD33:CM42" si="56">(((1+CD$12)^$CA$15-1)/CD$12)*$CA$18*(1+CD$12)^($CH$11-$CC33)*12</f>
        <v>240.6772591973353</v>
      </c>
      <c r="CE33" s="526">
        <f t="shared" si="56"/>
        <v>246.85342423773218</v>
      </c>
      <c r="CF33" s="526">
        <f t="shared" si="56"/>
        <v>253.18818742898225</v>
      </c>
      <c r="CG33" s="526">
        <f t="shared" si="56"/>
        <v>259.685616037248</v>
      </c>
      <c r="CH33" s="526">
        <f t="shared" si="56"/>
        <v>266.34988112014435</v>
      </c>
      <c r="CI33" s="526">
        <f t="shared" si="56"/>
        <v>273.18526015034604</v>
      </c>
      <c r="CJ33" s="526">
        <f t="shared" si="56"/>
        <v>280.19613970442185</v>
      </c>
      <c r="CK33" s="526">
        <f t="shared" si="56"/>
        <v>287.38701821876163</v>
      </c>
      <c r="CL33" s="526">
        <f t="shared" si="56"/>
        <v>294.76250881398209</v>
      </c>
      <c r="CM33" s="526">
        <f t="shared" si="56"/>
        <v>302.32734218971768</v>
      </c>
      <c r="CN33" s="526">
        <f t="shared" ref="CN33:CW42" si="57">(((1+CN$12)^$CA$15-1)/CN$12)*$CA$18*(1+CN$12)^($CH$11-$CC33)*12</f>
        <v>310.08636959129535</v>
      </c>
      <c r="CO33" s="526">
        <f t="shared" si="57"/>
        <v>318.04456585025753</v>
      </c>
      <c r="CP33" s="526">
        <f t="shared" si="57"/>
        <v>326.20703250032102</v>
      </c>
      <c r="CQ33" s="526">
        <f t="shared" si="57"/>
        <v>334.57900097082342</v>
      </c>
      <c r="CR33" s="526">
        <f t="shared" si="57"/>
        <v>343.16583585933216</v>
      </c>
      <c r="CS33" s="526">
        <f t="shared" si="57"/>
        <v>351.97303828554863</v>
      </c>
      <c r="CT33" s="526">
        <f t="shared" si="57"/>
        <v>361.00624932828492</v>
      </c>
      <c r="CU33" s="526">
        <f t="shared" si="57"/>
        <v>370.27125354772323</v>
      </c>
      <c r="CV33" s="526">
        <f t="shared" si="57"/>
        <v>379.77398259484346</v>
      </c>
      <c r="CW33" s="530">
        <f t="shared" si="57"/>
        <v>389.52051891032386</v>
      </c>
      <c r="CX33" s="542"/>
    </row>
    <row r="34" spans="1:102" ht="14.25">
      <c r="A34" s="163">
        <v>21</v>
      </c>
      <c r="B34" s="2251">
        <v>99322</v>
      </c>
      <c r="C34" s="179">
        <v>57.65</v>
      </c>
      <c r="D34" s="163">
        <v>71</v>
      </c>
      <c r="E34" s="2251">
        <f t="shared" si="10"/>
        <v>75733</v>
      </c>
      <c r="F34" s="179">
        <f t="shared" si="10"/>
        <v>13.34</v>
      </c>
      <c r="G34" s="152"/>
      <c r="H34" s="163">
        <v>21</v>
      </c>
      <c r="I34" s="2251">
        <v>99468</v>
      </c>
      <c r="J34" s="179">
        <v>62.41</v>
      </c>
      <c r="K34" s="163">
        <v>71</v>
      </c>
      <c r="L34" s="2251">
        <f t="shared" si="11"/>
        <v>86024</v>
      </c>
      <c r="M34" s="179">
        <f t="shared" si="11"/>
        <v>15.94</v>
      </c>
      <c r="O34" s="2251">
        <f t="shared" si="6"/>
        <v>99395</v>
      </c>
      <c r="P34" s="179">
        <f t="shared" si="7"/>
        <v>60.03</v>
      </c>
      <c r="S34" s="2907"/>
      <c r="T34" s="2904"/>
      <c r="U34" s="2905"/>
      <c r="W34" s="2880"/>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8">
        <v>51</v>
      </c>
      <c r="CD34" s="527">
        <f t="shared" si="56"/>
        <v>239.4798598978461</v>
      </c>
      <c r="CE34" s="527">
        <f t="shared" si="56"/>
        <v>245.3811374132527</v>
      </c>
      <c r="CF34" s="527">
        <f t="shared" si="56"/>
        <v>251.42819009829421</v>
      </c>
      <c r="CG34" s="527">
        <f t="shared" si="56"/>
        <v>257.62461908457146</v>
      </c>
      <c r="CH34" s="527">
        <f t="shared" si="56"/>
        <v>263.97411409330465</v>
      </c>
      <c r="CI34" s="527">
        <f t="shared" si="56"/>
        <v>270.48045559440197</v>
      </c>
      <c r="CJ34" s="527">
        <f t="shared" si="56"/>
        <v>277.1475170172323</v>
      </c>
      <c r="CK34" s="527">
        <f t="shared" si="56"/>
        <v>283.97926701458653</v>
      </c>
      <c r="CL34" s="527">
        <f t="shared" si="56"/>
        <v>290.97977178083124</v>
      </c>
      <c r="CM34" s="527">
        <f t="shared" si="56"/>
        <v>298.15319742575707</v>
      </c>
      <c r="CN34" s="527">
        <f t="shared" si="57"/>
        <v>305.5038124052171</v>
      </c>
      <c r="CO34" s="527">
        <f t="shared" si="57"/>
        <v>313.03599001009599</v>
      </c>
      <c r="CP34" s="527">
        <f t="shared" si="57"/>
        <v>320.75421091476994</v>
      </c>
      <c r="CQ34" s="527">
        <f t="shared" si="57"/>
        <v>328.66306578666342</v>
      </c>
      <c r="CR34" s="527">
        <f t="shared" si="57"/>
        <v>336.7672579581278</v>
      </c>
      <c r="CS34" s="527">
        <f t="shared" si="57"/>
        <v>345.07160616230254</v>
      </c>
      <c r="CT34" s="527">
        <f t="shared" si="57"/>
        <v>353.58104733426535</v>
      </c>
      <c r="CU34" s="527">
        <f t="shared" si="57"/>
        <v>362.30063947918126</v>
      </c>
      <c r="CV34" s="527">
        <f t="shared" si="57"/>
        <v>371.23556460884015</v>
      </c>
      <c r="CW34" s="531">
        <f t="shared" si="57"/>
        <v>380.39113174836308</v>
      </c>
      <c r="CX34" s="542"/>
    </row>
    <row r="35" spans="1:102" ht="14.25">
      <c r="A35" s="172">
        <v>22</v>
      </c>
      <c r="B35" s="2250">
        <v>99275</v>
      </c>
      <c r="C35" s="173">
        <v>56.68</v>
      </c>
      <c r="D35" s="172">
        <v>72</v>
      </c>
      <c r="E35" s="2250">
        <f t="shared" si="10"/>
        <v>73745</v>
      </c>
      <c r="F35" s="173">
        <f t="shared" si="10"/>
        <v>12.69</v>
      </c>
      <c r="G35" s="152"/>
      <c r="H35" s="172">
        <v>22</v>
      </c>
      <c r="I35" s="2250">
        <v>99449</v>
      </c>
      <c r="J35" s="173">
        <v>61.42</v>
      </c>
      <c r="K35" s="172">
        <v>72</v>
      </c>
      <c r="L35" s="2250">
        <f t="shared" si="11"/>
        <v>84768</v>
      </c>
      <c r="M35" s="173">
        <f t="shared" si="11"/>
        <v>15.17</v>
      </c>
      <c r="O35" s="2250">
        <f t="shared" si="6"/>
        <v>99362</v>
      </c>
      <c r="P35" s="173">
        <f t="shared" si="7"/>
        <v>59.05</v>
      </c>
      <c r="W35" s="2880"/>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8">
        <v>52</v>
      </c>
      <c r="CD35" s="526">
        <f t="shared" si="56"/>
        <v>238.28841780880214</v>
      </c>
      <c r="CE35" s="526">
        <f t="shared" si="56"/>
        <v>243.9176316235116</v>
      </c>
      <c r="CF35" s="526">
        <f t="shared" si="56"/>
        <v>249.68042710853445</v>
      </c>
      <c r="CG35" s="526">
        <f t="shared" si="56"/>
        <v>255.57997925056688</v>
      </c>
      <c r="CH35" s="526">
        <f t="shared" si="56"/>
        <v>261.619538249063</v>
      </c>
      <c r="CI35" s="526">
        <f t="shared" si="56"/>
        <v>267.80243128158605</v>
      </c>
      <c r="CJ35" s="526">
        <f t="shared" si="56"/>
        <v>274.13206430982422</v>
      </c>
      <c r="CK35" s="526">
        <f t="shared" si="56"/>
        <v>280.61192392745704</v>
      </c>
      <c r="CL35" s="526">
        <f t="shared" si="56"/>
        <v>287.24557925057383</v>
      </c>
      <c r="CM35" s="526">
        <f t="shared" si="56"/>
        <v>294.03668385183141</v>
      </c>
      <c r="CN35" s="526">
        <f t="shared" si="57"/>
        <v>300.98897773913018</v>
      </c>
      <c r="CO35" s="526">
        <f t="shared" si="57"/>
        <v>308.10628938001577</v>
      </c>
      <c r="CP35" s="526">
        <f t="shared" si="57"/>
        <v>315.39253777263519</v>
      </c>
      <c r="CQ35" s="526">
        <f t="shared" si="57"/>
        <v>322.85173456450241</v>
      </c>
      <c r="CR35" s="526">
        <f t="shared" si="57"/>
        <v>330.48798621994877</v>
      </c>
      <c r="CS35" s="526">
        <f t="shared" si="57"/>
        <v>338.30549623755144</v>
      </c>
      <c r="CT35" s="526">
        <f t="shared" si="57"/>
        <v>346.30856741847731</v>
      </c>
      <c r="CU35" s="526">
        <f t="shared" si="57"/>
        <v>354.50160418706577</v>
      </c>
      <c r="CV35" s="526">
        <f t="shared" si="57"/>
        <v>362.88911496465317</v>
      </c>
      <c r="CW35" s="530">
        <f t="shared" si="57"/>
        <v>371.47571459801088</v>
      </c>
      <c r="CX35" s="542"/>
    </row>
    <row r="36" spans="1:102" ht="14.25">
      <c r="A36" s="163">
        <v>23</v>
      </c>
      <c r="B36" s="2251">
        <v>99228</v>
      </c>
      <c r="C36" s="179">
        <v>55.71</v>
      </c>
      <c r="D36" s="163">
        <v>73</v>
      </c>
      <c r="E36" s="2251">
        <f t="shared" si="10"/>
        <v>71645</v>
      </c>
      <c r="F36" s="179">
        <f t="shared" si="10"/>
        <v>12.05</v>
      </c>
      <c r="G36" s="152"/>
      <c r="H36" s="163">
        <v>23</v>
      </c>
      <c r="I36" s="2251">
        <v>99430</v>
      </c>
      <c r="J36" s="179">
        <v>60.43</v>
      </c>
      <c r="K36" s="163">
        <v>73</v>
      </c>
      <c r="L36" s="2251">
        <f t="shared" si="11"/>
        <v>83403</v>
      </c>
      <c r="M36" s="179">
        <f t="shared" si="11"/>
        <v>14.41</v>
      </c>
      <c r="O36" s="2251">
        <f t="shared" si="6"/>
        <v>99329</v>
      </c>
      <c r="P36" s="179">
        <f t="shared" si="7"/>
        <v>58.07</v>
      </c>
      <c r="W36" s="2880"/>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8">
        <v>53</v>
      </c>
      <c r="CD36" s="527">
        <f t="shared" si="56"/>
        <v>237.1029032923405</v>
      </c>
      <c r="CE36" s="527">
        <f t="shared" si="56"/>
        <v>242.46285449653246</v>
      </c>
      <c r="CF36" s="527">
        <f t="shared" si="56"/>
        <v>247.94481341463211</v>
      </c>
      <c r="CG36" s="527">
        <f t="shared" si="56"/>
        <v>253.55156671683221</v>
      </c>
      <c r="CH36" s="527">
        <f t="shared" si="56"/>
        <v>259.28596456795157</v>
      </c>
      <c r="CI36" s="527">
        <f t="shared" si="56"/>
        <v>265.15092206097637</v>
      </c>
      <c r="CJ36" s="527">
        <f t="shared" si="56"/>
        <v>271.14942068231875</v>
      </c>
      <c r="CK36" s="527">
        <f t="shared" si="56"/>
        <v>277.28450980974009</v>
      </c>
      <c r="CL36" s="527">
        <f t="shared" si="56"/>
        <v>283.55930824340953</v>
      </c>
      <c r="CM36" s="527">
        <f t="shared" si="56"/>
        <v>289.97700577103683</v>
      </c>
      <c r="CN36" s="527">
        <f t="shared" si="57"/>
        <v>296.54086476761597</v>
      </c>
      <c r="CO36" s="527">
        <f t="shared" si="57"/>
        <v>303.25422183072413</v>
      </c>
      <c r="CP36" s="527">
        <f t="shared" si="57"/>
        <v>310.12048945195204</v>
      </c>
      <c r="CQ36" s="527">
        <f t="shared" si="57"/>
        <v>317.14315772544438</v>
      </c>
      <c r="CR36" s="527">
        <f t="shared" si="57"/>
        <v>324.32579609415978</v>
      </c>
      <c r="CS36" s="527">
        <f t="shared" si="57"/>
        <v>331.67205513485447</v>
      </c>
      <c r="CT36" s="527">
        <f t="shared" si="57"/>
        <v>339.18566838244607</v>
      </c>
      <c r="CU36" s="527">
        <f t="shared" si="57"/>
        <v>346.87045419478056</v>
      </c>
      <c r="CV36" s="527">
        <f t="shared" si="57"/>
        <v>354.7303176585076</v>
      </c>
      <c r="CW36" s="531">
        <f t="shared" si="57"/>
        <v>362.76925253712</v>
      </c>
      <c r="CX36" s="542"/>
    </row>
    <row r="37" spans="1:102" ht="14.25">
      <c r="A37" s="172">
        <v>24</v>
      </c>
      <c r="B37" s="2250">
        <v>99181</v>
      </c>
      <c r="C37" s="173">
        <v>54.73</v>
      </c>
      <c r="D37" s="172">
        <v>74</v>
      </c>
      <c r="E37" s="2250">
        <f t="shared" si="10"/>
        <v>69429</v>
      </c>
      <c r="F37" s="173">
        <f t="shared" si="10"/>
        <v>11.41</v>
      </c>
      <c r="G37" s="152"/>
      <c r="H37" s="172">
        <v>24</v>
      </c>
      <c r="I37" s="2250">
        <v>99411</v>
      </c>
      <c r="J37" s="173">
        <v>59.44</v>
      </c>
      <c r="K37" s="172">
        <v>74</v>
      </c>
      <c r="L37" s="2250">
        <f t="shared" si="11"/>
        <v>81916</v>
      </c>
      <c r="M37" s="173">
        <f t="shared" si="11"/>
        <v>13.66</v>
      </c>
      <c r="O37" s="2250">
        <f t="shared" si="6"/>
        <v>99296</v>
      </c>
      <c r="P37" s="173">
        <f t="shared" si="7"/>
        <v>57.084999999999994</v>
      </c>
      <c r="T37">
        <v>40</v>
      </c>
      <c r="U37">
        <v>38</v>
      </c>
      <c r="W37" s="2880"/>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8">
        <v>54</v>
      </c>
      <c r="CD37" s="526">
        <f t="shared" si="56"/>
        <v>235.92328685805023</v>
      </c>
      <c r="CE37" s="526">
        <f t="shared" si="56"/>
        <v>241.01675397269625</v>
      </c>
      <c r="CF37" s="526">
        <f t="shared" si="56"/>
        <v>246.22126456269331</v>
      </c>
      <c r="CG37" s="526">
        <f t="shared" si="56"/>
        <v>251.53925269527002</v>
      </c>
      <c r="CH37" s="526">
        <f t="shared" si="56"/>
        <v>256.97320571650306</v>
      </c>
      <c r="CI37" s="526">
        <f t="shared" si="56"/>
        <v>262.52566540690725</v>
      </c>
      <c r="CJ37" s="526">
        <f t="shared" si="56"/>
        <v>268.19922916154184</v>
      </c>
      <c r="CK37" s="526">
        <f t="shared" si="56"/>
        <v>273.9965511953954</v>
      </c>
      <c r="CL37" s="526">
        <f t="shared" si="56"/>
        <v>279.92034377434305</v>
      </c>
      <c r="CM37" s="526">
        <f t="shared" si="56"/>
        <v>285.97337847242295</v>
      </c>
      <c r="CN37" s="526">
        <f t="shared" si="57"/>
        <v>292.15848745577938</v>
      </c>
      <c r="CO37" s="526">
        <f t="shared" si="57"/>
        <v>298.47856479401992</v>
      </c>
      <c r="CP37" s="526">
        <f t="shared" si="57"/>
        <v>304.93656779936293</v>
      </c>
      <c r="CQ37" s="526">
        <f t="shared" si="57"/>
        <v>311.53551839434613</v>
      </c>
      <c r="CR37" s="526">
        <f t="shared" si="57"/>
        <v>318.27850450849826</v>
      </c>
      <c r="CS37" s="526">
        <f t="shared" si="57"/>
        <v>325.16868150475926</v>
      </c>
      <c r="CT37" s="526">
        <f t="shared" si="57"/>
        <v>332.20927363608814</v>
      </c>
      <c r="CU37" s="526">
        <f t="shared" si="57"/>
        <v>339.40357553305341</v>
      </c>
      <c r="CV37" s="526">
        <f t="shared" si="57"/>
        <v>346.75495372288134</v>
      </c>
      <c r="CW37" s="530">
        <f t="shared" si="57"/>
        <v>354.26684818078127</v>
      </c>
      <c r="CX37" s="542"/>
    </row>
    <row r="38" spans="1:102" ht="14.25">
      <c r="A38" s="163">
        <v>25</v>
      </c>
      <c r="B38" s="2251">
        <v>99136</v>
      </c>
      <c r="C38" s="179">
        <v>53.76</v>
      </c>
      <c r="D38" s="163">
        <v>75</v>
      </c>
      <c r="E38" s="2251">
        <f t="shared" si="10"/>
        <v>67092</v>
      </c>
      <c r="F38" s="179">
        <f t="shared" si="10"/>
        <v>10.79</v>
      </c>
      <c r="G38" s="152"/>
      <c r="H38" s="163">
        <v>25</v>
      </c>
      <c r="I38" s="2251">
        <v>99393</v>
      </c>
      <c r="J38" s="179">
        <v>58.45</v>
      </c>
      <c r="K38" s="163">
        <v>75</v>
      </c>
      <c r="L38" s="2251">
        <f t="shared" si="11"/>
        <v>80296</v>
      </c>
      <c r="M38" s="179">
        <f t="shared" si="11"/>
        <v>12.93</v>
      </c>
      <c r="O38" s="2251">
        <f t="shared" si="6"/>
        <v>99264.5</v>
      </c>
      <c r="P38" s="179">
        <f t="shared" si="7"/>
        <v>56.105000000000004</v>
      </c>
      <c r="S38" t="s">
        <v>230</v>
      </c>
      <c r="T38">
        <f>VLOOKUP(T37,Sterbetafel,3)</f>
        <v>39.24</v>
      </c>
      <c r="U38">
        <f>VLOOKUP(U37,Sterbetafel,10)</f>
        <v>45.67</v>
      </c>
      <c r="W38" s="2880"/>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8">
        <v>55</v>
      </c>
      <c r="CD38" s="527">
        <f t="shared" si="56"/>
        <v>234.7495391622391</v>
      </c>
      <c r="CE38" s="527">
        <f t="shared" si="56"/>
        <v>239.579278302879</v>
      </c>
      <c r="CF38" s="527">
        <f t="shared" si="56"/>
        <v>244.50969668589204</v>
      </c>
      <c r="CG38" s="527">
        <f t="shared" si="56"/>
        <v>249.54290941991076</v>
      </c>
      <c r="CH38" s="527">
        <f t="shared" si="56"/>
        <v>254.68107603221318</v>
      </c>
      <c r="CI38" s="527">
        <f t="shared" si="56"/>
        <v>259.92640139297748</v>
      </c>
      <c r="CJ38" s="527">
        <f t="shared" si="56"/>
        <v>265.28113665830057</v>
      </c>
      <c r="CK38" s="527">
        <f t="shared" si="56"/>
        <v>270.74758023260415</v>
      </c>
      <c r="CL38" s="527">
        <f t="shared" si="56"/>
        <v>276.32807875058552</v>
      </c>
      <c r="CM38" s="527">
        <f t="shared" si="56"/>
        <v>282.02502807931256</v>
      </c>
      <c r="CN38" s="527">
        <f t="shared" si="57"/>
        <v>287.84087434066936</v>
      </c>
      <c r="CO38" s="527">
        <f t="shared" si="57"/>
        <v>293.77811495474396</v>
      </c>
      <c r="CP38" s="527">
        <f t="shared" si="57"/>
        <v>299.83929970438834</v>
      </c>
      <c r="CQ38" s="527">
        <f t="shared" si="57"/>
        <v>306.02703182155801</v>
      </c>
      <c r="CR38" s="527">
        <f t="shared" si="57"/>
        <v>312.34396909568034</v>
      </c>
      <c r="CS38" s="527">
        <f t="shared" si="57"/>
        <v>318.79282500466593</v>
      </c>
      <c r="CT38" s="527">
        <f t="shared" si="57"/>
        <v>325.37636986884252</v>
      </c>
      <c r="CU38" s="527">
        <f t="shared" si="57"/>
        <v>332.09743202842799</v>
      </c>
      <c r="CV38" s="527">
        <f t="shared" si="57"/>
        <v>338.95889904484983</v>
      </c>
      <c r="CW38" s="531">
        <f t="shared" si="57"/>
        <v>345.96371892654417</v>
      </c>
      <c r="CX38" s="542"/>
    </row>
    <row r="39" spans="1:102" ht="14.25">
      <c r="A39" s="172">
        <v>26</v>
      </c>
      <c r="B39" s="2250">
        <v>99091</v>
      </c>
      <c r="C39" s="173">
        <v>52.78</v>
      </c>
      <c r="D39" s="172">
        <v>76</v>
      </c>
      <c r="E39" s="2250">
        <f t="shared" si="10"/>
        <v>64632</v>
      </c>
      <c r="F39" s="173">
        <f t="shared" si="10"/>
        <v>10.19</v>
      </c>
      <c r="G39" s="152"/>
      <c r="H39" s="172">
        <v>26</v>
      </c>
      <c r="I39" s="2250">
        <v>99375</v>
      </c>
      <c r="J39" s="173">
        <v>57.46</v>
      </c>
      <c r="K39" s="172">
        <v>76</v>
      </c>
      <c r="L39" s="2250">
        <f t="shared" si="11"/>
        <v>78532</v>
      </c>
      <c r="M39" s="173">
        <f t="shared" si="11"/>
        <v>12.21</v>
      </c>
      <c r="O39" s="2250">
        <f t="shared" si="6"/>
        <v>99233</v>
      </c>
      <c r="P39" s="173">
        <f t="shared" si="7"/>
        <v>55.120000000000005</v>
      </c>
      <c r="T39">
        <f>+T38+T37</f>
        <v>79.240000000000009</v>
      </c>
      <c r="U39">
        <f>+U38+U37</f>
        <v>83.67</v>
      </c>
      <c r="W39" s="2880"/>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8">
        <v>56</v>
      </c>
      <c r="CD39" s="526">
        <f t="shared" si="56"/>
        <v>233.58163100720313</v>
      </c>
      <c r="CE39" s="526">
        <f t="shared" si="56"/>
        <v>238.15037604659938</v>
      </c>
      <c r="CF39" s="526">
        <f t="shared" si="56"/>
        <v>242.81002650038934</v>
      </c>
      <c r="CG39" s="526">
        <f t="shared" si="56"/>
        <v>247.56241013880037</v>
      </c>
      <c r="CH39" s="526">
        <f t="shared" si="56"/>
        <v>252.40939150863539</v>
      </c>
      <c r="CI39" s="526">
        <f t="shared" si="56"/>
        <v>257.35287266631428</v>
      </c>
      <c r="CJ39" s="526">
        <f t="shared" si="56"/>
        <v>262.39479392512419</v>
      </c>
      <c r="CK39" s="526">
        <f t="shared" si="56"/>
        <v>267.53713461719781</v>
      </c>
      <c r="CL39" s="526">
        <f t="shared" si="56"/>
        <v>272.78191387027192</v>
      </c>
      <c r="CM39" s="526">
        <f t="shared" si="56"/>
        <v>278.1311913997165</v>
      </c>
      <c r="CN39" s="526">
        <f t="shared" si="57"/>
        <v>283.58706831593042</v>
      </c>
      <c r="CO39" s="526">
        <f t="shared" si="57"/>
        <v>289.15168794758262</v>
      </c>
      <c r="CP39" s="526">
        <f t="shared" si="57"/>
        <v>294.82723668081451</v>
      </c>
      <c r="CQ39" s="526">
        <f t="shared" si="57"/>
        <v>300.61594481489004</v>
      </c>
      <c r="CR39" s="526">
        <f t="shared" si="57"/>
        <v>306.52008743442627</v>
      </c>
      <c r="CS39" s="526">
        <f t="shared" si="57"/>
        <v>312.54198529869205</v>
      </c>
      <c r="CT39" s="526">
        <f t="shared" si="57"/>
        <v>318.68400574813188</v>
      </c>
      <c r="CU39" s="526">
        <f t="shared" si="57"/>
        <v>324.94856362859889</v>
      </c>
      <c r="CV39" s="526">
        <f t="shared" si="57"/>
        <v>331.33812223347979</v>
      </c>
      <c r="CW39" s="530">
        <f t="shared" si="57"/>
        <v>337.85519426420331</v>
      </c>
      <c r="CX39" s="542"/>
    </row>
    <row r="40" spans="1:102" ht="14.25">
      <c r="A40" s="163">
        <v>27</v>
      </c>
      <c r="B40" s="2251">
        <v>99046</v>
      </c>
      <c r="C40" s="179">
        <v>51.81</v>
      </c>
      <c r="D40" s="163">
        <v>77</v>
      </c>
      <c r="E40" s="2251">
        <f t="shared" si="10"/>
        <v>62047</v>
      </c>
      <c r="F40" s="179">
        <f t="shared" si="10"/>
        <v>9.59</v>
      </c>
      <c r="G40" s="152"/>
      <c r="H40" s="163">
        <v>27</v>
      </c>
      <c r="I40" s="2251">
        <v>99356</v>
      </c>
      <c r="J40" s="179">
        <v>56.48</v>
      </c>
      <c r="K40" s="163">
        <v>77</v>
      </c>
      <c r="L40" s="2251">
        <f t="shared" si="11"/>
        <v>76614</v>
      </c>
      <c r="M40" s="179">
        <f t="shared" si="11"/>
        <v>11.5</v>
      </c>
      <c r="O40" s="2251">
        <f t="shared" si="6"/>
        <v>99201</v>
      </c>
      <c r="P40" s="179">
        <f t="shared" si="7"/>
        <v>54.144999999999996</v>
      </c>
      <c r="U40">
        <f>VLOOKUP(U37,Sterbetafel,9)</f>
        <v>98971</v>
      </c>
      <c r="W40" s="2880"/>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8">
        <v>57</v>
      </c>
      <c r="CD40" s="527">
        <f t="shared" si="56"/>
        <v>232.41953334050066</v>
      </c>
      <c r="CE40" s="527">
        <f t="shared" si="56"/>
        <v>236.72999607017832</v>
      </c>
      <c r="CF40" s="527">
        <f t="shared" si="56"/>
        <v>241.12217130128045</v>
      </c>
      <c r="CG40" s="527">
        <f t="shared" si="56"/>
        <v>245.59762910595271</v>
      </c>
      <c r="CH40" s="527">
        <f t="shared" si="56"/>
        <v>250.15796978060996</v>
      </c>
      <c r="CI40" s="527">
        <f t="shared" si="56"/>
        <v>254.80482442209345</v>
      </c>
      <c r="CJ40" s="527">
        <f t="shared" si="56"/>
        <v>259.53985551446505</v>
      </c>
      <c r="CK40" s="527">
        <f t="shared" si="56"/>
        <v>264.36475752687528</v>
      </c>
      <c r="CL40" s="527">
        <f t="shared" si="56"/>
        <v>269.28125752247973</v>
      </c>
      <c r="CM40" s="527">
        <f t="shared" si="56"/>
        <v>274.29111577881304</v>
      </c>
      <c r="CN40" s="527">
        <f t="shared" si="57"/>
        <v>279.39612641963595</v>
      </c>
      <c r="CO40" s="527">
        <f t="shared" si="57"/>
        <v>284.59811805864433</v>
      </c>
      <c r="CP40" s="527">
        <f t="shared" si="57"/>
        <v>289.89895445507824</v>
      </c>
      <c r="CQ40" s="527">
        <f t="shared" si="57"/>
        <v>295.30053518162089</v>
      </c>
      <c r="CR40" s="527">
        <f t="shared" si="57"/>
        <v>300.80479630463816</v>
      </c>
      <c r="CS40" s="527">
        <f t="shared" si="57"/>
        <v>306.41371107714912</v>
      </c>
      <c r="CT40" s="527">
        <f t="shared" si="57"/>
        <v>312.12929064459536</v>
      </c>
      <c r="CU40" s="527">
        <f t="shared" si="57"/>
        <v>317.95358476379533</v>
      </c>
      <c r="CV40" s="527">
        <f t="shared" si="57"/>
        <v>323.88868253517091</v>
      </c>
      <c r="CW40" s="531">
        <f t="shared" si="57"/>
        <v>329.93671314863604</v>
      </c>
      <c r="CX40" s="542"/>
    </row>
    <row r="41" spans="1:102">
      <c r="A41" s="172">
        <v>28</v>
      </c>
      <c r="B41" s="2250">
        <v>98999</v>
      </c>
      <c r="C41" s="173">
        <v>50.83</v>
      </c>
      <c r="D41" s="172">
        <v>78</v>
      </c>
      <c r="E41" s="2250">
        <f t="shared" si="10"/>
        <v>59333</v>
      </c>
      <c r="F41" s="173">
        <f t="shared" si="10"/>
        <v>9.01</v>
      </c>
      <c r="G41" s="152"/>
      <c r="H41" s="172">
        <v>28</v>
      </c>
      <c r="I41" s="2250">
        <v>99336</v>
      </c>
      <c r="J41" s="173">
        <v>55.49</v>
      </c>
      <c r="K41" s="172">
        <v>78</v>
      </c>
      <c r="L41" s="2250">
        <f t="shared" si="11"/>
        <v>74537</v>
      </c>
      <c r="M41" s="173">
        <f t="shared" si="11"/>
        <v>10.8</v>
      </c>
      <c r="O41" s="2250">
        <f t="shared" si="6"/>
        <v>99167.5</v>
      </c>
      <c r="P41" s="173">
        <f t="shared" si="7"/>
        <v>53.16</v>
      </c>
      <c r="U41">
        <f>VLOOKUP(T37+T38,Sterbetafel,9)</f>
        <v>72292</v>
      </c>
      <c r="W41" s="2880"/>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675" t="s">
        <v>254</v>
      </c>
      <c r="BM41" s="2675"/>
      <c r="BN41" s="2675"/>
      <c r="BO41" s="2675"/>
      <c r="BP41" s="2675" t="s">
        <v>255</v>
      </c>
      <c r="BQ41" s="2675"/>
      <c r="BR41" s="2675"/>
      <c r="BS41" s="2675"/>
      <c r="BV41">
        <f t="shared" si="43"/>
        <v>85</v>
      </c>
      <c r="BW41">
        <f t="shared" si="38"/>
        <v>54194</v>
      </c>
      <c r="BX41" s="151">
        <f t="shared" si="44"/>
        <v>0.62161201151600654</v>
      </c>
      <c r="BY41" s="149">
        <f t="shared" si="45"/>
        <v>2574.6603933734009</v>
      </c>
      <c r="CC41" s="528">
        <v>58</v>
      </c>
      <c r="CD41" s="526">
        <f t="shared" si="56"/>
        <v>231.26321725422957</v>
      </c>
      <c r="CE41" s="526">
        <f t="shared" si="56"/>
        <v>235.31808754490891</v>
      </c>
      <c r="CF41" s="526">
        <f t="shared" si="56"/>
        <v>239.44604895857049</v>
      </c>
      <c r="CG41" s="526">
        <f t="shared" si="56"/>
        <v>243.6484415733658</v>
      </c>
      <c r="CH41" s="526">
        <f t="shared" si="56"/>
        <v>247.92663010962335</v>
      </c>
      <c r="CI41" s="526">
        <f t="shared" si="56"/>
        <v>252.28200437831035</v>
      </c>
      <c r="CJ41" s="526">
        <f t="shared" si="56"/>
        <v>256.71597973735425</v>
      </c>
      <c r="CK41" s="526">
        <f t="shared" si="56"/>
        <v>261.22999755620083</v>
      </c>
      <c r="CL41" s="526">
        <f t="shared" si="56"/>
        <v>265.82552568852884</v>
      </c>
      <c r="CM41" s="526">
        <f t="shared" si="56"/>
        <v>270.50405895346455</v>
      </c>
      <c r="CN41" s="526">
        <f t="shared" si="57"/>
        <v>275.26711962525712</v>
      </c>
      <c r="CO41" s="526">
        <f t="shared" si="57"/>
        <v>280.11625793173653</v>
      </c>
      <c r="CP41" s="526">
        <f t="shared" si="57"/>
        <v>285.05305256153224</v>
      </c>
      <c r="CQ41" s="526">
        <f t="shared" si="57"/>
        <v>290.07911118037413</v>
      </c>
      <c r="CR41" s="526">
        <f t="shared" si="57"/>
        <v>295.19607095646535</v>
      </c>
      <c r="CS41" s="526">
        <f t="shared" si="57"/>
        <v>300.40559909524421</v>
      </c>
      <c r="CT41" s="526">
        <f t="shared" si="57"/>
        <v>305.709393383541</v>
      </c>
      <c r="CU41" s="526">
        <f t="shared" si="57"/>
        <v>311.10918274343965</v>
      </c>
      <c r="CV41" s="526">
        <f t="shared" si="57"/>
        <v>316.60672779586605</v>
      </c>
      <c r="CW41" s="530">
        <f t="shared" si="57"/>
        <v>322.20382143421483</v>
      </c>
      <c r="CX41" s="542"/>
    </row>
    <row r="42" spans="1:102" ht="14.25">
      <c r="A42" s="163">
        <v>29</v>
      </c>
      <c r="B42" s="2251">
        <v>98951</v>
      </c>
      <c r="C42" s="179">
        <v>49.85</v>
      </c>
      <c r="D42" s="163">
        <v>79</v>
      </c>
      <c r="E42" s="2251">
        <f t="shared" si="10"/>
        <v>56488</v>
      </c>
      <c r="F42" s="179">
        <f t="shared" si="10"/>
        <v>8.43</v>
      </c>
      <c r="G42" s="152"/>
      <c r="H42" s="163">
        <v>29</v>
      </c>
      <c r="I42" s="2251">
        <v>99314</v>
      </c>
      <c r="J42" s="179">
        <v>54.5</v>
      </c>
      <c r="K42" s="163">
        <v>79</v>
      </c>
      <c r="L42" s="2251">
        <f t="shared" si="11"/>
        <v>72292</v>
      </c>
      <c r="M42" s="179">
        <f t="shared" si="11"/>
        <v>10.119999999999999</v>
      </c>
      <c r="O42" s="2251">
        <f t="shared" si="6"/>
        <v>99132.5</v>
      </c>
      <c r="P42" s="179">
        <f t="shared" si="7"/>
        <v>52.174999999999997</v>
      </c>
      <c r="T42">
        <f>+T38*U42</f>
        <v>28.66231603196896</v>
      </c>
      <c r="U42">
        <f>+U41/U40</f>
        <v>0.73043618837841384</v>
      </c>
      <c r="W42" s="2880"/>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8">
        <v>59</v>
      </c>
      <c r="CD42" s="527">
        <f t="shared" si="56"/>
        <v>230.112653984308</v>
      </c>
      <c r="CE42" s="527">
        <f t="shared" si="56"/>
        <v>233.91459994523743</v>
      </c>
      <c r="CF42" s="527">
        <f t="shared" si="56"/>
        <v>237.78157791317824</v>
      </c>
      <c r="CG42" s="527">
        <f t="shared" si="56"/>
        <v>241.71472378310096</v>
      </c>
      <c r="CH42" s="527">
        <f t="shared" si="56"/>
        <v>245.7151933692997</v>
      </c>
      <c r="CI42" s="527">
        <f t="shared" si="56"/>
        <v>249.7841627508023</v>
      </c>
      <c r="CJ42" s="527">
        <f t="shared" si="56"/>
        <v>253.92282862250664</v>
      </c>
      <c r="CK42" s="527">
        <f t="shared" si="56"/>
        <v>258.13240865237242</v>
      </c>
      <c r="CL42" s="527">
        <f t="shared" si="56"/>
        <v>262.4141418445497</v>
      </c>
      <c r="CM42" s="527">
        <f t="shared" si="56"/>
        <v>266.76928890874217</v>
      </c>
      <c r="CN42" s="527">
        <f t="shared" si="57"/>
        <v>271.19913263572136</v>
      </c>
      <c r="CO42" s="527">
        <f t="shared" si="57"/>
        <v>275.70497827926823</v>
      </c>
      <c r="CP42" s="527">
        <f t="shared" si="57"/>
        <v>280.28815394447616</v>
      </c>
      <c r="CQ42" s="527">
        <f t="shared" si="57"/>
        <v>284.9500109826858</v>
      </c>
      <c r="CR42" s="527">
        <f t="shared" si="57"/>
        <v>289.69192439299837</v>
      </c>
      <c r="CS42" s="527">
        <f t="shared" si="57"/>
        <v>294.51529323063158</v>
      </c>
      <c r="CT42" s="527">
        <f t="shared" si="57"/>
        <v>299.42154102207746</v>
      </c>
      <c r="CU42" s="527">
        <f t="shared" si="57"/>
        <v>304.41211618731865</v>
      </c>
      <c r="CV42" s="527">
        <f t="shared" si="57"/>
        <v>309.4884924690773</v>
      </c>
      <c r="CW42" s="531">
        <f t="shared" si="57"/>
        <v>314.65216936935047</v>
      </c>
      <c r="CX42" s="542"/>
    </row>
    <row r="43" spans="1:102" ht="14.25">
      <c r="A43" s="172">
        <v>30</v>
      </c>
      <c r="B43" s="2250">
        <v>98901</v>
      </c>
      <c r="C43" s="173">
        <v>48.88</v>
      </c>
      <c r="D43" s="172">
        <v>80</v>
      </c>
      <c r="E43" s="2250">
        <f t="shared" si="10"/>
        <v>53507</v>
      </c>
      <c r="F43" s="173">
        <f t="shared" si="10"/>
        <v>7.88</v>
      </c>
      <c r="G43" s="152"/>
      <c r="H43" s="172">
        <v>30</v>
      </c>
      <c r="I43" s="2250">
        <v>99289</v>
      </c>
      <c r="J43" s="173">
        <v>53.51</v>
      </c>
      <c r="K43" s="172">
        <v>80</v>
      </c>
      <c r="L43" s="2250">
        <f t="shared" si="11"/>
        <v>69865</v>
      </c>
      <c r="M43" s="173">
        <f t="shared" si="11"/>
        <v>9.4600000000000009</v>
      </c>
      <c r="O43" s="2250">
        <f t="shared" si="6"/>
        <v>99095</v>
      </c>
      <c r="P43" s="173">
        <f t="shared" si="7"/>
        <v>51.195</v>
      </c>
      <c r="R43" s="149">
        <f>-PMT(4%,14,120000)/12</f>
        <v>946.6897305639983</v>
      </c>
      <c r="W43" s="2880"/>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8">
        <v>60</v>
      </c>
      <c r="CD43" s="526">
        <f t="shared" ref="CD43:CM53" si="76">(((1+CD$12)^$CA$15-1)/CD$12)*$CA$18*(1+CD$12)^($CH$11-$CC43)*12</f>
        <v>228.96781490975926</v>
      </c>
      <c r="CE43" s="526">
        <f t="shared" si="76"/>
        <v>232.51948304695568</v>
      </c>
      <c r="CF43" s="526">
        <f t="shared" si="76"/>
        <v>236.12867717296746</v>
      </c>
      <c r="CG43" s="526">
        <f t="shared" si="76"/>
        <v>239.79635295942558</v>
      </c>
      <c r="CH43" s="526">
        <f t="shared" si="76"/>
        <v>243.52348203102051</v>
      </c>
      <c r="CI43" s="526">
        <f t="shared" si="76"/>
        <v>247.31105222851704</v>
      </c>
      <c r="CJ43" s="526">
        <f t="shared" si="76"/>
        <v>251.16006787587207</v>
      </c>
      <c r="CK43" s="526">
        <f t="shared" si="76"/>
        <v>255.07155005175139</v>
      </c>
      <c r="CL43" s="526">
        <f t="shared" si="76"/>
        <v>259.04653686530082</v>
      </c>
      <c r="CM43" s="526">
        <f t="shared" si="76"/>
        <v>263.08608373643204</v>
      </c>
      <c r="CN43" s="526">
        <f t="shared" ref="CN43:CW53" si="77">(((1+CN$12)^$CA$15-1)/CN$12)*$CA$18*(1+CN$12)^($CH$11-$CC43)*12</f>
        <v>267.19126368051366</v>
      </c>
      <c r="CO43" s="526">
        <f t="shared" si="77"/>
        <v>271.36316759770494</v>
      </c>
      <c r="CP43" s="526">
        <f t="shared" si="77"/>
        <v>275.60290456683981</v>
      </c>
      <c r="CQ43" s="526">
        <f t="shared" si="77"/>
        <v>279.91160214409217</v>
      </c>
      <c r="CR43" s="526">
        <f t="shared" si="77"/>
        <v>284.29040666633796</v>
      </c>
      <c r="CS43" s="526">
        <f t="shared" si="77"/>
        <v>288.74048355944268</v>
      </c>
      <c r="CT43" s="526">
        <f t="shared" si="77"/>
        <v>293.26301765139812</v>
      </c>
      <c r="CU43" s="526">
        <f t="shared" si="77"/>
        <v>297.859213490527</v>
      </c>
      <c r="CV43" s="526">
        <f t="shared" si="77"/>
        <v>302.53029566869725</v>
      </c>
      <c r="CW43" s="530">
        <f t="shared" si="77"/>
        <v>307.27750914975638</v>
      </c>
      <c r="CX43" s="542"/>
    </row>
    <row r="44" spans="1:102" ht="14.25">
      <c r="A44" s="163">
        <v>31</v>
      </c>
      <c r="B44" s="2251">
        <v>98847</v>
      </c>
      <c r="C44" s="179">
        <v>47.91</v>
      </c>
      <c r="D44" s="163">
        <v>81</v>
      </c>
      <c r="E44" s="2251">
        <f t="shared" si="10"/>
        <v>50386</v>
      </c>
      <c r="F44" s="179">
        <f t="shared" si="10"/>
        <v>7.33</v>
      </c>
      <c r="G44" s="152"/>
      <c r="H44" s="163">
        <v>31</v>
      </c>
      <c r="I44" s="2251">
        <v>99262</v>
      </c>
      <c r="J44" s="179">
        <v>52.53</v>
      </c>
      <c r="K44" s="163">
        <v>81</v>
      </c>
      <c r="L44" s="2251">
        <f t="shared" si="11"/>
        <v>67239</v>
      </c>
      <c r="M44" s="179">
        <f t="shared" si="11"/>
        <v>8.81</v>
      </c>
      <c r="O44" s="2251">
        <f t="shared" si="6"/>
        <v>99054.5</v>
      </c>
      <c r="P44" s="179">
        <f t="shared" si="7"/>
        <v>50.22</v>
      </c>
      <c r="W44" s="2880"/>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8">
        <v>61</v>
      </c>
      <c r="CD44" s="527">
        <f t="shared" si="76"/>
        <v>227.82867155199929</v>
      </c>
      <c r="CE44" s="527">
        <f t="shared" si="76"/>
        <v>231.13268692540328</v>
      </c>
      <c r="CF44" s="527">
        <f t="shared" si="76"/>
        <v>234.48726630880589</v>
      </c>
      <c r="CG44" s="527">
        <f t="shared" si="76"/>
        <v>237.89320730101736</v>
      </c>
      <c r="CH44" s="527">
        <f t="shared" si="76"/>
        <v>241.35132014967351</v>
      </c>
      <c r="CI44" s="527">
        <f t="shared" si="76"/>
        <v>244.86242794902688</v>
      </c>
      <c r="CJ44" s="527">
        <f t="shared" si="76"/>
        <v>248.42736684062521</v>
      </c>
      <c r="CK44" s="527">
        <f t="shared" si="76"/>
        <v>252.04698621714562</v>
      </c>
      <c r="CL44" s="527">
        <f t="shared" si="76"/>
        <v>255.72214892922096</v>
      </c>
      <c r="CM44" s="527">
        <f t="shared" si="76"/>
        <v>259.45373149549511</v>
      </c>
      <c r="CN44" s="527">
        <f t="shared" si="77"/>
        <v>263.24262431577705</v>
      </c>
      <c r="CO44" s="527">
        <f t="shared" si="77"/>
        <v>267.08973188750485</v>
      </c>
      <c r="CP44" s="527">
        <f t="shared" si="77"/>
        <v>270.99597302540792</v>
      </c>
      <c r="CQ44" s="527">
        <f t="shared" si="77"/>
        <v>274.96228108456984</v>
      </c>
      <c r="CR44" s="527">
        <f t="shared" si="77"/>
        <v>278.98960418678905</v>
      </c>
      <c r="CS44" s="527">
        <f t="shared" si="77"/>
        <v>283.07890545043409</v>
      </c>
      <c r="CT44" s="527">
        <f t="shared" si="77"/>
        <v>287.23116322370049</v>
      </c>
      <c r="CU44" s="527">
        <f t="shared" si="77"/>
        <v>291.44737132145497</v>
      </c>
      <c r="CV44" s="527">
        <f t="shared" si="77"/>
        <v>295.72853926558878</v>
      </c>
      <c r="CW44" s="531">
        <f t="shared" si="77"/>
        <v>300.07569252905887</v>
      </c>
      <c r="CX44" s="542"/>
    </row>
    <row r="45" spans="1:102" ht="14.25">
      <c r="A45" s="172">
        <v>32</v>
      </c>
      <c r="B45" s="2250">
        <v>98790</v>
      </c>
      <c r="C45" s="173">
        <v>46.93</v>
      </c>
      <c r="D45" s="172">
        <v>82</v>
      </c>
      <c r="E45" s="2250">
        <f t="shared" si="10"/>
        <v>47119</v>
      </c>
      <c r="F45" s="173">
        <f t="shared" si="10"/>
        <v>6.81</v>
      </c>
      <c r="G45" s="152"/>
      <c r="H45" s="172">
        <v>32</v>
      </c>
      <c r="I45" s="2250">
        <v>99232</v>
      </c>
      <c r="J45" s="173">
        <v>51.54</v>
      </c>
      <c r="K45" s="172">
        <v>82</v>
      </c>
      <c r="L45" s="2250">
        <f t="shared" si="11"/>
        <v>64390</v>
      </c>
      <c r="M45" s="173">
        <f t="shared" si="11"/>
        <v>8.18</v>
      </c>
      <c r="O45" s="2250">
        <f t="shared" si="6"/>
        <v>99011</v>
      </c>
      <c r="P45" s="173">
        <f t="shared" si="7"/>
        <v>49.234999999999999</v>
      </c>
      <c r="W45" s="2880"/>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8">
        <v>62</v>
      </c>
      <c r="CD45" s="526">
        <f t="shared" si="76"/>
        <v>226.69519557412866</v>
      </c>
      <c r="CE45" s="526">
        <f t="shared" si="76"/>
        <v>229.7541619536812</v>
      </c>
      <c r="CF45" s="526">
        <f t="shared" si="76"/>
        <v>232.85726545065137</v>
      </c>
      <c r="CG45" s="526">
        <f t="shared" si="76"/>
        <v>236.0051659732315</v>
      </c>
      <c r="CH45" s="526">
        <f t="shared" si="76"/>
        <v>239.19853334952776</v>
      </c>
      <c r="CI45" s="526">
        <f t="shared" si="76"/>
        <v>242.43804747428396</v>
      </c>
      <c r="CJ45" s="526">
        <f t="shared" si="76"/>
        <v>245.72439845759169</v>
      </c>
      <c r="CK45" s="526">
        <f t="shared" si="76"/>
        <v>249.0582867758356</v>
      </c>
      <c r="CL45" s="526">
        <f t="shared" si="76"/>
        <v>252.44042342469982</v>
      </c>
      <c r="CM45" s="526">
        <f t="shared" si="76"/>
        <v>255.87153007445278</v>
      </c>
      <c r="CN45" s="526">
        <f t="shared" si="77"/>
        <v>259.3523392273666</v>
      </c>
      <c r="CO45" s="526">
        <f t="shared" si="77"/>
        <v>262.88359437746539</v>
      </c>
      <c r="CP45" s="526">
        <f t="shared" si="77"/>
        <v>266.46605017247589</v>
      </c>
      <c r="CQ45" s="526">
        <f t="shared" si="77"/>
        <v>270.10047257816296</v>
      </c>
      <c r="CR45" s="526">
        <f t="shared" si="77"/>
        <v>273.78763904493519</v>
      </c>
      <c r="CS45" s="526">
        <f t="shared" si="77"/>
        <v>277.52833867689617</v>
      </c>
      <c r="CT45" s="526">
        <f t="shared" si="77"/>
        <v>281.32337240323261</v>
      </c>
      <c r="CU45" s="526">
        <f t="shared" si="77"/>
        <v>285.17355315210864</v>
      </c>
      <c r="CV45" s="526">
        <f t="shared" si="77"/>
        <v>289.07970602696855</v>
      </c>
      <c r="CW45" s="530">
        <f t="shared" si="77"/>
        <v>293.04266848540908</v>
      </c>
      <c r="CX45" s="542"/>
    </row>
    <row r="46" spans="1:102" ht="14.25">
      <c r="A46" s="163">
        <v>33</v>
      </c>
      <c r="B46" s="2251">
        <v>98727</v>
      </c>
      <c r="C46" s="179">
        <v>45.96</v>
      </c>
      <c r="D46" s="163">
        <v>83</v>
      </c>
      <c r="E46" s="2251">
        <f t="shared" si="10"/>
        <v>43701</v>
      </c>
      <c r="F46" s="179">
        <f t="shared" si="10"/>
        <v>6.3</v>
      </c>
      <c r="G46" s="152"/>
      <c r="H46" s="163">
        <v>33</v>
      </c>
      <c r="I46" s="2251">
        <v>99198</v>
      </c>
      <c r="J46" s="179">
        <v>50.56</v>
      </c>
      <c r="K46" s="163">
        <v>83</v>
      </c>
      <c r="L46" s="2251">
        <f t="shared" si="11"/>
        <v>61287</v>
      </c>
      <c r="M46" s="179">
        <f t="shared" si="11"/>
        <v>7.57</v>
      </c>
      <c r="O46" s="2251">
        <f t="shared" si="6"/>
        <v>98962.5</v>
      </c>
      <c r="P46" s="179">
        <f t="shared" si="7"/>
        <v>48.260000000000005</v>
      </c>
      <c r="W46" s="2880"/>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8">
        <v>63</v>
      </c>
      <c r="CD46" s="527">
        <f t="shared" si="76"/>
        <v>225.56735878022755</v>
      </c>
      <c r="CE46" s="527">
        <f t="shared" si="76"/>
        <v>228.38385880087597</v>
      </c>
      <c r="CF46" s="527">
        <f t="shared" si="76"/>
        <v>231.23859528366569</v>
      </c>
      <c r="CG46" s="527">
        <f t="shared" si="76"/>
        <v>234.1321091004281</v>
      </c>
      <c r="CH46" s="527">
        <f t="shared" si="76"/>
        <v>237.06494881023565</v>
      </c>
      <c r="CI46" s="527">
        <f t="shared" si="76"/>
        <v>240.03767076661779</v>
      </c>
      <c r="CJ46" s="527">
        <f t="shared" si="76"/>
        <v>243.05083922610459</v>
      </c>
      <c r="CK46" s="527">
        <f t="shared" si="76"/>
        <v>246.1050264583356</v>
      </c>
      <c r="CL46" s="527">
        <f t="shared" si="76"/>
        <v>249.20081285755171</v>
      </c>
      <c r="CM46" s="527">
        <f t="shared" si="76"/>
        <v>252.33878705567332</v>
      </c>
      <c r="CN46" s="527">
        <f t="shared" si="77"/>
        <v>255.5195460368144</v>
      </c>
      <c r="CO46" s="527">
        <f t="shared" si="77"/>
        <v>258.74369525341081</v>
      </c>
      <c r="CP46" s="527">
        <f t="shared" si="77"/>
        <v>262.0118487438308</v>
      </c>
      <c r="CQ46" s="527">
        <f t="shared" si="77"/>
        <v>265.32462925163355</v>
      </c>
      <c r="CR46" s="527">
        <f t="shared" si="77"/>
        <v>268.68266834635449</v>
      </c>
      <c r="CS46" s="527">
        <f t="shared" si="77"/>
        <v>272.08660654597657</v>
      </c>
      <c r="CT46" s="527">
        <f t="shared" si="77"/>
        <v>275.53709344097223</v>
      </c>
      <c r="CU46" s="527">
        <f t="shared" si="77"/>
        <v>279.03478782006715</v>
      </c>
      <c r="CV46" s="527">
        <f t="shared" si="77"/>
        <v>282.58035779762326</v>
      </c>
      <c r="CW46" s="531">
        <f t="shared" si="77"/>
        <v>286.17448094278234</v>
      </c>
      <c r="CX46" s="542"/>
    </row>
    <row r="47" spans="1:102" thickBot="1">
      <c r="A47" s="172">
        <v>34</v>
      </c>
      <c r="B47" s="2250">
        <v>98658</v>
      </c>
      <c r="C47" s="173">
        <v>44.99</v>
      </c>
      <c r="D47" s="172">
        <v>84</v>
      </c>
      <c r="E47" s="2250">
        <f t="shared" si="10"/>
        <v>40132</v>
      </c>
      <c r="F47" s="173">
        <f t="shared" si="10"/>
        <v>5.82</v>
      </c>
      <c r="G47" s="152"/>
      <c r="H47" s="172">
        <v>34</v>
      </c>
      <c r="I47" s="2250">
        <v>99161</v>
      </c>
      <c r="J47" s="173">
        <v>49.58</v>
      </c>
      <c r="K47" s="172">
        <v>84</v>
      </c>
      <c r="L47" s="2250">
        <f t="shared" si="11"/>
        <v>57897</v>
      </c>
      <c r="M47" s="173">
        <f t="shared" si="11"/>
        <v>6.98</v>
      </c>
      <c r="O47" s="2250">
        <f t="shared" si="6"/>
        <v>98909.5</v>
      </c>
      <c r="P47" s="173">
        <f t="shared" si="7"/>
        <v>47.284999999999997</v>
      </c>
      <c r="W47" s="2881"/>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8">
        <v>64</v>
      </c>
      <c r="CD47" s="526">
        <f t="shared" si="76"/>
        <v>224.44513311465437</v>
      </c>
      <c r="CE47" s="526">
        <f t="shared" si="76"/>
        <v>227.02172843029416</v>
      </c>
      <c r="CF47" s="526">
        <f t="shared" si="76"/>
        <v>229.63117704435524</v>
      </c>
      <c r="CG47" s="526">
        <f t="shared" si="76"/>
        <v>232.27391775836122</v>
      </c>
      <c r="CH47" s="526">
        <f t="shared" si="76"/>
        <v>234.95039525295903</v>
      </c>
      <c r="CI47" s="526">
        <f t="shared" si="76"/>
        <v>237.66106016496812</v>
      </c>
      <c r="CJ47" s="526">
        <f t="shared" si="76"/>
        <v>240.40636916528643</v>
      </c>
      <c r="CK47" s="526">
        <f t="shared" si="76"/>
        <v>243.18678503788101</v>
      </c>
      <c r="CL47" s="526">
        <f t="shared" si="76"/>
        <v>246.0027767596759</v>
      </c>
      <c r="CM47" s="526">
        <f t="shared" si="76"/>
        <v>248.85481958153187</v>
      </c>
      <c r="CN47" s="526">
        <f t="shared" si="77"/>
        <v>251.743395110162</v>
      </c>
      <c r="CO47" s="526">
        <f t="shared" si="77"/>
        <v>254.66899139115236</v>
      </c>
      <c r="CP47" s="526">
        <f t="shared" si="77"/>
        <v>257.63210299295065</v>
      </c>
      <c r="CQ47" s="526">
        <f t="shared" si="77"/>
        <v>260.6332310919779</v>
      </c>
      <c r="CR47" s="526">
        <f t="shared" si="77"/>
        <v>263.67288355873848</v>
      </c>
      <c r="CS47" s="526">
        <f t="shared" si="77"/>
        <v>266.75157504507507</v>
      </c>
      <c r="CT47" s="526">
        <f t="shared" si="77"/>
        <v>269.86982707245079</v>
      </c>
      <c r="CU47" s="526">
        <f t="shared" si="77"/>
        <v>273.02816812139645</v>
      </c>
      <c r="CV47" s="526">
        <f t="shared" si="77"/>
        <v>276.2271337220169</v>
      </c>
      <c r="CW47" s="530">
        <f t="shared" si="77"/>
        <v>279.4672665456859</v>
      </c>
      <c r="CX47" s="542"/>
    </row>
    <row r="48" spans="1:102" ht="14.25">
      <c r="A48" s="163">
        <v>35</v>
      </c>
      <c r="B48" s="2251">
        <v>98583</v>
      </c>
      <c r="C48" s="179">
        <v>44.03</v>
      </c>
      <c r="D48" s="163">
        <v>85</v>
      </c>
      <c r="E48" s="2251">
        <f t="shared" si="10"/>
        <v>36423</v>
      </c>
      <c r="F48" s="179">
        <f t="shared" si="10"/>
        <v>5.36</v>
      </c>
      <c r="G48" s="152"/>
      <c r="H48" s="163">
        <v>35</v>
      </c>
      <c r="I48" s="2251">
        <v>99120</v>
      </c>
      <c r="J48" s="179">
        <v>48.6</v>
      </c>
      <c r="K48" s="163">
        <v>85</v>
      </c>
      <c r="L48" s="2251">
        <f t="shared" si="11"/>
        <v>54194</v>
      </c>
      <c r="M48" s="179">
        <f t="shared" si="11"/>
        <v>6.42</v>
      </c>
      <c r="O48" s="2251">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8">
        <v>65</v>
      </c>
      <c r="CD48" s="527">
        <f t="shared" si="76"/>
        <v>223.32849066134767</v>
      </c>
      <c r="CE48" s="527">
        <f t="shared" si="76"/>
        <v>225.66772209770795</v>
      </c>
      <c r="CF48" s="527">
        <f t="shared" si="76"/>
        <v>228.03493251673811</v>
      </c>
      <c r="CG48" s="527">
        <f t="shared" si="76"/>
        <v>230.43047396662817</v>
      </c>
      <c r="CH48" s="527">
        <f t="shared" si="76"/>
        <v>232.8547029266195</v>
      </c>
      <c r="CI48" s="527">
        <f t="shared" si="76"/>
        <v>235.30798036135457</v>
      </c>
      <c r="CJ48" s="527">
        <f t="shared" si="76"/>
        <v>237.79067177575314</v>
      </c>
      <c r="CK48" s="527">
        <f t="shared" si="76"/>
        <v>240.30314727063342</v>
      </c>
      <c r="CL48" s="527">
        <f t="shared" si="76"/>
        <v>242.84578159889037</v>
      </c>
      <c r="CM48" s="527">
        <f t="shared" si="76"/>
        <v>245.41895422241799</v>
      </c>
      <c r="CN48" s="527">
        <f t="shared" si="77"/>
        <v>248.02304936961778</v>
      </c>
      <c r="CO48" s="527">
        <f t="shared" si="77"/>
        <v>250.65845609365394</v>
      </c>
      <c r="CP48" s="527">
        <f t="shared" si="77"/>
        <v>253.32556833131827</v>
      </c>
      <c r="CQ48" s="527">
        <f t="shared" si="77"/>
        <v>256.02478496265019</v>
      </c>
      <c r="CR48" s="527">
        <f t="shared" si="77"/>
        <v>258.75650987118593</v>
      </c>
      <c r="CS48" s="527">
        <f t="shared" si="77"/>
        <v>261.52115200497559</v>
      </c>
      <c r="CT48" s="527">
        <f t="shared" si="77"/>
        <v>264.31912543824762</v>
      </c>
      <c r="CU48" s="527">
        <f t="shared" si="77"/>
        <v>267.1508494338517</v>
      </c>
      <c r="CV48" s="527">
        <f t="shared" si="77"/>
        <v>270.01674850637039</v>
      </c>
      <c r="CW48" s="531">
        <f t="shared" si="77"/>
        <v>272.91725248602137</v>
      </c>
      <c r="CX48" s="542"/>
    </row>
    <row r="49" spans="1:102" ht="14.25">
      <c r="A49" s="172">
        <v>36</v>
      </c>
      <c r="B49" s="2250">
        <v>98500</v>
      </c>
      <c r="C49" s="173">
        <v>43.06</v>
      </c>
      <c r="D49" s="172">
        <v>86</v>
      </c>
      <c r="E49" s="2250">
        <f t="shared" si="10"/>
        <v>32604</v>
      </c>
      <c r="F49" s="173">
        <f t="shared" si="10"/>
        <v>4.93</v>
      </c>
      <c r="G49" s="152"/>
      <c r="H49" s="172">
        <v>36</v>
      </c>
      <c r="I49" s="2250">
        <v>99075</v>
      </c>
      <c r="J49" s="173">
        <v>47.62</v>
      </c>
      <c r="K49" s="172">
        <v>86</v>
      </c>
      <c r="L49" s="2250">
        <f t="shared" si="11"/>
        <v>50170</v>
      </c>
      <c r="M49" s="173">
        <f t="shared" si="11"/>
        <v>5.9</v>
      </c>
      <c r="O49" s="2250">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8">
        <v>66</v>
      </c>
      <c r="CD49" s="526">
        <f t="shared" si="76"/>
        <v>222.217403643132</v>
      </c>
      <c r="CE49" s="526">
        <f t="shared" si="76"/>
        <v>224.32179134961029</v>
      </c>
      <c r="CF49" s="526">
        <f t="shared" si="76"/>
        <v>226.44978402853837</v>
      </c>
      <c r="CG49" s="526">
        <f t="shared" si="76"/>
        <v>228.60166068117871</v>
      </c>
      <c r="CH49" s="526">
        <f t="shared" si="76"/>
        <v>230.77770359427109</v>
      </c>
      <c r="CI49" s="526">
        <f t="shared" si="76"/>
        <v>232.97819837757879</v>
      </c>
      <c r="CJ49" s="526">
        <f t="shared" si="76"/>
        <v>235.20343400173414</v>
      </c>
      <c r="CK49" s="526">
        <f t="shared" si="76"/>
        <v>237.45370283659429</v>
      </c>
      <c r="CL49" s="526">
        <f t="shared" si="76"/>
        <v>239.72930068992139</v>
      </c>
      <c r="CM49" s="526">
        <f t="shared" si="76"/>
        <v>242.03052684656603</v>
      </c>
      <c r="CN49" s="526">
        <f t="shared" si="77"/>
        <v>244.35768410799784</v>
      </c>
      <c r="CO49" s="526">
        <f t="shared" si="77"/>
        <v>246.71107883233651</v>
      </c>
      <c r="CP49" s="526">
        <f t="shared" si="77"/>
        <v>249.09102097474761</v>
      </c>
      <c r="CQ49" s="526">
        <f t="shared" si="77"/>
        <v>251.49782412834008</v>
      </c>
      <c r="CR49" s="526">
        <f t="shared" si="77"/>
        <v>253.93180556544257</v>
      </c>
      <c r="CS49" s="526">
        <f t="shared" si="77"/>
        <v>256.39328627938784</v>
      </c>
      <c r="CT49" s="526">
        <f t="shared" si="77"/>
        <v>258.88259102668724</v>
      </c>
      <c r="CU49" s="526">
        <f t="shared" si="77"/>
        <v>261.40004836971787</v>
      </c>
      <c r="CV49" s="526">
        <f t="shared" si="77"/>
        <v>263.94599071981469</v>
      </c>
      <c r="CW49" s="530">
        <f t="shared" si="77"/>
        <v>266.52075438088025</v>
      </c>
      <c r="CX49" s="542"/>
    </row>
    <row r="50" spans="1:102" ht="14.25">
      <c r="A50" s="163">
        <v>37</v>
      </c>
      <c r="B50" s="2251">
        <v>98409</v>
      </c>
      <c r="C50" s="179">
        <v>42.1</v>
      </c>
      <c r="D50" s="163">
        <v>87</v>
      </c>
      <c r="E50" s="2251">
        <f t="shared" si="10"/>
        <v>28721</v>
      </c>
      <c r="F50" s="179">
        <f t="shared" si="10"/>
        <v>4.5199999999999996</v>
      </c>
      <c r="G50" s="152"/>
      <c r="H50" s="163">
        <v>37</v>
      </c>
      <c r="I50" s="2251">
        <v>99026</v>
      </c>
      <c r="J50" s="179">
        <v>46.64</v>
      </c>
      <c r="K50" s="163">
        <v>87</v>
      </c>
      <c r="L50" s="2251">
        <f t="shared" si="11"/>
        <v>45840</v>
      </c>
      <c r="M50" s="179">
        <f t="shared" si="11"/>
        <v>5.41</v>
      </c>
      <c r="O50" s="2251">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8">
        <v>67</v>
      </c>
      <c r="CD50" s="527">
        <f t="shared" si="76"/>
        <v>221.11184442102692</v>
      </c>
      <c r="CE50" s="527">
        <f t="shared" si="76"/>
        <v>222.98388802148139</v>
      </c>
      <c r="CF50" s="527">
        <f t="shared" si="76"/>
        <v>224.87565444740653</v>
      </c>
      <c r="CG50" s="527">
        <f t="shared" si="76"/>
        <v>226.78736178688365</v>
      </c>
      <c r="CH50" s="527">
        <f t="shared" si="76"/>
        <v>228.71923051959476</v>
      </c>
      <c r="CI50" s="527">
        <f t="shared" si="76"/>
        <v>230.6714835421572</v>
      </c>
      <c r="CJ50" s="527">
        <f t="shared" si="76"/>
        <v>232.64434619360446</v>
      </c>
      <c r="CK50" s="527">
        <f t="shared" si="76"/>
        <v>234.63804628121966</v>
      </c>
      <c r="CL50" s="527">
        <f t="shared" si="76"/>
        <v>236.65281410653643</v>
      </c>
      <c r="CM50" s="527">
        <f t="shared" si="76"/>
        <v>238.68888249168248</v>
      </c>
      <c r="CN50" s="527">
        <f t="shared" si="77"/>
        <v>240.74648680590923</v>
      </c>
      <c r="CO50" s="527">
        <f t="shared" si="77"/>
        <v>242.82586499245721</v>
      </c>
      <c r="CP50" s="527">
        <f t="shared" si="77"/>
        <v>244.92725759562205</v>
      </c>
      <c r="CQ50" s="527">
        <f t="shared" si="77"/>
        <v>247.05090778815332</v>
      </c>
      <c r="CR50" s="527">
        <f t="shared" si="77"/>
        <v>249.19706139886415</v>
      </c>
      <c r="CS50" s="527">
        <f t="shared" si="77"/>
        <v>251.3659669405763</v>
      </c>
      <c r="CT50" s="527">
        <f t="shared" si="77"/>
        <v>253.55787563828329</v>
      </c>
      <c r="CU50" s="527">
        <f t="shared" si="77"/>
        <v>255.77304145764958</v>
      </c>
      <c r="CV50" s="527">
        <f t="shared" si="77"/>
        <v>258.01172113373866</v>
      </c>
      <c r="CW50" s="531">
        <f t="shared" si="77"/>
        <v>260.27417420007833</v>
      </c>
      <c r="CX50" s="542"/>
    </row>
    <row r="51" spans="1:102" ht="14.25">
      <c r="A51" s="172">
        <v>38</v>
      </c>
      <c r="B51" s="2250">
        <v>98310</v>
      </c>
      <c r="C51" s="173">
        <v>41.15</v>
      </c>
      <c r="D51" s="172">
        <v>88</v>
      </c>
      <c r="E51" s="2250">
        <f t="shared" si="10"/>
        <v>24840</v>
      </c>
      <c r="F51" s="173">
        <f t="shared" si="10"/>
        <v>4.1500000000000004</v>
      </c>
      <c r="G51" s="152"/>
      <c r="H51" s="172">
        <v>38</v>
      </c>
      <c r="I51" s="2250">
        <v>98971</v>
      </c>
      <c r="J51" s="173">
        <v>45.67</v>
      </c>
      <c r="K51" s="172">
        <v>88</v>
      </c>
      <c r="L51" s="2250">
        <f t="shared" si="11"/>
        <v>41247</v>
      </c>
      <c r="M51" s="173">
        <f t="shared" si="11"/>
        <v>4.95</v>
      </c>
      <c r="O51" s="2250">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8">
        <v>68</v>
      </c>
      <c r="CD51" s="526">
        <f t="shared" si="76"/>
        <v>220.01178549355916</v>
      </c>
      <c r="CE51" s="526">
        <f t="shared" si="76"/>
        <v>221.65396423606501</v>
      </c>
      <c r="CF51" s="526">
        <f t="shared" si="76"/>
        <v>223.31246717716641</v>
      </c>
      <c r="CG51" s="526">
        <f t="shared" si="76"/>
        <v>224.98746209016235</v>
      </c>
      <c r="CH51" s="526">
        <f t="shared" si="76"/>
        <v>226.67911845351318</v>
      </c>
      <c r="CI51" s="526">
        <f t="shared" si="76"/>
        <v>228.38760746748241</v>
      </c>
      <c r="CJ51" s="526">
        <f t="shared" si="76"/>
        <v>230.11310207082545</v>
      </c>
      <c r="CK51" s="526">
        <f t="shared" si="76"/>
        <v>231.85577695772696</v>
      </c>
      <c r="CL51" s="526">
        <f t="shared" si="76"/>
        <v>233.61580859480401</v>
      </c>
      <c r="CM51" s="526">
        <f t="shared" si="76"/>
        <v>235.39337523834564</v>
      </c>
      <c r="CN51" s="526">
        <f t="shared" si="77"/>
        <v>237.18865695163475</v>
      </c>
      <c r="CO51" s="526">
        <f t="shared" si="77"/>
        <v>239.00183562249728</v>
      </c>
      <c r="CP51" s="526">
        <f t="shared" si="77"/>
        <v>240.83309498094599</v>
      </c>
      <c r="CQ51" s="526">
        <f t="shared" si="77"/>
        <v>242.6826206170465</v>
      </c>
      <c r="CR51" s="526">
        <f t="shared" si="77"/>
        <v>244.55059999888539</v>
      </c>
      <c r="CS51" s="526">
        <f t="shared" si="77"/>
        <v>246.43722249076109</v>
      </c>
      <c r="CT51" s="526">
        <f t="shared" si="77"/>
        <v>248.34267937148218</v>
      </c>
      <c r="CU51" s="526">
        <f t="shared" si="77"/>
        <v>250.26716385288609</v>
      </c>
      <c r="CV51" s="526">
        <f t="shared" si="77"/>
        <v>252.21087109847383</v>
      </c>
      <c r="CW51" s="530">
        <f t="shared" si="77"/>
        <v>254.17399824226402</v>
      </c>
      <c r="CX51" s="542"/>
    </row>
    <row r="52" spans="1:102" ht="14.25">
      <c r="A52" s="163">
        <v>39</v>
      </c>
      <c r="B52" s="2251">
        <v>98202</v>
      </c>
      <c r="C52" s="179">
        <v>40.19</v>
      </c>
      <c r="D52" s="163">
        <v>89</v>
      </c>
      <c r="E52" s="2251">
        <f t="shared" si="10"/>
        <v>21043</v>
      </c>
      <c r="F52" s="179">
        <f t="shared" si="10"/>
        <v>3.81</v>
      </c>
      <c r="G52" s="152"/>
      <c r="H52" s="163">
        <v>39</v>
      </c>
      <c r="I52" s="2251">
        <v>98912</v>
      </c>
      <c r="J52" s="179">
        <v>44.7</v>
      </c>
      <c r="K52" s="163">
        <v>89</v>
      </c>
      <c r="L52" s="2251">
        <f t="shared" si="11"/>
        <v>36472</v>
      </c>
      <c r="M52" s="179">
        <f t="shared" si="11"/>
        <v>4.54</v>
      </c>
      <c r="O52" s="2251">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8">
        <v>69</v>
      </c>
      <c r="CD52" s="527">
        <f t="shared" si="76"/>
        <v>218.91719949607881</v>
      </c>
      <c r="CE52" s="527">
        <f t="shared" si="76"/>
        <v>220.33197240165509</v>
      </c>
      <c r="CF52" s="527">
        <f t="shared" si="76"/>
        <v>221.76014615408783</v>
      </c>
      <c r="CG52" s="527">
        <f t="shared" si="76"/>
        <v>223.20184731166898</v>
      </c>
      <c r="CH52" s="527">
        <f t="shared" si="76"/>
        <v>224.65720362092483</v>
      </c>
      <c r="CI52" s="527">
        <f t="shared" si="76"/>
        <v>226.12634402721028</v>
      </c>
      <c r="CJ52" s="527">
        <f t="shared" si="76"/>
        <v>227.60939868528732</v>
      </c>
      <c r="CK52" s="527">
        <f t="shared" si="76"/>
        <v>229.10649897008591</v>
      </c>
      <c r="CL52" s="527">
        <f t="shared" si="76"/>
        <v>230.61777748746692</v>
      </c>
      <c r="CM52" s="527">
        <f t="shared" si="76"/>
        <v>232.14336808515344</v>
      </c>
      <c r="CN52" s="527">
        <f t="shared" si="77"/>
        <v>233.68340586367961</v>
      </c>
      <c r="CO52" s="527">
        <f t="shared" si="77"/>
        <v>235.23802718749727</v>
      </c>
      <c r="CP52" s="527">
        <f t="shared" si="77"/>
        <v>236.80736969611209</v>
      </c>
      <c r="CQ52" s="527">
        <f t="shared" si="77"/>
        <v>238.39157231536984</v>
      </c>
      <c r="CR52" s="527">
        <f t="shared" si="77"/>
        <v>239.99077526877858</v>
      </c>
      <c r="CS52" s="527">
        <f t="shared" si="77"/>
        <v>241.60512008898149</v>
      </c>
      <c r="CT52" s="527">
        <f t="shared" si="77"/>
        <v>243.23474962926764</v>
      </c>
      <c r="CU52" s="527">
        <f t="shared" si="77"/>
        <v>244.87980807523101</v>
      </c>
      <c r="CV52" s="527">
        <f t="shared" si="77"/>
        <v>246.54044095647492</v>
      </c>
      <c r="CW52" s="531">
        <f t="shared" si="77"/>
        <v>248.21679515846097</v>
      </c>
      <c r="CX52" s="542"/>
    </row>
    <row r="53" spans="1:102" thickBot="1">
      <c r="A53" s="172">
        <v>40</v>
      </c>
      <c r="B53" s="2250">
        <v>98084</v>
      </c>
      <c r="C53" s="173">
        <v>39.24</v>
      </c>
      <c r="D53" s="172">
        <v>90</v>
      </c>
      <c r="E53" s="2250">
        <f t="shared" si="10"/>
        <v>17418</v>
      </c>
      <c r="F53" s="173">
        <f t="shared" si="10"/>
        <v>3.5</v>
      </c>
      <c r="G53" s="152"/>
      <c r="H53" s="172">
        <v>40</v>
      </c>
      <c r="I53" s="2250">
        <v>98848</v>
      </c>
      <c r="J53" s="173">
        <v>43.73</v>
      </c>
      <c r="K53" s="172">
        <v>90</v>
      </c>
      <c r="L53" s="2250">
        <f t="shared" si="11"/>
        <v>31623</v>
      </c>
      <c r="M53" s="173">
        <f t="shared" si="11"/>
        <v>4.1500000000000004</v>
      </c>
      <c r="O53" s="2250">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32">
        <v>70</v>
      </c>
      <c r="CD53" s="533">
        <f t="shared" si="76"/>
        <v>217.82805920007843</v>
      </c>
      <c r="CE53" s="533">
        <f t="shared" si="76"/>
        <v>219.01786521039273</v>
      </c>
      <c r="CF53" s="533">
        <f t="shared" si="76"/>
        <v>220.21861584318557</v>
      </c>
      <c r="CG53" s="533">
        <f t="shared" si="76"/>
        <v>221.43040407903663</v>
      </c>
      <c r="CH53" s="533">
        <f t="shared" si="76"/>
        <v>222.65332370755692</v>
      </c>
      <c r="CI53" s="533">
        <f t="shared" si="76"/>
        <v>223.88746933387159</v>
      </c>
      <c r="CJ53" s="533">
        <f t="shared" si="76"/>
        <v>225.13293638505172</v>
      </c>
      <c r="CK53" s="533">
        <f t="shared" si="76"/>
        <v>226.38982111668565</v>
      </c>
      <c r="CL53" s="533">
        <f t="shared" si="76"/>
        <v>227.65822061941458</v>
      </c>
      <c r="CM53" s="533">
        <f t="shared" si="76"/>
        <v>228.93823282559509</v>
      </c>
      <c r="CN53" s="533">
        <f t="shared" si="77"/>
        <v>230.22995651594053</v>
      </c>
      <c r="CO53" s="533">
        <f t="shared" si="77"/>
        <v>231.53349132627687</v>
      </c>
      <c r="CP53" s="533">
        <f t="shared" si="77"/>
        <v>232.84893775428924</v>
      </c>
      <c r="CQ53" s="533">
        <f t="shared" si="77"/>
        <v>234.17639716637507</v>
      </c>
      <c r="CR53" s="533">
        <f t="shared" si="77"/>
        <v>235.5159718044932</v>
      </c>
      <c r="CS53" s="533">
        <f t="shared" si="77"/>
        <v>236.86776479311908</v>
      </c>
      <c r="CT53" s="533">
        <f t="shared" si="77"/>
        <v>238.23188014619748</v>
      </c>
      <c r="CU53" s="533">
        <f t="shared" si="77"/>
        <v>239.60842277419863</v>
      </c>
      <c r="CV53" s="533">
        <f t="shared" si="77"/>
        <v>240.99749849117785</v>
      </c>
      <c r="CW53" s="534">
        <f t="shared" si="77"/>
        <v>242.39921402193451</v>
      </c>
      <c r="CX53" s="542"/>
    </row>
    <row r="54" spans="1:102" ht="14.25" customHeight="1">
      <c r="A54" s="163">
        <v>41</v>
      </c>
      <c r="B54" s="2251">
        <v>97955</v>
      </c>
      <c r="C54" s="179">
        <v>38.29</v>
      </c>
      <c r="D54" s="163">
        <v>91</v>
      </c>
      <c r="E54" s="2251">
        <f t="shared" si="10"/>
        <v>14055</v>
      </c>
      <c r="F54" s="179">
        <f t="shared" si="10"/>
        <v>3.22</v>
      </c>
      <c r="G54" s="152"/>
      <c r="H54" s="163">
        <v>41</v>
      </c>
      <c r="I54" s="2251">
        <v>98777</v>
      </c>
      <c r="J54" s="179">
        <v>42.76</v>
      </c>
      <c r="K54" s="163">
        <v>91</v>
      </c>
      <c r="L54" s="2251">
        <f t="shared" si="11"/>
        <v>26825</v>
      </c>
      <c r="M54" s="179">
        <f t="shared" si="11"/>
        <v>3.81</v>
      </c>
      <c r="O54" s="2251">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849" t="s">
        <v>601</v>
      </c>
      <c r="CD54" s="2850"/>
      <c r="CE54" s="2850"/>
      <c r="CF54" s="2850"/>
      <c r="CG54" s="2850"/>
      <c r="CH54" s="2850"/>
      <c r="CI54" s="2850"/>
      <c r="CJ54" s="2850"/>
      <c r="CK54" s="2850"/>
      <c r="CL54" s="2850"/>
      <c r="CM54" s="2850"/>
      <c r="CN54" s="2850"/>
      <c r="CO54" s="2850"/>
      <c r="CP54" s="2850"/>
      <c r="CQ54" s="2850"/>
      <c r="CR54" s="2850"/>
      <c r="CS54" s="2850"/>
      <c r="CT54" s="2850"/>
      <c r="CU54" s="2850"/>
      <c r="CV54" s="2850"/>
      <c r="CW54" s="2851"/>
      <c r="CX54" s="541"/>
    </row>
    <row r="55" spans="1:102" ht="15" customHeight="1" thickBot="1">
      <c r="A55" s="172">
        <v>42</v>
      </c>
      <c r="B55" s="2250">
        <v>97815</v>
      </c>
      <c r="C55" s="173">
        <v>37.340000000000003</v>
      </c>
      <c r="D55" s="172">
        <v>92</v>
      </c>
      <c r="E55" s="2250">
        <f t="shared" si="10"/>
        <v>11029</v>
      </c>
      <c r="F55" s="173">
        <f t="shared" si="10"/>
        <v>2.97</v>
      </c>
      <c r="G55" s="152"/>
      <c r="H55" s="172">
        <v>42</v>
      </c>
      <c r="I55" s="2250">
        <v>98700</v>
      </c>
      <c r="J55" s="173">
        <v>41.79</v>
      </c>
      <c r="K55" s="172">
        <v>92</v>
      </c>
      <c r="L55" s="2250">
        <f t="shared" si="11"/>
        <v>22215</v>
      </c>
      <c r="M55" s="173">
        <f t="shared" si="11"/>
        <v>3.49</v>
      </c>
      <c r="O55" s="2250">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852"/>
      <c r="CD55" s="2853"/>
      <c r="CE55" s="2853"/>
      <c r="CF55" s="2853"/>
      <c r="CG55" s="2853"/>
      <c r="CH55" s="2853"/>
      <c r="CI55" s="2853"/>
      <c r="CJ55" s="2853"/>
      <c r="CK55" s="2853"/>
      <c r="CL55" s="2853"/>
      <c r="CM55" s="2853"/>
      <c r="CN55" s="2853"/>
      <c r="CO55" s="2853"/>
      <c r="CP55" s="2853"/>
      <c r="CQ55" s="2853"/>
      <c r="CR55" s="2853"/>
      <c r="CS55" s="2853"/>
      <c r="CT55" s="2853"/>
      <c r="CU55" s="2853"/>
      <c r="CV55" s="2853"/>
      <c r="CW55" s="2854"/>
      <c r="CX55" s="541"/>
    </row>
    <row r="56" spans="1:102">
      <c r="A56" s="163">
        <v>43</v>
      </c>
      <c r="B56" s="2251">
        <v>97663</v>
      </c>
      <c r="C56" s="179">
        <v>36.4</v>
      </c>
      <c r="D56" s="163">
        <v>93</v>
      </c>
      <c r="E56" s="2251">
        <f t="shared" si="10"/>
        <v>8399</v>
      </c>
      <c r="F56" s="179">
        <f t="shared" si="10"/>
        <v>2.74</v>
      </c>
      <c r="G56" s="152"/>
      <c r="H56" s="163">
        <v>43</v>
      </c>
      <c r="I56" s="2251">
        <v>98616</v>
      </c>
      <c r="J56" s="179">
        <v>40.82</v>
      </c>
      <c r="K56" s="163">
        <v>93</v>
      </c>
      <c r="L56" s="2251">
        <f t="shared" si="11"/>
        <v>17921</v>
      </c>
      <c r="M56" s="179">
        <f t="shared" si="11"/>
        <v>3.21</v>
      </c>
      <c r="O56" s="2251">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250">
        <v>97496</v>
      </c>
      <c r="C57" s="173">
        <v>35.46</v>
      </c>
      <c r="D57" s="172">
        <v>94</v>
      </c>
      <c r="E57" s="2250">
        <f t="shared" si="10"/>
        <v>6194</v>
      </c>
      <c r="F57" s="173">
        <f t="shared" si="10"/>
        <v>2.54</v>
      </c>
      <c r="G57" s="152"/>
      <c r="H57" s="172">
        <v>44</v>
      </c>
      <c r="I57" s="2250">
        <v>98525</v>
      </c>
      <c r="J57" s="173">
        <v>39.86</v>
      </c>
      <c r="K57" s="172">
        <v>94</v>
      </c>
      <c r="L57" s="2250">
        <f t="shared" si="11"/>
        <v>14054</v>
      </c>
      <c r="M57" s="173">
        <f t="shared" si="11"/>
        <v>2.96</v>
      </c>
      <c r="O57" s="2250">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251">
        <v>97313</v>
      </c>
      <c r="C58" s="179">
        <v>34.53</v>
      </c>
      <c r="D58" s="163">
        <v>95</v>
      </c>
      <c r="E58" s="2251">
        <f t="shared" si="10"/>
        <v>4418</v>
      </c>
      <c r="F58" s="179">
        <f t="shared" si="10"/>
        <v>2.35</v>
      </c>
      <c r="G58" s="152"/>
      <c r="H58" s="163">
        <v>45</v>
      </c>
      <c r="I58" s="2251">
        <v>98424</v>
      </c>
      <c r="J58" s="179">
        <v>38.9</v>
      </c>
      <c r="K58" s="163">
        <v>95</v>
      </c>
      <c r="L58" s="2251">
        <f t="shared" si="11"/>
        <v>10696</v>
      </c>
      <c r="M58" s="179">
        <f t="shared" si="11"/>
        <v>2.73</v>
      </c>
      <c r="O58" s="2251">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250">
        <v>97113</v>
      </c>
      <c r="C59" s="173">
        <v>33.6</v>
      </c>
      <c r="D59" s="172">
        <v>96</v>
      </c>
      <c r="E59" s="2250">
        <f t="shared" si="10"/>
        <v>3042</v>
      </c>
      <c r="F59" s="173">
        <f t="shared" si="10"/>
        <v>2.19</v>
      </c>
      <c r="G59" s="152"/>
      <c r="H59" s="172">
        <v>46</v>
      </c>
      <c r="I59" s="2250">
        <v>98313</v>
      </c>
      <c r="J59" s="173">
        <v>37.950000000000003</v>
      </c>
      <c r="K59" s="172">
        <v>96</v>
      </c>
      <c r="L59" s="2250">
        <f t="shared" si="11"/>
        <v>7886</v>
      </c>
      <c r="M59" s="173">
        <f t="shared" si="11"/>
        <v>2.5299999999999998</v>
      </c>
      <c r="O59" s="2250">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251">
        <v>96893</v>
      </c>
      <c r="C60" s="179">
        <v>32.67</v>
      </c>
      <c r="D60" s="163">
        <v>97</v>
      </c>
      <c r="E60" s="2251">
        <f t="shared" si="10"/>
        <v>2021</v>
      </c>
      <c r="F60" s="179">
        <f t="shared" si="10"/>
        <v>2.0499999999999998</v>
      </c>
      <c r="G60" s="152"/>
      <c r="H60" s="163">
        <v>47</v>
      </c>
      <c r="I60" s="2251">
        <v>98192</v>
      </c>
      <c r="J60" s="179">
        <v>36.99</v>
      </c>
      <c r="K60" s="163">
        <v>97</v>
      </c>
      <c r="L60" s="2251">
        <f t="shared" si="11"/>
        <v>5622</v>
      </c>
      <c r="M60" s="179">
        <f t="shared" si="11"/>
        <v>2.34</v>
      </c>
      <c r="O60" s="2251">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250">
        <v>96652</v>
      </c>
      <c r="C61" s="173">
        <v>31.75</v>
      </c>
      <c r="D61" s="172">
        <v>98</v>
      </c>
      <c r="E61" s="2250">
        <f t="shared" si="10"/>
        <v>1293</v>
      </c>
      <c r="F61" s="173">
        <f t="shared" si="10"/>
        <v>1.92</v>
      </c>
      <c r="G61" s="152"/>
      <c r="H61" s="172">
        <v>48</v>
      </c>
      <c r="I61" s="2250">
        <v>98058</v>
      </c>
      <c r="J61" s="173">
        <v>36.04</v>
      </c>
      <c r="K61" s="172">
        <v>98</v>
      </c>
      <c r="L61" s="2250">
        <f t="shared" si="11"/>
        <v>3867</v>
      </c>
      <c r="M61" s="173">
        <f t="shared" si="11"/>
        <v>2.1800000000000002</v>
      </c>
      <c r="O61" s="2250">
        <f t="shared" si="6"/>
        <v>97355</v>
      </c>
      <c r="P61" s="173">
        <f t="shared" si="7"/>
        <v>33.894999999999996</v>
      </c>
      <c r="T61" s="416">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251">
        <v>96386</v>
      </c>
      <c r="C62" s="179">
        <v>30.84</v>
      </c>
      <c r="D62" s="163">
        <v>99</v>
      </c>
      <c r="E62" s="2251">
        <f t="shared" si="10"/>
        <v>795</v>
      </c>
      <c r="F62" s="179">
        <f t="shared" si="10"/>
        <v>1.81</v>
      </c>
      <c r="G62" s="152"/>
      <c r="H62" s="163">
        <v>49</v>
      </c>
      <c r="I62" s="2251">
        <v>97911</v>
      </c>
      <c r="J62" s="179">
        <v>35.1</v>
      </c>
      <c r="K62" s="163">
        <v>99</v>
      </c>
      <c r="L62" s="2251">
        <f t="shared" si="11"/>
        <v>2560</v>
      </c>
      <c r="M62" s="179">
        <f t="shared" si="11"/>
        <v>2.0299999999999998</v>
      </c>
      <c r="O62" s="2251">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5.75" thickBot="1">
      <c r="A63" s="192">
        <v>50</v>
      </c>
      <c r="B63" s="2252">
        <v>96093</v>
      </c>
      <c r="C63" s="193">
        <v>29.93</v>
      </c>
      <c r="D63" s="192">
        <v>100</v>
      </c>
      <c r="E63" s="2252">
        <f t="shared" si="10"/>
        <v>470</v>
      </c>
      <c r="F63" s="193">
        <f t="shared" si="10"/>
        <v>1.71</v>
      </c>
      <c r="G63" s="863"/>
      <c r="H63" s="192">
        <v>50</v>
      </c>
      <c r="I63" s="2252">
        <v>97748</v>
      </c>
      <c r="J63" s="193">
        <v>34.15</v>
      </c>
      <c r="K63" s="192">
        <v>100</v>
      </c>
      <c r="L63" s="2252">
        <f t="shared" si="11"/>
        <v>1627</v>
      </c>
      <c r="M63" s="193">
        <f t="shared" si="11"/>
        <v>1.91</v>
      </c>
      <c r="N63" s="316"/>
      <c r="O63" s="2252">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8">
        <v>51</v>
      </c>
      <c r="B64" s="2253">
        <v>95771</v>
      </c>
      <c r="C64" s="859">
        <v>29.03</v>
      </c>
      <c r="D64" s="194"/>
      <c r="E64" s="2253"/>
      <c r="F64" s="152"/>
      <c r="G64" s="152"/>
      <c r="H64" s="858">
        <f>+H63+1</f>
        <v>51</v>
      </c>
      <c r="I64" s="2253">
        <v>97568</v>
      </c>
      <c r="J64" s="859">
        <v>33.22</v>
      </c>
      <c r="K64" s="152"/>
      <c r="L64" s="2253"/>
      <c r="M64" s="152"/>
      <c r="O64" s="2253">
        <f t="shared" si="6"/>
        <v>96669.5</v>
      </c>
      <c r="P64" s="859">
        <f t="shared" si="7"/>
        <v>31.125</v>
      </c>
      <c r="T64" s="149">
        <f>-PV(T61,T63,,T62)</f>
        <v>41297.326188834282</v>
      </c>
      <c r="U64" t="s">
        <v>1245</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250">
        <v>95416</v>
      </c>
      <c r="C65" s="173">
        <v>28.14</v>
      </c>
      <c r="D65" s="194"/>
      <c r="E65" s="2250"/>
      <c r="F65" s="152"/>
      <c r="G65" s="152"/>
      <c r="H65" s="172">
        <f t="shared" ref="H65:H113" si="85">+H64+1</f>
        <v>52</v>
      </c>
      <c r="I65" s="2250">
        <v>97369</v>
      </c>
      <c r="J65" s="173">
        <v>32.28</v>
      </c>
      <c r="K65" s="152"/>
      <c r="L65" s="2250"/>
      <c r="M65" s="152"/>
      <c r="O65" s="2250">
        <f t="shared" si="6"/>
        <v>96392.5</v>
      </c>
      <c r="P65" s="173">
        <f t="shared" si="7"/>
        <v>30.21</v>
      </c>
      <c r="T65">
        <f>T62*(1+T61)^-T63</f>
        <v>41297.326188834282</v>
      </c>
      <c r="U65" t="s">
        <v>1246</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251">
        <v>95023</v>
      </c>
      <c r="C66" s="179">
        <v>27.25</v>
      </c>
      <c r="D66" s="194"/>
      <c r="E66" s="2251"/>
      <c r="F66" s="152"/>
      <c r="G66" s="152"/>
      <c r="H66" s="163">
        <f t="shared" si="85"/>
        <v>53</v>
      </c>
      <c r="I66" s="2251">
        <v>97149</v>
      </c>
      <c r="J66" s="179">
        <v>31.35</v>
      </c>
      <c r="K66" s="152"/>
      <c r="L66" s="2251"/>
      <c r="M66" s="152"/>
      <c r="O66" s="2251">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250">
        <v>94589</v>
      </c>
      <c r="C67" s="173">
        <v>26.37</v>
      </c>
      <c r="D67" s="194"/>
      <c r="E67" s="2250"/>
      <c r="F67" s="152"/>
      <c r="G67" s="152"/>
      <c r="H67" s="172">
        <f t="shared" si="85"/>
        <v>54</v>
      </c>
      <c r="I67" s="2250">
        <v>96906</v>
      </c>
      <c r="J67" s="173">
        <v>30.43</v>
      </c>
      <c r="K67" s="152"/>
      <c r="L67" s="2250"/>
      <c r="M67" s="152"/>
      <c r="O67" s="2250">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251">
        <v>94108</v>
      </c>
      <c r="C68" s="179">
        <v>25.51</v>
      </c>
      <c r="D68" s="194"/>
      <c r="E68" s="2251"/>
      <c r="F68" s="152"/>
      <c r="G68" s="152"/>
      <c r="H68" s="163">
        <f t="shared" si="85"/>
        <v>55</v>
      </c>
      <c r="I68" s="2251">
        <v>96638</v>
      </c>
      <c r="J68" s="179">
        <v>29.51</v>
      </c>
      <c r="K68" s="152"/>
      <c r="L68" s="2251"/>
      <c r="M68" s="152"/>
      <c r="O68" s="2251">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250">
        <v>93576</v>
      </c>
      <c r="C69" s="173">
        <v>24.65</v>
      </c>
      <c r="D69" s="194"/>
      <c r="E69" s="2250"/>
      <c r="F69" s="152"/>
      <c r="G69" s="152"/>
      <c r="H69" s="172">
        <f t="shared" si="85"/>
        <v>56</v>
      </c>
      <c r="I69" s="2250">
        <v>96342</v>
      </c>
      <c r="J69" s="173">
        <v>28.6</v>
      </c>
      <c r="K69" s="152"/>
      <c r="L69" s="2250"/>
      <c r="M69" s="152"/>
      <c r="O69" s="2250">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251">
        <v>92985</v>
      </c>
      <c r="C70" s="179">
        <v>23.8</v>
      </c>
      <c r="D70" s="194"/>
      <c r="E70" s="2251"/>
      <c r="F70" s="152"/>
      <c r="G70" s="152"/>
      <c r="H70" s="163">
        <f t="shared" si="85"/>
        <v>57</v>
      </c>
      <c r="I70" s="2251">
        <v>96017</v>
      </c>
      <c r="J70" s="179">
        <v>27.7</v>
      </c>
      <c r="K70" s="152"/>
      <c r="L70" s="2251"/>
      <c r="M70" s="152"/>
      <c r="O70" s="2251">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250">
        <v>92331</v>
      </c>
      <c r="C71" s="173">
        <v>22.97</v>
      </c>
      <c r="D71" s="194"/>
      <c r="E71" s="2250"/>
      <c r="F71" s="152"/>
      <c r="G71" s="152"/>
      <c r="H71" s="172">
        <f t="shared" si="85"/>
        <v>58</v>
      </c>
      <c r="I71" s="2250">
        <v>95657</v>
      </c>
      <c r="J71" s="173">
        <v>26.8</v>
      </c>
      <c r="K71" s="152"/>
      <c r="L71" s="2250"/>
      <c r="M71" s="152"/>
      <c r="O71" s="2250">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251">
        <v>91606</v>
      </c>
      <c r="C72" s="179">
        <v>22.14</v>
      </c>
      <c r="D72" s="194"/>
      <c r="E72" s="2251"/>
      <c r="F72" s="152"/>
      <c r="G72" s="152"/>
      <c r="H72" s="163">
        <f t="shared" si="85"/>
        <v>59</v>
      </c>
      <c r="I72" s="2251">
        <v>95261</v>
      </c>
      <c r="J72" s="179">
        <v>25.91</v>
      </c>
      <c r="K72" s="152"/>
      <c r="L72" s="2251"/>
      <c r="M72" s="152"/>
      <c r="O72" s="2251">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250">
        <v>90805</v>
      </c>
      <c r="C73" s="173">
        <v>21.34</v>
      </c>
      <c r="D73" s="194"/>
      <c r="E73" s="2250"/>
      <c r="F73" s="152"/>
      <c r="G73" s="152"/>
      <c r="H73" s="172">
        <f t="shared" si="85"/>
        <v>60</v>
      </c>
      <c r="I73" s="2250">
        <v>94822</v>
      </c>
      <c r="J73" s="173">
        <v>25.03</v>
      </c>
      <c r="K73" s="152"/>
      <c r="L73" s="2250"/>
      <c r="M73" s="152"/>
      <c r="O73" s="2250">
        <f t="shared" si="6"/>
        <v>92813.5</v>
      </c>
      <c r="P73" s="173">
        <f t="shared" si="7"/>
        <v>23.185000000000002</v>
      </c>
      <c r="Q73" s="399"/>
      <c r="R73" s="399"/>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251">
        <v>89921</v>
      </c>
      <c r="C74" s="179">
        <v>20.54</v>
      </c>
      <c r="D74" s="194"/>
      <c r="E74" s="2251"/>
      <c r="F74" s="152"/>
      <c r="G74" s="152"/>
      <c r="H74" s="163">
        <f t="shared" si="85"/>
        <v>61</v>
      </c>
      <c r="I74" s="2251">
        <v>94336</v>
      </c>
      <c r="J74" s="179">
        <v>24.15</v>
      </c>
      <c r="K74" s="152"/>
      <c r="L74" s="2251"/>
      <c r="M74" s="152"/>
      <c r="O74" s="2251">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250">
        <v>88949</v>
      </c>
      <c r="C75" s="173">
        <v>19.760000000000002</v>
      </c>
      <c r="D75" s="194"/>
      <c r="E75" s="2250"/>
      <c r="F75" s="152"/>
      <c r="G75" s="152"/>
      <c r="H75" s="172">
        <f t="shared" si="85"/>
        <v>62</v>
      </c>
      <c r="I75" s="2250">
        <v>93797</v>
      </c>
      <c r="J75" s="173">
        <v>23.29</v>
      </c>
      <c r="K75" s="152"/>
      <c r="L75" s="2250"/>
      <c r="M75" s="152"/>
      <c r="O75" s="2250">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251">
        <v>87883</v>
      </c>
      <c r="C76" s="179">
        <v>18.989999999999998</v>
      </c>
      <c r="D76" s="194"/>
      <c r="E76" s="2251"/>
      <c r="F76" s="152"/>
      <c r="G76" s="152"/>
      <c r="H76" s="163">
        <f t="shared" si="85"/>
        <v>63</v>
      </c>
      <c r="I76" s="2251">
        <v>93201</v>
      </c>
      <c r="J76" s="179">
        <v>22.44</v>
      </c>
      <c r="K76" s="152"/>
      <c r="L76" s="2251"/>
      <c r="M76" s="152"/>
      <c r="O76" s="2251">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250">
        <v>86719</v>
      </c>
      <c r="C77" s="173">
        <v>18.239999999999998</v>
      </c>
      <c r="D77" s="194"/>
      <c r="E77" s="2250"/>
      <c r="F77" s="195"/>
      <c r="G77" s="152"/>
      <c r="H77" s="172">
        <f t="shared" si="85"/>
        <v>64</v>
      </c>
      <c r="I77" s="2250">
        <v>92543</v>
      </c>
      <c r="J77" s="173">
        <v>21.59</v>
      </c>
      <c r="K77" s="152"/>
      <c r="L77" s="2250"/>
      <c r="M77" s="152"/>
      <c r="O77" s="2250">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251">
        <v>85455</v>
      </c>
      <c r="C78" s="179">
        <v>17.5</v>
      </c>
      <c r="D78" s="194"/>
      <c r="E78" s="2251"/>
      <c r="F78" s="152"/>
      <c r="G78" s="152"/>
      <c r="H78" s="163">
        <f t="shared" si="85"/>
        <v>65</v>
      </c>
      <c r="I78" s="2251">
        <v>91821</v>
      </c>
      <c r="J78" s="179">
        <v>20.76</v>
      </c>
      <c r="K78" s="152"/>
      <c r="L78" s="2251"/>
      <c r="M78" s="152"/>
      <c r="O78" s="2251">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250">
        <v>84089</v>
      </c>
      <c r="C79" s="173">
        <v>16.78</v>
      </c>
      <c r="D79" s="194"/>
      <c r="E79" s="2250"/>
      <c r="F79" s="195"/>
      <c r="G79" s="152"/>
      <c r="H79" s="172">
        <f t="shared" si="85"/>
        <v>66</v>
      </c>
      <c r="I79" s="2250">
        <v>91032</v>
      </c>
      <c r="J79" s="173">
        <v>19.93</v>
      </c>
      <c r="K79" s="152"/>
      <c r="L79" s="2250"/>
      <c r="M79" s="152"/>
      <c r="O79" s="2250">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251">
        <v>82623</v>
      </c>
      <c r="C80" s="179">
        <v>16.07</v>
      </c>
      <c r="D80" s="194"/>
      <c r="E80" s="2251"/>
      <c r="F80" s="195"/>
      <c r="G80" s="152"/>
      <c r="H80" s="163">
        <f t="shared" si="85"/>
        <v>67</v>
      </c>
      <c r="I80" s="2251">
        <v>90177</v>
      </c>
      <c r="J80" s="179">
        <v>19.12</v>
      </c>
      <c r="K80" s="152"/>
      <c r="L80" s="2251"/>
      <c r="M80" s="152"/>
      <c r="O80" s="2251">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250">
        <v>81054</v>
      </c>
      <c r="C81" s="173">
        <v>15.37</v>
      </c>
      <c r="D81" s="194"/>
      <c r="E81" s="2250"/>
      <c r="F81" s="152"/>
      <c r="G81" s="152"/>
      <c r="H81" s="172">
        <f t="shared" si="85"/>
        <v>68</v>
      </c>
      <c r="I81" s="2250">
        <v>89253</v>
      </c>
      <c r="J81" s="173">
        <v>18.309999999999999</v>
      </c>
      <c r="K81" s="152"/>
      <c r="L81" s="2250"/>
      <c r="M81" s="152"/>
      <c r="O81" s="2250">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251">
        <v>79384</v>
      </c>
      <c r="C82" s="179">
        <v>14.68</v>
      </c>
      <c r="D82" s="194"/>
      <c r="E82" s="2251"/>
      <c r="F82" s="152"/>
      <c r="G82" s="152"/>
      <c r="H82" s="163">
        <f t="shared" si="85"/>
        <v>69</v>
      </c>
      <c r="I82" s="2251">
        <v>88257</v>
      </c>
      <c r="J82" s="179">
        <v>17.510000000000002</v>
      </c>
      <c r="K82" s="152"/>
      <c r="L82" s="2251"/>
      <c r="M82" s="152"/>
      <c r="O82" s="2251">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250">
        <v>77611</v>
      </c>
      <c r="C83" s="173">
        <v>14.01</v>
      </c>
      <c r="D83" s="194"/>
      <c r="E83" s="2250"/>
      <c r="F83" s="152"/>
      <c r="G83" s="152"/>
      <c r="H83" s="172">
        <f t="shared" si="85"/>
        <v>70</v>
      </c>
      <c r="I83" s="2250">
        <v>87183</v>
      </c>
      <c r="J83" s="173">
        <v>16.72</v>
      </c>
      <c r="K83" s="152"/>
      <c r="L83" s="2250"/>
      <c r="M83" s="152"/>
      <c r="O83" s="2250">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251">
        <v>75733</v>
      </c>
      <c r="C84" s="179">
        <v>13.34</v>
      </c>
      <c r="D84" s="194"/>
      <c r="E84" s="2251"/>
      <c r="F84" s="152"/>
      <c r="G84" s="152"/>
      <c r="H84" s="163">
        <f t="shared" si="85"/>
        <v>71</v>
      </c>
      <c r="I84" s="2251">
        <v>86024</v>
      </c>
      <c r="J84" s="179">
        <v>15.94</v>
      </c>
      <c r="K84" s="152"/>
      <c r="L84" s="2251"/>
      <c r="M84" s="152"/>
      <c r="O84" s="2251">
        <f t="shared" si="86"/>
        <v>80878.5</v>
      </c>
      <c r="P84" s="179">
        <f t="shared" si="87"/>
        <v>14.64</v>
      </c>
      <c r="Q84" s="152"/>
      <c r="R84" s="152"/>
    </row>
    <row r="85" spans="1:71">
      <c r="A85" s="172">
        <v>72</v>
      </c>
      <c r="B85" s="2250">
        <v>73745</v>
      </c>
      <c r="C85" s="173">
        <v>12.69</v>
      </c>
      <c r="D85" s="194"/>
      <c r="E85" s="2250"/>
      <c r="F85" s="152"/>
      <c r="G85" s="152"/>
      <c r="H85" s="172">
        <f t="shared" si="85"/>
        <v>72</v>
      </c>
      <c r="I85" s="2250">
        <v>84768</v>
      </c>
      <c r="J85" s="173">
        <v>15.17</v>
      </c>
      <c r="K85" s="152"/>
      <c r="L85" s="2250"/>
      <c r="M85" s="152"/>
      <c r="O85" s="2250">
        <f t="shared" si="86"/>
        <v>79256.5</v>
      </c>
      <c r="P85" s="173">
        <f t="shared" si="87"/>
        <v>13.93</v>
      </c>
      <c r="Q85" s="152"/>
      <c r="R85" s="152"/>
    </row>
    <row r="86" spans="1:71">
      <c r="A86" s="163">
        <v>73</v>
      </c>
      <c r="B86" s="2251">
        <v>71645</v>
      </c>
      <c r="C86" s="179">
        <v>12.05</v>
      </c>
      <c r="D86" s="194"/>
      <c r="E86" s="2251"/>
      <c r="F86" s="152"/>
      <c r="G86" s="152"/>
      <c r="H86" s="163">
        <f t="shared" si="85"/>
        <v>73</v>
      </c>
      <c r="I86" s="2251">
        <v>83403</v>
      </c>
      <c r="J86" s="179">
        <v>14.41</v>
      </c>
      <c r="K86" s="152"/>
      <c r="L86" s="2251"/>
      <c r="M86" s="152"/>
      <c r="O86" s="2251">
        <f t="shared" si="86"/>
        <v>77524</v>
      </c>
      <c r="P86" s="179">
        <f t="shared" si="87"/>
        <v>13.23</v>
      </c>
      <c r="Q86" s="152"/>
      <c r="R86" s="152"/>
    </row>
    <row r="87" spans="1:71">
      <c r="A87" s="172">
        <v>74</v>
      </c>
      <c r="B87" s="2250">
        <v>69429</v>
      </c>
      <c r="C87" s="173">
        <v>11.41</v>
      </c>
      <c r="D87" s="194"/>
      <c r="E87" s="2250"/>
      <c r="F87" s="152"/>
      <c r="G87" s="152"/>
      <c r="H87" s="172">
        <f t="shared" si="85"/>
        <v>74</v>
      </c>
      <c r="I87" s="2250">
        <v>81916</v>
      </c>
      <c r="J87" s="173">
        <v>13.66</v>
      </c>
      <c r="K87" s="152"/>
      <c r="L87" s="2250"/>
      <c r="M87" s="152"/>
      <c r="O87" s="2250">
        <f t="shared" si="86"/>
        <v>75672.5</v>
      </c>
      <c r="P87" s="173">
        <f t="shared" si="87"/>
        <v>12.535</v>
      </c>
      <c r="Q87" s="152"/>
      <c r="R87" s="152"/>
    </row>
    <row r="88" spans="1:71">
      <c r="A88" s="163">
        <v>75</v>
      </c>
      <c r="B88" s="2251">
        <v>67092</v>
      </c>
      <c r="C88" s="179">
        <v>10.79</v>
      </c>
      <c r="D88" s="194"/>
      <c r="E88" s="2251"/>
      <c r="F88" s="152"/>
      <c r="G88" s="152"/>
      <c r="H88" s="163">
        <f t="shared" si="85"/>
        <v>75</v>
      </c>
      <c r="I88" s="2251">
        <v>80296</v>
      </c>
      <c r="J88" s="179">
        <v>12.93</v>
      </c>
      <c r="K88" s="152"/>
      <c r="L88" s="2251"/>
      <c r="M88" s="152"/>
      <c r="O88" s="2251">
        <f t="shared" si="86"/>
        <v>73694</v>
      </c>
      <c r="P88" s="179">
        <f t="shared" si="87"/>
        <v>11.86</v>
      </c>
      <c r="Q88" s="152"/>
      <c r="R88" s="152"/>
    </row>
    <row r="89" spans="1:71">
      <c r="A89" s="172">
        <v>76</v>
      </c>
      <c r="B89" s="2250">
        <v>64632</v>
      </c>
      <c r="C89" s="173">
        <v>10.19</v>
      </c>
      <c r="D89" s="194"/>
      <c r="E89" s="2250"/>
      <c r="F89" s="152"/>
      <c r="G89" s="152"/>
      <c r="H89" s="172">
        <f t="shared" si="85"/>
        <v>76</v>
      </c>
      <c r="I89" s="2250">
        <v>78532</v>
      </c>
      <c r="J89" s="173">
        <v>12.21</v>
      </c>
      <c r="K89" s="152"/>
      <c r="L89" s="2250"/>
      <c r="M89" s="152"/>
      <c r="O89" s="2250">
        <f t="shared" si="86"/>
        <v>71582</v>
      </c>
      <c r="P89" s="173">
        <f t="shared" si="87"/>
        <v>11.2</v>
      </c>
      <c r="Q89" s="152"/>
      <c r="R89" s="152"/>
    </row>
    <row r="90" spans="1:71">
      <c r="A90" s="163">
        <v>77</v>
      </c>
      <c r="B90" s="2251">
        <v>62047</v>
      </c>
      <c r="C90" s="179">
        <v>9.59</v>
      </c>
      <c r="D90" s="194"/>
      <c r="E90" s="2251"/>
      <c r="F90" s="152"/>
      <c r="G90" s="152"/>
      <c r="H90" s="163">
        <f t="shared" si="85"/>
        <v>77</v>
      </c>
      <c r="I90" s="2251">
        <v>76614</v>
      </c>
      <c r="J90" s="179">
        <v>11.5</v>
      </c>
      <c r="K90" s="152"/>
      <c r="L90" s="2251"/>
      <c r="M90" s="152"/>
      <c r="O90" s="2251">
        <f t="shared" si="86"/>
        <v>69330.5</v>
      </c>
      <c r="P90" s="179">
        <f t="shared" si="87"/>
        <v>10.545</v>
      </c>
      <c r="Q90" s="2102"/>
      <c r="R90" s="2103"/>
    </row>
    <row r="91" spans="1:71">
      <c r="A91" s="172">
        <v>78</v>
      </c>
      <c r="B91" s="2250">
        <v>59333</v>
      </c>
      <c r="C91" s="173">
        <v>9.01</v>
      </c>
      <c r="D91" s="194"/>
      <c r="E91" s="2250"/>
      <c r="F91" s="152"/>
      <c r="G91" s="152"/>
      <c r="H91" s="172">
        <f t="shared" si="85"/>
        <v>78</v>
      </c>
      <c r="I91" s="2250">
        <v>74537</v>
      </c>
      <c r="J91" s="173">
        <v>10.8</v>
      </c>
      <c r="K91" s="152"/>
      <c r="L91" s="2250"/>
      <c r="M91" s="152"/>
      <c r="O91" s="2250">
        <f t="shared" si="86"/>
        <v>66935</v>
      </c>
      <c r="P91" s="173">
        <f t="shared" si="87"/>
        <v>9.9050000000000011</v>
      </c>
      <c r="Q91" s="2102"/>
      <c r="R91" s="152"/>
    </row>
    <row r="92" spans="1:71">
      <c r="A92" s="163">
        <v>79</v>
      </c>
      <c r="B92" s="2251">
        <v>56488</v>
      </c>
      <c r="C92" s="179">
        <v>8.43</v>
      </c>
      <c r="D92" s="194"/>
      <c r="E92" s="2251"/>
      <c r="F92" s="152"/>
      <c r="G92" s="152"/>
      <c r="H92" s="163">
        <f t="shared" si="85"/>
        <v>79</v>
      </c>
      <c r="I92" s="2251">
        <v>72292</v>
      </c>
      <c r="J92" s="179">
        <v>10.119999999999999</v>
      </c>
      <c r="K92" s="152"/>
      <c r="L92" s="2251"/>
      <c r="M92" s="152"/>
      <c r="O92" s="2251">
        <f t="shared" si="86"/>
        <v>64390</v>
      </c>
      <c r="P92" s="179">
        <f t="shared" si="87"/>
        <v>9.2749999999999986</v>
      </c>
      <c r="Q92" s="2102"/>
      <c r="R92" s="152"/>
    </row>
    <row r="93" spans="1:71">
      <c r="A93" s="172">
        <v>80</v>
      </c>
      <c r="B93" s="2250">
        <v>53507</v>
      </c>
      <c r="C93" s="173">
        <v>7.88</v>
      </c>
      <c r="D93" s="196"/>
      <c r="E93" s="2250"/>
      <c r="F93" s="152"/>
      <c r="G93" s="152"/>
      <c r="H93" s="172">
        <f t="shared" si="85"/>
        <v>80</v>
      </c>
      <c r="I93" s="2250">
        <v>69865</v>
      </c>
      <c r="J93" s="173">
        <v>9.4600000000000009</v>
      </c>
      <c r="K93" s="152"/>
      <c r="L93" s="2250"/>
      <c r="M93" s="152"/>
      <c r="O93" s="2250">
        <f t="shared" si="86"/>
        <v>61686</v>
      </c>
      <c r="P93" s="173">
        <f t="shared" si="87"/>
        <v>8.67</v>
      </c>
      <c r="Q93" s="2102"/>
      <c r="R93" s="152"/>
    </row>
    <row r="94" spans="1:71">
      <c r="A94" s="163">
        <v>81</v>
      </c>
      <c r="B94" s="2251">
        <v>50386</v>
      </c>
      <c r="C94" s="179">
        <v>7.33</v>
      </c>
      <c r="D94" s="196"/>
      <c r="E94" s="2251"/>
      <c r="F94" s="152"/>
      <c r="G94" s="152"/>
      <c r="H94" s="163">
        <f t="shared" si="85"/>
        <v>81</v>
      </c>
      <c r="I94" s="2251">
        <v>67239</v>
      </c>
      <c r="J94" s="179">
        <v>8.81</v>
      </c>
      <c r="K94" s="152"/>
      <c r="L94" s="2251"/>
      <c r="M94" s="152"/>
      <c r="O94" s="2251">
        <f t="shared" si="86"/>
        <v>58812.5</v>
      </c>
      <c r="P94" s="179">
        <f t="shared" si="87"/>
        <v>8.07</v>
      </c>
      <c r="Q94" s="152"/>
      <c r="R94" s="146"/>
    </row>
    <row r="95" spans="1:71">
      <c r="A95" s="172">
        <v>82</v>
      </c>
      <c r="B95" s="2250">
        <v>47119</v>
      </c>
      <c r="C95" s="173">
        <v>6.81</v>
      </c>
      <c r="D95" s="196"/>
      <c r="E95" s="2250"/>
      <c r="F95" s="152"/>
      <c r="G95" s="152"/>
      <c r="H95" s="172">
        <f t="shared" si="85"/>
        <v>82</v>
      </c>
      <c r="I95" s="2250">
        <v>64390</v>
      </c>
      <c r="J95" s="173">
        <v>8.18</v>
      </c>
      <c r="K95" s="152"/>
      <c r="L95" s="2250"/>
      <c r="M95" s="152"/>
      <c r="O95" s="2250">
        <f t="shared" si="86"/>
        <v>55754.5</v>
      </c>
      <c r="P95" s="173">
        <f t="shared" si="87"/>
        <v>7.4949999999999992</v>
      </c>
      <c r="Q95" s="152"/>
      <c r="R95" s="152"/>
    </row>
    <row r="96" spans="1:71">
      <c r="A96" s="163">
        <v>83</v>
      </c>
      <c r="B96" s="2251">
        <v>43701</v>
      </c>
      <c r="C96" s="179">
        <v>6.3</v>
      </c>
      <c r="D96" s="196"/>
      <c r="E96" s="2251"/>
      <c r="F96" s="152"/>
      <c r="G96" s="152"/>
      <c r="H96" s="163">
        <f t="shared" si="85"/>
        <v>83</v>
      </c>
      <c r="I96" s="2251">
        <v>61287</v>
      </c>
      <c r="J96" s="179">
        <v>7.57</v>
      </c>
      <c r="K96" s="152"/>
      <c r="L96" s="2251"/>
      <c r="M96" s="152"/>
      <c r="O96" s="2251">
        <f t="shared" si="86"/>
        <v>52494</v>
      </c>
      <c r="P96" s="179">
        <f t="shared" si="87"/>
        <v>6.9350000000000005</v>
      </c>
      <c r="Q96" s="152"/>
      <c r="R96" s="152"/>
    </row>
    <row r="97" spans="1:18">
      <c r="A97" s="172">
        <v>84</v>
      </c>
      <c r="B97" s="2250">
        <v>40132</v>
      </c>
      <c r="C97" s="173">
        <v>5.82</v>
      </c>
      <c r="D97" s="196"/>
      <c r="E97" s="2250"/>
      <c r="F97" s="152"/>
      <c r="G97" s="152"/>
      <c r="H97" s="172">
        <f t="shared" si="85"/>
        <v>84</v>
      </c>
      <c r="I97" s="2250">
        <v>57897</v>
      </c>
      <c r="J97" s="173">
        <v>6.98</v>
      </c>
      <c r="K97" s="152"/>
      <c r="L97" s="2250"/>
      <c r="M97" s="152"/>
      <c r="O97" s="2250">
        <f t="shared" si="86"/>
        <v>49014.5</v>
      </c>
      <c r="P97" s="173">
        <f t="shared" si="87"/>
        <v>6.4</v>
      </c>
      <c r="Q97" s="152"/>
      <c r="R97" s="152"/>
    </row>
    <row r="98" spans="1:18">
      <c r="A98" s="163">
        <v>85</v>
      </c>
      <c r="B98" s="2251">
        <v>36423</v>
      </c>
      <c r="C98" s="179">
        <v>5.36</v>
      </c>
      <c r="D98" s="196"/>
      <c r="E98" s="2251"/>
      <c r="F98" s="152"/>
      <c r="G98" s="152"/>
      <c r="H98" s="163">
        <f t="shared" si="85"/>
        <v>85</v>
      </c>
      <c r="I98" s="2251">
        <v>54194</v>
      </c>
      <c r="J98" s="179">
        <v>6.42</v>
      </c>
      <c r="K98" s="152"/>
      <c r="L98" s="2251"/>
      <c r="M98" s="152"/>
      <c r="O98" s="2251">
        <f t="shared" si="86"/>
        <v>45308.5</v>
      </c>
      <c r="P98" s="179">
        <f t="shared" si="87"/>
        <v>5.8900000000000006</v>
      </c>
      <c r="Q98" s="152"/>
      <c r="R98" s="152"/>
    </row>
    <row r="99" spans="1:18">
      <c r="A99" s="172">
        <v>86</v>
      </c>
      <c r="B99" s="2250">
        <v>32604</v>
      </c>
      <c r="C99" s="173">
        <v>4.93</v>
      </c>
      <c r="D99" s="196"/>
      <c r="E99" s="2250"/>
      <c r="F99" s="152"/>
      <c r="G99" s="152"/>
      <c r="H99" s="172">
        <f t="shared" si="85"/>
        <v>86</v>
      </c>
      <c r="I99" s="2250">
        <v>50170</v>
      </c>
      <c r="J99" s="173">
        <v>5.9</v>
      </c>
      <c r="K99" s="152"/>
      <c r="L99" s="2250"/>
      <c r="M99" s="152"/>
      <c r="O99" s="2250">
        <f t="shared" si="86"/>
        <v>41387</v>
      </c>
      <c r="P99" s="173">
        <f t="shared" si="87"/>
        <v>5.415</v>
      </c>
      <c r="Q99" s="152"/>
      <c r="R99" s="152"/>
    </row>
    <row r="100" spans="1:18">
      <c r="A100" s="163">
        <v>87</v>
      </c>
      <c r="B100" s="2251">
        <v>28721</v>
      </c>
      <c r="C100" s="179">
        <v>4.5199999999999996</v>
      </c>
      <c r="D100" s="196"/>
      <c r="E100" s="2251"/>
      <c r="F100" s="152"/>
      <c r="G100" s="152"/>
      <c r="H100" s="163">
        <f t="shared" si="85"/>
        <v>87</v>
      </c>
      <c r="I100" s="2251">
        <v>45840</v>
      </c>
      <c r="J100" s="179">
        <v>5.41</v>
      </c>
      <c r="K100" s="152"/>
      <c r="L100" s="2251"/>
      <c r="M100" s="152"/>
      <c r="O100" s="2251">
        <f t="shared" si="86"/>
        <v>37280.5</v>
      </c>
      <c r="P100" s="179">
        <f t="shared" si="87"/>
        <v>4.9649999999999999</v>
      </c>
      <c r="Q100" s="152"/>
      <c r="R100" s="152"/>
    </row>
    <row r="101" spans="1:18">
      <c r="A101" s="172">
        <v>88</v>
      </c>
      <c r="B101" s="2250">
        <v>24840</v>
      </c>
      <c r="C101" s="173">
        <v>4.1500000000000004</v>
      </c>
      <c r="D101" s="196"/>
      <c r="E101" s="2250"/>
      <c r="F101" s="152"/>
      <c r="G101" s="152"/>
      <c r="H101" s="172">
        <f t="shared" si="85"/>
        <v>88</v>
      </c>
      <c r="I101" s="2250">
        <v>41247</v>
      </c>
      <c r="J101" s="173">
        <v>4.95</v>
      </c>
      <c r="K101" s="152"/>
      <c r="L101" s="2250"/>
      <c r="M101" s="152"/>
      <c r="O101" s="2250">
        <f t="shared" si="86"/>
        <v>33043.5</v>
      </c>
      <c r="P101" s="173">
        <f t="shared" si="87"/>
        <v>4.5500000000000007</v>
      </c>
      <c r="Q101" s="152"/>
      <c r="R101" s="152"/>
    </row>
    <row r="102" spans="1:18">
      <c r="A102" s="163">
        <v>89</v>
      </c>
      <c r="B102" s="2251">
        <v>21043</v>
      </c>
      <c r="C102" s="179">
        <v>3.81</v>
      </c>
      <c r="D102" s="196"/>
      <c r="E102" s="2251"/>
      <c r="F102" s="152"/>
      <c r="G102" s="152"/>
      <c r="H102" s="163">
        <f t="shared" si="85"/>
        <v>89</v>
      </c>
      <c r="I102" s="2251">
        <v>36472</v>
      </c>
      <c r="J102" s="179">
        <v>4.54</v>
      </c>
      <c r="K102" s="152"/>
      <c r="L102" s="2251"/>
      <c r="M102" s="152"/>
      <c r="O102" s="2251">
        <f t="shared" si="86"/>
        <v>28757.5</v>
      </c>
      <c r="P102" s="179">
        <f t="shared" si="87"/>
        <v>4.1749999999999998</v>
      </c>
      <c r="Q102" s="400"/>
      <c r="R102" s="400"/>
    </row>
    <row r="103" spans="1:18">
      <c r="A103" s="172">
        <v>90</v>
      </c>
      <c r="B103" s="2250">
        <v>17418</v>
      </c>
      <c r="C103" s="173">
        <v>3.5</v>
      </c>
      <c r="D103" s="196"/>
      <c r="E103" s="2250"/>
      <c r="F103" s="152"/>
      <c r="G103" s="152"/>
      <c r="H103" s="172">
        <f t="shared" si="85"/>
        <v>90</v>
      </c>
      <c r="I103" s="2250">
        <v>31623</v>
      </c>
      <c r="J103" s="173">
        <v>4.1500000000000004</v>
      </c>
      <c r="K103" s="152"/>
      <c r="L103" s="2250"/>
      <c r="M103" s="152"/>
      <c r="O103" s="2250">
        <f t="shared" si="86"/>
        <v>24520.5</v>
      </c>
      <c r="P103" s="173">
        <f t="shared" si="87"/>
        <v>3.8250000000000002</v>
      </c>
    </row>
    <row r="104" spans="1:18">
      <c r="A104" s="163">
        <v>91</v>
      </c>
      <c r="B104" s="2251">
        <v>14055</v>
      </c>
      <c r="C104" s="179">
        <v>3.22</v>
      </c>
      <c r="D104" s="194"/>
      <c r="E104" s="2251"/>
      <c r="F104" s="152"/>
      <c r="G104" s="152"/>
      <c r="H104" s="163">
        <f t="shared" si="85"/>
        <v>91</v>
      </c>
      <c r="I104" s="2251">
        <v>26825</v>
      </c>
      <c r="J104" s="179">
        <v>3.81</v>
      </c>
      <c r="K104" s="152"/>
      <c r="L104" s="2251"/>
      <c r="M104" s="152"/>
      <c r="O104" s="2251">
        <f t="shared" si="86"/>
        <v>20440</v>
      </c>
      <c r="P104" s="179">
        <f t="shared" si="87"/>
        <v>3.5150000000000001</v>
      </c>
    </row>
    <row r="105" spans="1:18">
      <c r="A105" s="172">
        <v>92</v>
      </c>
      <c r="B105" s="2250">
        <v>11029</v>
      </c>
      <c r="C105" s="173">
        <v>2.97</v>
      </c>
      <c r="D105" s="194"/>
      <c r="E105" s="2250"/>
      <c r="F105" s="152"/>
      <c r="G105" s="152"/>
      <c r="H105" s="172">
        <f t="shared" si="85"/>
        <v>92</v>
      </c>
      <c r="I105" s="2250">
        <v>22215</v>
      </c>
      <c r="J105" s="173">
        <v>3.49</v>
      </c>
      <c r="K105" s="152"/>
      <c r="L105" s="2250"/>
      <c r="M105" s="152"/>
      <c r="O105" s="2250">
        <f t="shared" si="86"/>
        <v>16622</v>
      </c>
      <c r="P105" s="173">
        <f t="shared" si="87"/>
        <v>3.2300000000000004</v>
      </c>
    </row>
    <row r="106" spans="1:18">
      <c r="A106" s="163">
        <v>93</v>
      </c>
      <c r="B106" s="2251">
        <v>8399</v>
      </c>
      <c r="C106" s="179">
        <v>2.74</v>
      </c>
      <c r="D106" s="194"/>
      <c r="E106" s="2251"/>
      <c r="F106" s="152"/>
      <c r="G106" s="152"/>
      <c r="H106" s="163">
        <f t="shared" si="85"/>
        <v>93</v>
      </c>
      <c r="I106" s="2251">
        <v>17921</v>
      </c>
      <c r="J106" s="179">
        <v>3.21</v>
      </c>
      <c r="K106" s="152"/>
      <c r="L106" s="2251"/>
      <c r="M106" s="152"/>
      <c r="O106" s="2251">
        <f t="shared" si="86"/>
        <v>13160</v>
      </c>
      <c r="P106" s="179">
        <f t="shared" si="87"/>
        <v>2.9750000000000001</v>
      </c>
    </row>
    <row r="107" spans="1:18">
      <c r="A107" s="172">
        <v>94</v>
      </c>
      <c r="B107" s="2250">
        <v>6194</v>
      </c>
      <c r="C107" s="173">
        <v>2.54</v>
      </c>
      <c r="D107" s="194"/>
      <c r="E107" s="2250"/>
      <c r="F107" s="152"/>
      <c r="G107" s="152"/>
      <c r="H107" s="172">
        <f t="shared" si="85"/>
        <v>94</v>
      </c>
      <c r="I107" s="2250">
        <v>14054</v>
      </c>
      <c r="J107" s="173">
        <v>2.96</v>
      </c>
      <c r="K107" s="152"/>
      <c r="L107" s="2250"/>
      <c r="M107" s="152"/>
      <c r="O107" s="2250">
        <f t="shared" si="86"/>
        <v>10124</v>
      </c>
      <c r="P107" s="173">
        <f t="shared" si="87"/>
        <v>2.75</v>
      </c>
    </row>
    <row r="108" spans="1:18">
      <c r="A108" s="163">
        <v>95</v>
      </c>
      <c r="B108" s="2251">
        <v>4418</v>
      </c>
      <c r="C108" s="179">
        <v>2.35</v>
      </c>
      <c r="D108" s="194"/>
      <c r="E108" s="2251"/>
      <c r="F108" s="152"/>
      <c r="G108" s="152"/>
      <c r="H108" s="163">
        <f t="shared" si="85"/>
        <v>95</v>
      </c>
      <c r="I108" s="2251">
        <v>10696</v>
      </c>
      <c r="J108" s="179">
        <v>2.73</v>
      </c>
      <c r="K108" s="152"/>
      <c r="L108" s="2251"/>
      <c r="M108" s="152"/>
      <c r="O108" s="2251">
        <f t="shared" si="86"/>
        <v>7557</v>
      </c>
      <c r="P108" s="179">
        <f t="shared" si="87"/>
        <v>2.54</v>
      </c>
    </row>
    <row r="109" spans="1:18">
      <c r="A109" s="172">
        <v>96</v>
      </c>
      <c r="B109" s="2250">
        <v>3042</v>
      </c>
      <c r="C109" s="173">
        <v>2.19</v>
      </c>
      <c r="D109" s="194"/>
      <c r="E109" s="2250"/>
      <c r="F109" s="152"/>
      <c r="G109" s="152"/>
      <c r="H109" s="172">
        <f t="shared" si="85"/>
        <v>96</v>
      </c>
      <c r="I109" s="2250">
        <v>7886</v>
      </c>
      <c r="J109" s="173">
        <v>2.5299999999999998</v>
      </c>
      <c r="K109" s="152"/>
      <c r="L109" s="2250"/>
      <c r="M109" s="152"/>
      <c r="O109" s="2250">
        <f t="shared" si="86"/>
        <v>5464</v>
      </c>
      <c r="P109" s="173">
        <f t="shared" si="87"/>
        <v>2.36</v>
      </c>
    </row>
    <row r="110" spans="1:18">
      <c r="A110" s="163">
        <v>97</v>
      </c>
      <c r="B110" s="2251">
        <v>2021</v>
      </c>
      <c r="C110" s="179">
        <v>2.0499999999999998</v>
      </c>
      <c r="D110" s="194"/>
      <c r="E110" s="2251"/>
      <c r="F110" s="152"/>
      <c r="G110" s="152"/>
      <c r="H110" s="163">
        <f t="shared" si="85"/>
        <v>97</v>
      </c>
      <c r="I110" s="2251">
        <v>5622</v>
      </c>
      <c r="J110" s="179">
        <v>2.34</v>
      </c>
      <c r="K110" s="152"/>
      <c r="L110" s="2251"/>
      <c r="M110" s="152"/>
      <c r="O110" s="2251">
        <f t="shared" si="86"/>
        <v>3821.5</v>
      </c>
      <c r="P110" s="179">
        <f t="shared" si="87"/>
        <v>2.1949999999999998</v>
      </c>
    </row>
    <row r="111" spans="1:18">
      <c r="A111" s="172">
        <v>98</v>
      </c>
      <c r="B111" s="2250">
        <v>1293</v>
      </c>
      <c r="C111" s="173">
        <v>1.92</v>
      </c>
      <c r="D111" s="194"/>
      <c r="E111" s="2250"/>
      <c r="F111" s="152"/>
      <c r="G111" s="152"/>
      <c r="H111" s="172">
        <f t="shared" si="85"/>
        <v>98</v>
      </c>
      <c r="I111" s="2250">
        <v>3867</v>
      </c>
      <c r="J111" s="173">
        <v>2.1800000000000002</v>
      </c>
      <c r="K111" s="152"/>
      <c r="L111" s="2250"/>
      <c r="M111" s="152"/>
      <c r="O111" s="2250">
        <f t="shared" si="86"/>
        <v>2580</v>
      </c>
      <c r="P111" s="173">
        <f t="shared" si="87"/>
        <v>2.0499999999999998</v>
      </c>
    </row>
    <row r="112" spans="1:18">
      <c r="A112" s="163">
        <v>99</v>
      </c>
      <c r="B112" s="2251">
        <v>795</v>
      </c>
      <c r="C112" s="179">
        <v>1.81</v>
      </c>
      <c r="D112" s="194"/>
      <c r="E112" s="2251"/>
      <c r="F112" s="152"/>
      <c r="G112" s="152"/>
      <c r="H112" s="163">
        <f t="shared" si="85"/>
        <v>99</v>
      </c>
      <c r="I112" s="2251">
        <v>2560</v>
      </c>
      <c r="J112" s="179">
        <v>2.0299999999999998</v>
      </c>
      <c r="K112" s="152"/>
      <c r="L112" s="2251"/>
      <c r="M112" s="152"/>
      <c r="O112" s="2251">
        <f t="shared" si="86"/>
        <v>1677.5</v>
      </c>
      <c r="P112" s="179">
        <f t="shared" si="87"/>
        <v>1.92</v>
      </c>
    </row>
    <row r="113" spans="1:16">
      <c r="A113" s="172">
        <v>100</v>
      </c>
      <c r="B113" s="2250">
        <v>470</v>
      </c>
      <c r="C113" s="173">
        <v>1.71</v>
      </c>
      <c r="D113" s="194"/>
      <c r="E113" s="2250"/>
      <c r="F113" s="152"/>
      <c r="G113" s="152"/>
      <c r="H113" s="172">
        <f t="shared" si="85"/>
        <v>100</v>
      </c>
      <c r="I113" s="2250">
        <v>1627</v>
      </c>
      <c r="J113" s="173">
        <v>1.91</v>
      </c>
      <c r="K113" s="152"/>
      <c r="L113" s="2250"/>
      <c r="M113" s="152"/>
      <c r="O113" s="2250">
        <f t="shared" si="86"/>
        <v>1048.5</v>
      </c>
      <c r="P113" s="173">
        <f t="shared" si="87"/>
        <v>1.81</v>
      </c>
    </row>
  </sheetData>
  <mergeCells count="49">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B6:B10"/>
    <mergeCell ref="C6:C10"/>
    <mergeCell ref="D6:D11"/>
    <mergeCell ref="J6:J10"/>
    <mergeCell ref="S8:U10"/>
    <mergeCell ref="CC54:CW55"/>
    <mergeCell ref="BZ14:CA14"/>
    <mergeCell ref="CI11:CN11"/>
    <mergeCell ref="CP11:CS11"/>
    <mergeCell ref="CC11:CG11"/>
    <mergeCell ref="CC9:CW10"/>
    <mergeCell ref="CT11:CV11"/>
    <mergeCell ref="CC2:CW8"/>
    <mergeCell ref="O4:P4"/>
    <mergeCell ref="O6:O10"/>
    <mergeCell ref="P6:P10"/>
    <mergeCell ref="W7:BH8"/>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625" defaultRowHeight="14.25"/>
  <cols>
    <col min="2" max="2" width="41.125" style="101" customWidth="1"/>
    <col min="3" max="3" width="32.5" style="101" customWidth="1"/>
    <col min="5" max="5" width="32.625" customWidth="1"/>
    <col min="6" max="6" width="42" customWidth="1"/>
    <col min="8" max="8" width="13.5" customWidth="1"/>
  </cols>
  <sheetData>
    <row r="3" spans="1:8" ht="22.5">
      <c r="A3" s="345">
        <v>2</v>
      </c>
      <c r="B3" s="346" t="s">
        <v>410</v>
      </c>
      <c r="C3" s="346" t="s">
        <v>411</v>
      </c>
      <c r="D3" s="352">
        <v>1</v>
      </c>
      <c r="E3" s="1511" t="s">
        <v>466</v>
      </c>
      <c r="F3" s="1511" t="s">
        <v>467</v>
      </c>
      <c r="G3" s="1512" t="s">
        <v>468</v>
      </c>
      <c r="H3" s="1512" t="s">
        <v>469</v>
      </c>
    </row>
    <row r="4" spans="1:8">
      <c r="A4" s="345">
        <v>3</v>
      </c>
      <c r="B4" s="346" t="s">
        <v>412</v>
      </c>
      <c r="C4" s="346" t="s">
        <v>413</v>
      </c>
      <c r="D4" s="352">
        <v>2</v>
      </c>
      <c r="E4" s="1511" t="s">
        <v>470</v>
      </c>
      <c r="F4" s="1511" t="s">
        <v>471</v>
      </c>
      <c r="G4" s="1512"/>
      <c r="H4" s="1512" t="s">
        <v>469</v>
      </c>
    </row>
    <row r="5" spans="1:8" ht="22.5">
      <c r="A5" s="345">
        <v>4</v>
      </c>
      <c r="B5" s="346" t="s">
        <v>414</v>
      </c>
      <c r="C5" s="346" t="s">
        <v>415</v>
      </c>
      <c r="D5" s="352">
        <v>3</v>
      </c>
      <c r="E5" s="1511" t="s">
        <v>472</v>
      </c>
      <c r="F5" s="1511" t="s">
        <v>473</v>
      </c>
      <c r="G5" s="1512" t="s">
        <v>474</v>
      </c>
      <c r="H5" s="1512" t="s">
        <v>500</v>
      </c>
    </row>
    <row r="6" spans="1:8" ht="28.5">
      <c r="A6" s="345">
        <v>8</v>
      </c>
      <c r="B6" s="347" t="s">
        <v>416</v>
      </c>
      <c r="C6" s="346" t="s">
        <v>417</v>
      </c>
      <c r="D6" s="352">
        <v>4</v>
      </c>
      <c r="E6" s="1511" t="s">
        <v>476</v>
      </c>
      <c r="F6" s="1511" t="s">
        <v>473</v>
      </c>
      <c r="G6" s="1512" t="s">
        <v>474</v>
      </c>
      <c r="H6" s="1512" t="s">
        <v>500</v>
      </c>
    </row>
    <row r="7" spans="1:8" ht="28.5">
      <c r="A7" s="345">
        <v>9</v>
      </c>
      <c r="B7" s="347" t="s">
        <v>418</v>
      </c>
      <c r="C7" s="346" t="s">
        <v>419</v>
      </c>
      <c r="D7" s="352">
        <v>5</v>
      </c>
      <c r="E7" s="1511" t="s">
        <v>477</v>
      </c>
      <c r="F7" s="1511" t="s">
        <v>478</v>
      </c>
      <c r="G7" s="1512" t="s">
        <v>479</v>
      </c>
      <c r="H7" s="1512" t="s">
        <v>480</v>
      </c>
    </row>
    <row r="8" spans="1:8" ht="22.5">
      <c r="A8" s="345">
        <v>10</v>
      </c>
      <c r="B8" s="346" t="s">
        <v>420</v>
      </c>
      <c r="C8" s="346" t="s">
        <v>421</v>
      </c>
      <c r="D8" s="352">
        <v>6</v>
      </c>
      <c r="E8" s="1511" t="s">
        <v>481</v>
      </c>
      <c r="F8" s="1511" t="s">
        <v>482</v>
      </c>
      <c r="G8" s="1512" t="s">
        <v>483</v>
      </c>
      <c r="H8" s="1512" t="s">
        <v>469</v>
      </c>
    </row>
    <row r="9" spans="1:8" ht="22.5">
      <c r="A9" s="345">
        <v>11</v>
      </c>
      <c r="B9" s="346" t="s">
        <v>422</v>
      </c>
      <c r="C9" s="346" t="s">
        <v>423</v>
      </c>
      <c r="D9" s="352">
        <v>7</v>
      </c>
      <c r="E9" s="1511" t="s">
        <v>484</v>
      </c>
      <c r="F9" s="1511" t="s">
        <v>485</v>
      </c>
      <c r="G9" s="1512" t="s">
        <v>486</v>
      </c>
      <c r="H9" s="1512" t="s">
        <v>500</v>
      </c>
    </row>
    <row r="10" spans="1:8" ht="22.5">
      <c r="A10" s="345">
        <v>12</v>
      </c>
      <c r="B10" s="346" t="s">
        <v>424</v>
      </c>
      <c r="C10" s="346" t="s">
        <v>425</v>
      </c>
      <c r="D10" s="352">
        <v>8</v>
      </c>
      <c r="E10" s="1511" t="s">
        <v>487</v>
      </c>
      <c r="F10" s="1511" t="s">
        <v>473</v>
      </c>
      <c r="G10" s="1512" t="s">
        <v>486</v>
      </c>
      <c r="H10" s="1512" t="s">
        <v>500</v>
      </c>
    </row>
    <row r="11" spans="1:8" ht="22.5">
      <c r="A11" s="345">
        <v>13</v>
      </c>
      <c r="B11" s="346" t="s">
        <v>426</v>
      </c>
      <c r="C11" s="346" t="s">
        <v>427</v>
      </c>
      <c r="D11" s="352">
        <v>9</v>
      </c>
      <c r="E11" s="1511" t="s">
        <v>488</v>
      </c>
      <c r="F11" s="1511" t="s">
        <v>473</v>
      </c>
      <c r="G11" s="1512" t="s">
        <v>486</v>
      </c>
      <c r="H11" s="1512" t="s">
        <v>500</v>
      </c>
    </row>
    <row r="12" spans="1:8" ht="22.5">
      <c r="A12" s="345">
        <v>14</v>
      </c>
      <c r="B12" s="346" t="s">
        <v>428</v>
      </c>
      <c r="C12" s="346" t="s">
        <v>429</v>
      </c>
      <c r="D12" s="352">
        <v>10</v>
      </c>
      <c r="E12" s="1511" t="s">
        <v>489</v>
      </c>
      <c r="F12" s="1511" t="s">
        <v>473</v>
      </c>
      <c r="G12" s="1512"/>
      <c r="H12" s="1512" t="s">
        <v>490</v>
      </c>
    </row>
    <row r="13" spans="1:8" ht="28.5">
      <c r="A13" s="345">
        <v>15</v>
      </c>
      <c r="B13" s="347" t="s">
        <v>430</v>
      </c>
      <c r="C13" s="346" t="s">
        <v>431</v>
      </c>
      <c r="D13" s="352">
        <v>11</v>
      </c>
      <c r="E13" s="1511" t="s">
        <v>491</v>
      </c>
      <c r="F13" s="1511" t="s">
        <v>473</v>
      </c>
      <c r="G13" s="1512" t="s">
        <v>486</v>
      </c>
      <c r="H13" s="1512" t="s">
        <v>500</v>
      </c>
    </row>
    <row r="14" spans="1:8" ht="22.5">
      <c r="A14" s="345">
        <v>16</v>
      </c>
      <c r="B14" s="346" t="s">
        <v>432</v>
      </c>
      <c r="C14" s="346" t="s">
        <v>433</v>
      </c>
      <c r="D14" s="352">
        <v>12</v>
      </c>
      <c r="E14" s="1511" t="s">
        <v>492</v>
      </c>
      <c r="F14" s="1511" t="s">
        <v>493</v>
      </c>
      <c r="G14" s="1512" t="s">
        <v>486</v>
      </c>
      <c r="H14" s="1512" t="s">
        <v>500</v>
      </c>
    </row>
    <row r="15" spans="1:8" ht="22.5">
      <c r="A15" s="345">
        <v>17</v>
      </c>
      <c r="B15" s="346" t="s">
        <v>434</v>
      </c>
      <c r="C15" s="346" t="s">
        <v>435</v>
      </c>
      <c r="D15" s="352">
        <v>13</v>
      </c>
      <c r="E15" s="1511" t="s">
        <v>494</v>
      </c>
      <c r="F15" s="1511" t="s">
        <v>473</v>
      </c>
      <c r="G15" s="1512" t="s">
        <v>486</v>
      </c>
      <c r="H15" s="1512" t="s">
        <v>500</v>
      </c>
    </row>
    <row r="16" spans="1:8" ht="22.5">
      <c r="A16" s="345">
        <v>18</v>
      </c>
      <c r="B16" s="346" t="s">
        <v>436</v>
      </c>
      <c r="C16" s="346" t="s">
        <v>437</v>
      </c>
      <c r="D16" s="352">
        <v>14</v>
      </c>
      <c r="E16" s="1511" t="s">
        <v>495</v>
      </c>
      <c r="F16" s="1511" t="s">
        <v>473</v>
      </c>
      <c r="G16" s="1512" t="s">
        <v>486</v>
      </c>
      <c r="H16" s="1512" t="s">
        <v>500</v>
      </c>
    </row>
    <row r="17" spans="1:8">
      <c r="A17" s="345">
        <v>19</v>
      </c>
      <c r="B17" s="347" t="s">
        <v>438</v>
      </c>
      <c r="C17" s="346" t="s">
        <v>439</v>
      </c>
      <c r="D17" s="352">
        <v>15</v>
      </c>
      <c r="E17" s="1511" t="s">
        <v>496</v>
      </c>
      <c r="F17" s="1511" t="s">
        <v>497</v>
      </c>
      <c r="G17" s="1512" t="s">
        <v>483</v>
      </c>
      <c r="H17" s="1512" t="s">
        <v>498</v>
      </c>
    </row>
    <row r="18" spans="1:8" ht="28.5">
      <c r="A18" s="345">
        <v>20</v>
      </c>
      <c r="B18" s="347" t="s">
        <v>440</v>
      </c>
      <c r="C18" s="346" t="s">
        <v>441</v>
      </c>
      <c r="D18" s="352">
        <v>16</v>
      </c>
      <c r="E18" s="1511" t="s">
        <v>499</v>
      </c>
      <c r="F18" s="1511" t="s">
        <v>473</v>
      </c>
      <c r="G18" s="1512" t="s">
        <v>486</v>
      </c>
      <c r="H18" s="1512" t="s">
        <v>500</v>
      </c>
    </row>
    <row r="19" spans="1:8">
      <c r="A19" s="345">
        <v>21</v>
      </c>
      <c r="B19" s="346" t="s">
        <v>442</v>
      </c>
      <c r="C19" s="346" t="s">
        <v>443</v>
      </c>
      <c r="D19" s="352">
        <v>17</v>
      </c>
      <c r="E19" s="1511" t="s">
        <v>505</v>
      </c>
      <c r="F19" s="1511" t="s">
        <v>506</v>
      </c>
      <c r="G19" s="1512"/>
      <c r="H19" s="1512" t="s">
        <v>469</v>
      </c>
    </row>
    <row r="20" spans="1:8">
      <c r="A20" s="345">
        <v>23</v>
      </c>
      <c r="B20" s="346" t="s">
        <v>444</v>
      </c>
      <c r="C20" s="346" t="s">
        <v>445</v>
      </c>
    </row>
    <row r="21" spans="1:8" ht="28.5">
      <c r="A21" s="345">
        <v>24</v>
      </c>
      <c r="B21" s="347" t="s">
        <v>446</v>
      </c>
      <c r="C21" s="346" t="s">
        <v>445</v>
      </c>
    </row>
    <row r="22" spans="1:8" ht="28.5">
      <c r="A22" s="345">
        <v>25</v>
      </c>
      <c r="B22" s="347" t="s">
        <v>447</v>
      </c>
      <c r="C22" s="346" t="s">
        <v>448</v>
      </c>
    </row>
    <row r="23" spans="1:8" ht="28.5">
      <c r="A23" s="345">
        <v>26</v>
      </c>
      <c r="B23" s="347" t="s">
        <v>449</v>
      </c>
      <c r="C23" s="346" t="s">
        <v>450</v>
      </c>
    </row>
    <row r="24" spans="1:8">
      <c r="A24" s="345">
        <v>28</v>
      </c>
      <c r="B24" s="346" t="s">
        <v>451</v>
      </c>
      <c r="C24" s="346" t="s">
        <v>452</v>
      </c>
    </row>
    <row r="25" spans="1:8" ht="28.5">
      <c r="A25" s="345">
        <v>29</v>
      </c>
      <c r="B25" s="347" t="s">
        <v>453</v>
      </c>
      <c r="C25" s="346" t="s">
        <v>454</v>
      </c>
    </row>
    <row r="26" spans="1:8">
      <c r="A26" s="345">
        <v>38</v>
      </c>
      <c r="B26" s="346" t="s">
        <v>455</v>
      </c>
      <c r="C26" s="346" t="s">
        <v>456</v>
      </c>
    </row>
    <row r="27" spans="1:8" ht="28.5">
      <c r="A27" s="345">
        <v>39</v>
      </c>
      <c r="B27" s="347" t="s">
        <v>457</v>
      </c>
      <c r="C27" s="346"/>
    </row>
    <row r="28" spans="1:8" ht="42.75">
      <c r="A28" s="345">
        <v>40</v>
      </c>
      <c r="B28" s="347" t="s">
        <v>458</v>
      </c>
      <c r="C28" s="346"/>
    </row>
    <row r="29" spans="1:8">
      <c r="A29" s="345">
        <v>42</v>
      </c>
      <c r="B29" s="346" t="s">
        <v>459</v>
      </c>
      <c r="C29" s="346" t="s">
        <v>460</v>
      </c>
    </row>
    <row r="30" spans="1:8" ht="57">
      <c r="A30" s="345">
        <v>80</v>
      </c>
      <c r="B30" s="347" t="s">
        <v>461</v>
      </c>
      <c r="C30" s="346"/>
    </row>
    <row r="31" spans="1:8" ht="28.5">
      <c r="A31" s="345">
        <v>81</v>
      </c>
      <c r="B31" s="347" t="s">
        <v>462</v>
      </c>
      <c r="C31" s="346"/>
    </row>
    <row r="32" spans="1:8" ht="42.75">
      <c r="A32" s="345">
        <v>82</v>
      </c>
      <c r="B32" s="347" t="s">
        <v>463</v>
      </c>
      <c r="C32" s="346"/>
    </row>
    <row r="33" spans="1:3" ht="57">
      <c r="A33" s="345">
        <v>89</v>
      </c>
      <c r="B33" s="347" t="s">
        <v>464</v>
      </c>
      <c r="C33" s="346"/>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25"/>
  <cols>
    <col min="2" max="2" width="19.125" customWidth="1"/>
    <col min="3" max="3" width="15.125" customWidth="1"/>
  </cols>
  <sheetData>
    <row r="2" spans="2:3">
      <c r="B2" s="25" t="s">
        <v>409</v>
      </c>
      <c r="C2" s="344" t="b">
        <v>1</v>
      </c>
    </row>
    <row r="3" spans="2:3">
      <c r="B3" s="25" t="s">
        <v>407</v>
      </c>
      <c r="C3" s="25"/>
    </row>
    <row r="4" spans="2:3">
      <c r="B4" s="25" t="s">
        <v>288</v>
      </c>
      <c r="C4" s="264">
        <f>IF(GrafikSchalter,Adaequanz_errechneterKapWert,Adaequanz_Ausgleichswert1)</f>
        <v>0</v>
      </c>
    </row>
    <row r="5" spans="2:3">
      <c r="B5" s="25" t="s">
        <v>126</v>
      </c>
      <c r="C5" s="264" t="str">
        <f>IF(GrafikSchalter,'BVerfG 1 BvL 5-18'!E61,'BVerfG 1 BvL 5-18'!E22)</f>
        <v/>
      </c>
    </row>
    <row r="6" spans="2:3">
      <c r="B6" s="25" t="s">
        <v>289</v>
      </c>
      <c r="C6" s="264" t="str">
        <f>IF(GrafikSchalter,'BVerfG 1 BvL 5-18'!F61,'BVerfG 1 BvL 5-18'!F22)</f>
        <v/>
      </c>
    </row>
    <row r="7" spans="2:3">
      <c r="B7" s="25" t="s">
        <v>290</v>
      </c>
      <c r="C7" s="264" t="str">
        <f>IF(GrafikSchalter,'BVerfG 1 BvL 5-18'!G61,Adaequanz_RVolumenBer)</f>
        <v/>
      </c>
    </row>
    <row r="8" spans="2:3">
      <c r="B8" s="25" t="s">
        <v>408</v>
      </c>
      <c r="C8" s="264">
        <f>IF(VersBer,IF(GrafikSchalter,'BVerfG 1 BvL 5-18'!H61,'BVerfG 1 BvL 5-18'!H22),0)</f>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topLeftCell="A779" zoomScale="130" zoomScaleNormal="130" workbookViewId="0">
      <selection activeCell="C797" sqref="C797:C800"/>
    </sheetView>
  </sheetViews>
  <sheetFormatPr baseColWidth="10" defaultRowHeight="14.25"/>
  <cols>
    <col min="1" max="1" width="4.125" customWidth="1"/>
    <col min="2" max="2" width="10.625" customWidth="1"/>
    <col min="3" max="3" width="10.625" style="651" customWidth="1"/>
    <col min="4" max="4" width="11" style="1473"/>
    <col min="5" max="5" width="11" style="144"/>
    <col min="6" max="6" width="11" style="127"/>
    <col min="7" max="7" width="11.125" style="127" bestFit="1" customWidth="1"/>
    <col min="8" max="9" width="11" style="127"/>
    <col min="12" max="12" width="11" style="146"/>
    <col min="13" max="13" width="13" customWidth="1"/>
    <col min="15" max="15" width="14.125" customWidth="1"/>
    <col min="17" max="17" width="11.625" style="207" customWidth="1"/>
    <col min="18" max="18" width="11.625" customWidth="1"/>
    <col min="19" max="19" width="10.125" customWidth="1"/>
    <col min="20" max="20" width="6.625" style="65" hidden="1" customWidth="1"/>
    <col min="21" max="21" width="6.625" style="65" customWidth="1"/>
    <col min="22" max="32" width="6.625" style="263" customWidth="1"/>
    <col min="33" max="37" width="6.625" customWidth="1"/>
    <col min="38" max="57" width="5.625" customWidth="1"/>
  </cols>
  <sheetData>
    <row r="1" spans="1:39" ht="30" customHeight="1">
      <c r="A1" t="s">
        <v>190</v>
      </c>
      <c r="B1" s="626" t="s">
        <v>204</v>
      </c>
      <c r="L1"/>
      <c r="O1" s="2275" t="s">
        <v>872</v>
      </c>
      <c r="P1" s="2275"/>
      <c r="Q1" s="2275"/>
      <c r="R1" s="2275"/>
    </row>
    <row r="2" spans="1:39">
      <c r="B2" s="2273" t="s">
        <v>190</v>
      </c>
      <c r="C2" s="2273"/>
      <c r="E2" s="2279" t="s">
        <v>206</v>
      </c>
      <c r="F2" s="2279"/>
      <c r="G2" s="2279"/>
      <c r="L2"/>
      <c r="O2" s="320" t="s">
        <v>871</v>
      </c>
      <c r="P2" s="778">
        <v>29586</v>
      </c>
      <c r="Q2" s="778">
        <v>44926</v>
      </c>
      <c r="R2" s="161" t="s">
        <v>870</v>
      </c>
    </row>
    <row r="3" spans="1:39" ht="26.25">
      <c r="B3" s="627">
        <v>21367</v>
      </c>
      <c r="C3" s="1258">
        <v>22.396000000000001</v>
      </c>
      <c r="D3" s="1473">
        <f t="shared" ref="D3:D66" si="0">ROUND(+D4*C3/C4,19)</f>
        <v>21.175189097956402</v>
      </c>
      <c r="E3" s="1235" t="s">
        <v>199</v>
      </c>
      <c r="F3" s="1236" t="s">
        <v>205</v>
      </c>
      <c r="G3" s="1178" t="s">
        <v>192</v>
      </c>
      <c r="H3" s="2276" t="s">
        <v>200</v>
      </c>
      <c r="I3" s="2277"/>
      <c r="K3" s="2278" t="s">
        <v>202</v>
      </c>
      <c r="L3" s="2278"/>
      <c r="M3" s="2278"/>
      <c r="O3" s="161" t="s">
        <v>869</v>
      </c>
      <c r="P3" s="161">
        <f>VLOOKUP(P2,VPI,2)</f>
        <v>49.674999999999997</v>
      </c>
      <c r="Q3" s="161">
        <f>VLOOKUP(Q2,VPI,2)</f>
        <v>120.6</v>
      </c>
      <c r="R3" s="777">
        <f>_xlfn.RRI(YEARFRAC(P2,Q2,3),P3,Q3)</f>
        <v>2.1329024989711121E-2</v>
      </c>
    </row>
    <row r="4" spans="1:39" ht="15.75">
      <c r="B4" s="627">
        <v>21398</v>
      </c>
      <c r="C4" s="1258">
        <v>22.227</v>
      </c>
      <c r="D4" s="1473">
        <f t="shared" si="0"/>
        <v>21.015401325249002</v>
      </c>
      <c r="E4" s="351">
        <v>8402</v>
      </c>
      <c r="F4" s="1237">
        <v>0.04</v>
      </c>
      <c r="G4" s="1238" t="e">
        <f t="shared" ref="G4:G10" si="1">VLOOKUP(E4,BilmoGZins,16)</f>
        <v>#N/A</v>
      </c>
      <c r="H4" s="1239" t="s">
        <v>60</v>
      </c>
      <c r="I4" s="1230" t="s">
        <v>201</v>
      </c>
      <c r="K4" s="50" t="s">
        <v>199</v>
      </c>
      <c r="L4" s="50" t="s">
        <v>202</v>
      </c>
      <c r="M4" s="50" t="s">
        <v>203</v>
      </c>
      <c r="O4" s="145">
        <v>21367</v>
      </c>
      <c r="P4" s="850">
        <f t="shared" ref="P4:P35" si="2">VLOOKUP(O4,VPI,2)</f>
        <v>22.396000000000001</v>
      </c>
      <c r="Q4"/>
      <c r="T4" s="890"/>
      <c r="U4" s="890"/>
      <c r="V4" s="890"/>
      <c r="W4" s="890"/>
      <c r="X4" s="890"/>
      <c r="Y4" s="890"/>
      <c r="Z4" s="890"/>
      <c r="AA4" s="890"/>
      <c r="AB4" s="890"/>
      <c r="AC4" s="890"/>
      <c r="AD4" s="890"/>
      <c r="AE4" s="890"/>
      <c r="AF4" s="890"/>
      <c r="AG4" s="890"/>
      <c r="AH4" s="890"/>
      <c r="AI4" s="890"/>
      <c r="AJ4" s="890"/>
      <c r="AK4" s="890"/>
    </row>
    <row r="5" spans="1:39" ht="16.5" thickBot="1">
      <c r="B5" s="627">
        <v>21429</v>
      </c>
      <c r="C5" s="1258">
        <v>22.227</v>
      </c>
      <c r="D5" s="1473">
        <f t="shared" si="0"/>
        <v>21.015401325249002</v>
      </c>
      <c r="E5" s="1240">
        <v>15342</v>
      </c>
      <c r="F5" s="1241">
        <v>0.03</v>
      </c>
      <c r="G5" s="1238" t="e">
        <f t="shared" si="1"/>
        <v>#N/A</v>
      </c>
      <c r="H5" s="1242">
        <v>37622</v>
      </c>
      <c r="I5" s="1231">
        <f>2.2%+15.5%</f>
        <v>0.17699999999999999</v>
      </c>
      <c r="K5" s="76">
        <v>40544</v>
      </c>
      <c r="L5" s="77">
        <v>1.1999999999999999E-3</v>
      </c>
      <c r="M5" s="77">
        <v>5.1200000000000002E-2</v>
      </c>
      <c r="O5" s="145">
        <v>21732</v>
      </c>
      <c r="P5" s="850">
        <f t="shared" si="2"/>
        <v>22.564</v>
      </c>
      <c r="Q5"/>
    </row>
    <row r="6" spans="1:39" ht="15.75" customHeight="1">
      <c r="B6" s="627">
        <v>21459</v>
      </c>
      <c r="C6" s="1258">
        <v>22.227</v>
      </c>
      <c r="D6" s="1473">
        <f t="shared" si="0"/>
        <v>21.015401325249002</v>
      </c>
      <c r="E6" s="1240">
        <v>31594</v>
      </c>
      <c r="F6" s="1243">
        <v>3.5000000000000003E-2</v>
      </c>
      <c r="G6" s="1238" t="e">
        <f t="shared" si="1"/>
        <v>#N/A</v>
      </c>
      <c r="H6" s="1242">
        <v>41456</v>
      </c>
      <c r="I6" s="1231">
        <f>0.155+0.0205+0.0025</f>
        <v>0.17799999999999999</v>
      </c>
      <c r="K6" s="76">
        <v>40725</v>
      </c>
      <c r="L6" s="77">
        <v>3.7000000000000002E-3</v>
      </c>
      <c r="M6" s="77">
        <v>5.3699999999999998E-2</v>
      </c>
      <c r="O6" s="145">
        <v>22098</v>
      </c>
      <c r="P6" s="850">
        <f t="shared" si="2"/>
        <v>22.901</v>
      </c>
      <c r="Q6"/>
      <c r="R6" s="65"/>
      <c r="S6" s="2280" t="s">
        <v>1312</v>
      </c>
      <c r="T6" s="2281"/>
      <c r="U6" s="2281"/>
      <c r="V6" s="2281"/>
      <c r="W6" s="2281"/>
      <c r="X6" s="2281"/>
      <c r="Y6" s="2281"/>
      <c r="Z6" s="2281"/>
      <c r="AA6" s="2281"/>
      <c r="AB6" s="2281"/>
      <c r="AC6" s="2281"/>
      <c r="AD6" s="2281"/>
      <c r="AE6" s="2281"/>
      <c r="AF6" s="2281"/>
      <c r="AG6" s="2281"/>
      <c r="AH6" s="2281"/>
      <c r="AI6" s="2281"/>
      <c r="AJ6" s="2281"/>
      <c r="AK6" s="2282"/>
    </row>
    <row r="7" spans="1:39" ht="16.5" customHeight="1">
      <c r="B7" s="627">
        <v>21490</v>
      </c>
      <c r="C7" s="1258">
        <v>22.396000000000001</v>
      </c>
      <c r="D7" s="1473">
        <f t="shared" si="0"/>
        <v>21.175189097956402</v>
      </c>
      <c r="E7" s="1240">
        <v>34516</v>
      </c>
      <c r="F7" s="1241">
        <v>0.04</v>
      </c>
      <c r="G7" s="1238" t="e">
        <f t="shared" si="1"/>
        <v>#N/A</v>
      </c>
      <c r="H7" s="1242">
        <v>42005</v>
      </c>
      <c r="I7" s="1231">
        <f>0.146+0.0235+0.0025+0.009</f>
        <v>0.18099999999999999</v>
      </c>
      <c r="K7" s="76">
        <v>40909</v>
      </c>
      <c r="L7" s="77">
        <v>1.1999999999999999E-3</v>
      </c>
      <c r="M7" s="77">
        <v>5.1200000000000002E-2</v>
      </c>
      <c r="O7" s="145">
        <v>22463</v>
      </c>
      <c r="P7" s="850">
        <f t="shared" si="2"/>
        <v>23.49</v>
      </c>
      <c r="Q7"/>
      <c r="R7" s="65"/>
      <c r="S7" s="2283"/>
      <c r="T7" s="2284"/>
      <c r="U7" s="2284"/>
      <c r="V7" s="2284"/>
      <c r="W7" s="2284"/>
      <c r="X7" s="2284"/>
      <c r="Y7" s="2284"/>
      <c r="Z7" s="2284"/>
      <c r="AA7" s="2284"/>
      <c r="AB7" s="2284"/>
      <c r="AC7" s="2284"/>
      <c r="AD7" s="2284"/>
      <c r="AE7" s="2284"/>
      <c r="AF7" s="2284"/>
      <c r="AG7" s="2284"/>
      <c r="AH7" s="2284"/>
      <c r="AI7" s="2284"/>
      <c r="AJ7" s="2284"/>
      <c r="AK7" s="2285"/>
    </row>
    <row r="8" spans="1:39" ht="15.75">
      <c r="B8" s="627">
        <v>21520</v>
      </c>
      <c r="C8" s="1258">
        <v>22.48</v>
      </c>
      <c r="D8" s="1473">
        <f t="shared" si="0"/>
        <v>21.254610239420401</v>
      </c>
      <c r="E8" s="1240">
        <v>36708</v>
      </c>
      <c r="F8" s="1243">
        <v>3.2500000000000001E-2</v>
      </c>
      <c r="G8" s="1238" t="e">
        <f t="shared" si="1"/>
        <v>#N/A</v>
      </c>
      <c r="H8" s="1242">
        <v>42430</v>
      </c>
      <c r="I8" s="1231">
        <f>0.146+0.009+0.0235+0.0025</f>
        <v>0.18099999999999999</v>
      </c>
      <c r="K8" s="76">
        <v>41091</v>
      </c>
      <c r="L8" s="77">
        <v>1.1999999999999999E-3</v>
      </c>
      <c r="M8" s="77">
        <v>5.1200000000000002E-2</v>
      </c>
      <c r="O8" s="145">
        <v>22828</v>
      </c>
      <c r="P8" s="850">
        <f t="shared" si="2"/>
        <v>24.248000000000001</v>
      </c>
      <c r="Q8"/>
      <c r="R8" s="65"/>
      <c r="S8" s="2286" t="s">
        <v>934</v>
      </c>
      <c r="T8" s="2287"/>
      <c r="U8" s="2288"/>
      <c r="V8" s="891">
        <f>V9/U9-1</f>
        <v>3.7700282752120673E-2</v>
      </c>
      <c r="W8" s="59">
        <f>W9/V9-1</f>
        <v>7.5386012715713102E-2</v>
      </c>
      <c r="X8" s="1061">
        <f>VLOOKUP(X10,$O$4:$Q$765,3)</f>
        <v>6.2E-2</v>
      </c>
      <c r="Y8" s="1450">
        <f t="shared" ref="Y8:AK8" si="3">VLOOKUP(Y10,$O$4:$Q$765,3)</f>
        <v>0.05</v>
      </c>
      <c r="Z8" s="1450">
        <f t="shared" si="3"/>
        <v>0.04</v>
      </c>
      <c r="AA8" s="1450">
        <f t="shared" si="3"/>
        <v>0.03</v>
      </c>
      <c r="AB8" s="1450">
        <f t="shared" si="3"/>
        <v>2.5000000000000001E-2</v>
      </c>
      <c r="AC8" s="1450">
        <f t="shared" si="3"/>
        <v>2.1999999999999999E-2</v>
      </c>
      <c r="AD8" s="1450">
        <f t="shared" si="3"/>
        <v>0.02</v>
      </c>
      <c r="AE8" s="1450">
        <f t="shared" si="3"/>
        <v>0.02</v>
      </c>
      <c r="AF8" s="1450">
        <f t="shared" si="3"/>
        <v>0.02</v>
      </c>
      <c r="AG8" s="1450">
        <f t="shared" si="3"/>
        <v>0.02</v>
      </c>
      <c r="AH8" s="1450">
        <f t="shared" si="3"/>
        <v>0.02</v>
      </c>
      <c r="AI8" s="1450">
        <f t="shared" si="3"/>
        <v>0.02</v>
      </c>
      <c r="AJ8" s="1450">
        <f t="shared" si="3"/>
        <v>0.02</v>
      </c>
      <c r="AK8" s="1450">
        <f t="shared" si="3"/>
        <v>0.02</v>
      </c>
      <c r="AL8" s="59"/>
    </row>
    <row r="9" spans="1:39" ht="15.75">
      <c r="B9" s="627">
        <v>21551</v>
      </c>
      <c r="C9" s="1258">
        <v>22.564</v>
      </c>
      <c r="D9" s="1473">
        <f t="shared" si="0"/>
        <v>21.334031380884401</v>
      </c>
      <c r="E9" s="1240">
        <v>37987</v>
      </c>
      <c r="F9" s="1243">
        <v>2.75E-2</v>
      </c>
      <c r="G9" s="1238" t="e">
        <f t="shared" si="1"/>
        <v>#N/A</v>
      </c>
      <c r="H9" s="1242">
        <v>42736</v>
      </c>
      <c r="I9" s="1231">
        <f>0.146+0.009+0.0255+0.0025</f>
        <v>0.183</v>
      </c>
      <c r="K9" s="76">
        <v>41275</v>
      </c>
      <c r="L9" s="77">
        <v>-1.2999999999999999E-3</v>
      </c>
      <c r="M9" s="77">
        <v>4.87E-2</v>
      </c>
      <c r="O9" s="145">
        <v>23193</v>
      </c>
      <c r="P9" s="850">
        <f t="shared" si="2"/>
        <v>24.753</v>
      </c>
      <c r="Q9"/>
      <c r="R9" s="65"/>
      <c r="S9" s="962" t="s">
        <v>190</v>
      </c>
      <c r="T9" s="963">
        <v>102.5</v>
      </c>
      <c r="U9" s="963">
        <f>VLOOKUP(U10,$O$4:$P$765,2)</f>
        <v>106.1</v>
      </c>
      <c r="V9" s="963">
        <f t="shared" ref="V9:AK9" si="4">VLOOKUP(V10,$O$4:$P$765,2)</f>
        <v>110.1</v>
      </c>
      <c r="W9" s="963">
        <f t="shared" si="4"/>
        <v>118.4</v>
      </c>
      <c r="X9" s="963">
        <f t="shared" si="4"/>
        <v>125.74080000000001</v>
      </c>
      <c r="Y9" s="963">
        <f t="shared" si="4"/>
        <v>132.02784000000003</v>
      </c>
      <c r="Z9" s="1451">
        <f t="shared" si="4"/>
        <v>137.30895360000002</v>
      </c>
      <c r="AA9" s="1451">
        <f t="shared" si="4"/>
        <v>141.42822220800002</v>
      </c>
      <c r="AB9" s="1451">
        <f t="shared" si="4"/>
        <v>144.96392776320002</v>
      </c>
      <c r="AC9" s="1451">
        <f t="shared" si="4"/>
        <v>148.15313417399042</v>
      </c>
      <c r="AD9" s="1451">
        <f t="shared" si="4"/>
        <v>151.11619685747024</v>
      </c>
      <c r="AE9" s="1451">
        <f t="shared" si="4"/>
        <v>154.13852079461964</v>
      </c>
      <c r="AF9" s="1451">
        <f t="shared" si="4"/>
        <v>157.22129121051202</v>
      </c>
      <c r="AG9" s="1451">
        <f t="shared" si="4"/>
        <v>160.36571703472225</v>
      </c>
      <c r="AH9" s="1451">
        <f t="shared" si="4"/>
        <v>163.57303137541669</v>
      </c>
      <c r="AI9" s="1451">
        <f t="shared" si="4"/>
        <v>166.84449200292502</v>
      </c>
      <c r="AJ9" s="1451">
        <f t="shared" si="4"/>
        <v>170.18138184298351</v>
      </c>
      <c r="AK9" s="1452">
        <f t="shared" si="4"/>
        <v>173.58500947984319</v>
      </c>
    </row>
    <row r="10" spans="1:39" ht="59.25">
      <c r="B10" s="627">
        <v>21582</v>
      </c>
      <c r="C10" s="1258">
        <v>22.648</v>
      </c>
      <c r="D10" s="1473">
        <f t="shared" si="0"/>
        <v>21.4134525223484</v>
      </c>
      <c r="E10" s="1240">
        <v>39083</v>
      </c>
      <c r="F10" s="1243">
        <v>2.2499999999999999E-2</v>
      </c>
      <c r="G10" s="1238" t="e">
        <f t="shared" si="1"/>
        <v>#N/A</v>
      </c>
      <c r="H10" s="1242">
        <v>43466</v>
      </c>
      <c r="I10" s="1231">
        <f>0.146+0.009+0.0305+0.0025</f>
        <v>0.188</v>
      </c>
      <c r="K10" s="76">
        <v>41456</v>
      </c>
      <c r="L10" s="77">
        <v>-3.8E-3</v>
      </c>
      <c r="M10" s="77">
        <v>4.6199999999999998E-2</v>
      </c>
      <c r="O10" s="145">
        <v>23559</v>
      </c>
      <c r="P10" s="850">
        <f t="shared" si="2"/>
        <v>25.427</v>
      </c>
      <c r="Q10"/>
      <c r="R10" s="65"/>
      <c r="S10" s="1189" t="s">
        <v>1420</v>
      </c>
      <c r="T10" s="964">
        <v>42917</v>
      </c>
      <c r="U10" s="1448">
        <v>44013</v>
      </c>
      <c r="V10" s="1448">
        <v>44378</v>
      </c>
      <c r="W10" s="1448">
        <v>44743</v>
      </c>
      <c r="X10" s="1448">
        <v>45108</v>
      </c>
      <c r="Y10" s="1448">
        <v>45474</v>
      </c>
      <c r="Z10" s="1448">
        <v>45839</v>
      </c>
      <c r="AA10" s="1448">
        <v>46204</v>
      </c>
      <c r="AB10" s="1448">
        <v>46569</v>
      </c>
      <c r="AC10" s="1448">
        <v>46935</v>
      </c>
      <c r="AD10" s="1448">
        <v>47300</v>
      </c>
      <c r="AE10" s="1448">
        <v>47665</v>
      </c>
      <c r="AF10" s="1448">
        <v>48030</v>
      </c>
      <c r="AG10" s="1448">
        <v>48396</v>
      </c>
      <c r="AH10" s="1448">
        <v>48761</v>
      </c>
      <c r="AI10" s="1448">
        <v>49126</v>
      </c>
      <c r="AJ10" s="1448">
        <v>49491</v>
      </c>
      <c r="AK10" s="1449">
        <v>49857</v>
      </c>
      <c r="AM10" s="1190"/>
    </row>
    <row r="11" spans="1:39" ht="15.75">
      <c r="B11" s="627">
        <v>21610</v>
      </c>
      <c r="C11" s="1258">
        <v>22.564</v>
      </c>
      <c r="D11" s="1473">
        <f t="shared" si="0"/>
        <v>21.334031380884401</v>
      </c>
      <c r="E11" s="351">
        <v>40057</v>
      </c>
      <c r="F11" s="1244">
        <v>2.2499999999999999E-2</v>
      </c>
      <c r="G11" s="1245">
        <f t="shared" ref="G11:G16" si="5">VLOOKUP(E11,BilmoGZins,16)/100</f>
        <v>5.28E-2</v>
      </c>
      <c r="H11" s="1242">
        <v>37622</v>
      </c>
      <c r="I11" s="1231">
        <v>0.17699999999999999</v>
      </c>
      <c r="K11" s="76">
        <v>41640</v>
      </c>
      <c r="L11" s="77">
        <v>-6.3E-3</v>
      </c>
      <c r="M11" s="77">
        <v>4.3700000000000003E-2</v>
      </c>
      <c r="O11" s="145">
        <v>23924</v>
      </c>
      <c r="P11" s="850">
        <f t="shared" si="2"/>
        <v>26.437000000000001</v>
      </c>
      <c r="Q11"/>
      <c r="R11" s="965">
        <f t="shared" ref="R11:R27" si="6">VLOOKUP(S11,$O$4:$P$765,2)</f>
        <v>106.1</v>
      </c>
      <c r="S11" s="1187">
        <v>44013</v>
      </c>
      <c r="T11" s="966"/>
      <c r="U11" s="967"/>
      <c r="V11" s="967">
        <f t="shared" ref="V11:AK11" si="7">_xlfn.RRI(YEARFRAC($S11,V$10,3),$R11,V$9)</f>
        <v>3.7700282752120673E-2</v>
      </c>
      <c r="W11" s="967">
        <f t="shared" si="7"/>
        <v>5.637510831274839E-2</v>
      </c>
      <c r="X11" s="967">
        <f t="shared" si="7"/>
        <v>5.8246754138118195E-2</v>
      </c>
      <c r="Y11" s="967">
        <f t="shared" si="7"/>
        <v>5.6139501026753358E-2</v>
      </c>
      <c r="Z11" s="967">
        <f t="shared" si="7"/>
        <v>5.2893462872684927E-2</v>
      </c>
      <c r="AA11" s="967">
        <f t="shared" si="7"/>
        <v>4.9044605312466238E-2</v>
      </c>
      <c r="AB11" s="967">
        <f t="shared" si="7"/>
        <v>4.5576788315034866E-2</v>
      </c>
      <c r="AC11" s="967">
        <f t="shared" si="7"/>
        <v>4.2586331480383599E-2</v>
      </c>
      <c r="AD11" s="967">
        <f t="shared" si="7"/>
        <v>4.0053781077355577E-2</v>
      </c>
      <c r="AE11" s="967">
        <f t="shared" si="7"/>
        <v>3.8031894276686851E-2</v>
      </c>
      <c r="AF11" s="967">
        <f t="shared" si="7"/>
        <v>3.638036462175287E-2</v>
      </c>
      <c r="AG11" s="967">
        <f t="shared" si="7"/>
        <v>3.4997847013136907E-2</v>
      </c>
      <c r="AH11" s="967">
        <f t="shared" si="7"/>
        <v>3.3837111655732999E-2</v>
      </c>
      <c r="AI11" s="967">
        <f t="shared" si="7"/>
        <v>3.2843134631017179E-2</v>
      </c>
      <c r="AJ11" s="967">
        <f t="shared" si="7"/>
        <v>3.1982388442814091E-2</v>
      </c>
      <c r="AK11" s="968">
        <f t="shared" si="7"/>
        <v>3.1224342322476284E-2</v>
      </c>
      <c r="AM11" s="1190"/>
    </row>
    <row r="12" spans="1:39" ht="15.75">
      <c r="B12" s="627">
        <v>21641</v>
      </c>
      <c r="C12" s="1258">
        <v>22.48</v>
      </c>
      <c r="D12" s="1473">
        <f t="shared" si="0"/>
        <v>21.254610239420401</v>
      </c>
      <c r="E12" s="1240">
        <v>40909</v>
      </c>
      <c r="F12" s="1243">
        <v>1.7500000000000002E-2</v>
      </c>
      <c r="G12" s="1245">
        <f t="shared" si="5"/>
        <v>5.1399999999999994E-2</v>
      </c>
      <c r="H12" s="1242">
        <v>41456</v>
      </c>
      <c r="I12" s="1231">
        <v>0.17799999999999999</v>
      </c>
      <c r="K12" s="76">
        <v>41821</v>
      </c>
      <c r="L12" s="77">
        <v>-7.3000000000000001E-3</v>
      </c>
      <c r="M12" s="77">
        <v>4.2700000000000002E-2</v>
      </c>
      <c r="O12" s="145">
        <v>24289</v>
      </c>
      <c r="P12" s="850">
        <f t="shared" si="2"/>
        <v>27.279</v>
      </c>
      <c r="Q12"/>
      <c r="R12" s="965">
        <f t="shared" si="6"/>
        <v>110.1</v>
      </c>
      <c r="S12" s="1187">
        <v>44378</v>
      </c>
      <c r="T12" s="966"/>
      <c r="U12" s="967"/>
      <c r="V12" s="967"/>
      <c r="W12" s="967">
        <f t="shared" ref="W12:AK12" si="8">_xlfn.RRI(YEARFRAC($S12,W$10,3),$R12,W$9)</f>
        <v>7.5386012715713102E-2</v>
      </c>
      <c r="X12" s="967">
        <f t="shared" si="8"/>
        <v>6.867204768539148E-2</v>
      </c>
      <c r="Y12" s="967">
        <f t="shared" si="8"/>
        <v>6.2352742444915288E-2</v>
      </c>
      <c r="Z12" s="967">
        <f t="shared" si="8"/>
        <v>5.6723760482785712E-2</v>
      </c>
      <c r="AA12" s="967">
        <f t="shared" si="8"/>
        <v>5.1327056809049365E-2</v>
      </c>
      <c r="AB12" s="967">
        <f t="shared" si="8"/>
        <v>4.68947373176547E-2</v>
      </c>
      <c r="AC12" s="967">
        <f t="shared" si="8"/>
        <v>4.3285666364058395E-2</v>
      </c>
      <c r="AD12" s="967">
        <f t="shared" si="8"/>
        <v>4.0348141783030478E-2</v>
      </c>
      <c r="AE12" s="967">
        <f t="shared" si="8"/>
        <v>3.8068724119005637E-2</v>
      </c>
      <c r="AF12" s="967">
        <f t="shared" si="8"/>
        <v>3.6248537412373549E-2</v>
      </c>
      <c r="AG12" s="967">
        <f t="shared" si="8"/>
        <v>3.4752703445031452E-2</v>
      </c>
      <c r="AH12" s="967">
        <f t="shared" si="8"/>
        <v>3.3516050524046825E-2</v>
      </c>
      <c r="AI12" s="967">
        <f t="shared" si="8"/>
        <v>3.2470686324924225E-2</v>
      </c>
      <c r="AJ12" s="967">
        <f t="shared" si="8"/>
        <v>3.1575413969796351E-2</v>
      </c>
      <c r="AK12" s="968">
        <f t="shared" si="8"/>
        <v>3.0794366779243854E-2</v>
      </c>
    </row>
    <row r="13" spans="1:39" ht="15.75">
      <c r="B13" s="627">
        <v>21671</v>
      </c>
      <c r="C13" s="1258">
        <v>22.48</v>
      </c>
      <c r="D13" s="1473">
        <f t="shared" si="0"/>
        <v>21.254610239420401</v>
      </c>
      <c r="E13" s="1240">
        <v>42005</v>
      </c>
      <c r="F13" s="1243">
        <v>1.2500000000000001E-2</v>
      </c>
      <c r="G13" s="1245">
        <f t="shared" si="5"/>
        <v>4.53E-2</v>
      </c>
      <c r="H13" s="1242">
        <v>42005</v>
      </c>
      <c r="I13" s="1231">
        <v>0.18099999999999999</v>
      </c>
      <c r="K13" s="76">
        <v>41849</v>
      </c>
      <c r="L13" s="77">
        <v>-7.3000000000000001E-3</v>
      </c>
      <c r="M13" s="77">
        <v>4.2700000000000002E-2</v>
      </c>
      <c r="O13" s="145">
        <v>24654</v>
      </c>
      <c r="P13" s="850">
        <f t="shared" si="2"/>
        <v>27.783999999999999</v>
      </c>
      <c r="Q13"/>
      <c r="R13" s="965">
        <f t="shared" si="6"/>
        <v>118.4</v>
      </c>
      <c r="S13" s="1187">
        <v>44743</v>
      </c>
      <c r="T13" s="966"/>
      <c r="U13" s="967"/>
      <c r="V13" s="967"/>
      <c r="W13" s="967"/>
      <c r="X13" s="967">
        <f t="shared" ref="X13:AK13" si="9">_xlfn.RRI(YEARFRAC($S13,X$10,3),$R13,X$9)</f>
        <v>6.2000000000000055E-2</v>
      </c>
      <c r="Y13" s="967">
        <f t="shared" si="9"/>
        <v>5.5904268489545883E-2</v>
      </c>
      <c r="Z13" s="967">
        <f t="shared" si="9"/>
        <v>5.0580852873158832E-2</v>
      </c>
      <c r="AA13" s="967">
        <f t="shared" si="9"/>
        <v>4.5400942956739021E-2</v>
      </c>
      <c r="AB13" s="967">
        <f t="shared" si="9"/>
        <v>4.1290774112929363E-2</v>
      </c>
      <c r="AC13" s="967">
        <f t="shared" si="9"/>
        <v>3.8034333557957156E-2</v>
      </c>
      <c r="AD13" s="967">
        <f t="shared" si="9"/>
        <v>3.5440636162554995E-2</v>
      </c>
      <c r="AE13" s="967">
        <f t="shared" si="9"/>
        <v>3.3499174574067148E-2</v>
      </c>
      <c r="AF13" s="967">
        <f t="shared" si="9"/>
        <v>3.1991404085223829E-2</v>
      </c>
      <c r="AG13" s="967">
        <f t="shared" si="9"/>
        <v>3.0778050645227317E-2</v>
      </c>
      <c r="AH13" s="967">
        <f t="shared" si="9"/>
        <v>2.9794274426968803E-2</v>
      </c>
      <c r="AI13" s="967">
        <f t="shared" si="9"/>
        <v>2.897506609495637E-2</v>
      </c>
      <c r="AJ13" s="967">
        <f t="shared" si="9"/>
        <v>2.8282319296359715E-2</v>
      </c>
      <c r="AK13" s="968">
        <f t="shared" si="9"/>
        <v>2.7683360944696922E-2</v>
      </c>
    </row>
    <row r="14" spans="1:39" ht="15.75">
      <c r="B14" s="627">
        <v>21702</v>
      </c>
      <c r="C14" s="1258">
        <v>22.48</v>
      </c>
      <c r="D14" s="1473">
        <f t="shared" si="0"/>
        <v>21.254610239420401</v>
      </c>
      <c r="E14" s="1240">
        <v>42736</v>
      </c>
      <c r="F14" s="1243">
        <v>8.9999999999999993E-3</v>
      </c>
      <c r="G14" s="1245">
        <f t="shared" si="5"/>
        <v>3.2400000000000005E-2</v>
      </c>
      <c r="H14" s="1242">
        <v>42430</v>
      </c>
      <c r="I14" s="1231">
        <v>0.18099999999999999</v>
      </c>
      <c r="K14" s="76">
        <v>42005</v>
      </c>
      <c r="L14" s="77">
        <v>-8.3000000000000001E-3</v>
      </c>
      <c r="M14" s="77">
        <v>4.1700000000000001E-2</v>
      </c>
      <c r="O14" s="145">
        <v>25020</v>
      </c>
      <c r="P14" s="850">
        <f t="shared" si="2"/>
        <v>28.120999999999999</v>
      </c>
      <c r="Q14"/>
      <c r="R14" s="965">
        <f t="shared" si="6"/>
        <v>125.74080000000001</v>
      </c>
      <c r="S14" s="1187">
        <v>45108</v>
      </c>
      <c r="T14" s="966"/>
      <c r="U14" s="967"/>
      <c r="V14" s="967"/>
      <c r="W14" s="967"/>
      <c r="X14" s="967"/>
      <c r="Y14" s="967">
        <f t="shared" ref="Y14:AK14" si="10">_xlfn.RRI(YEARFRAC($S14,Y$10,3),$R14,Y$9)</f>
        <v>4.9860037546703539E-2</v>
      </c>
      <c r="Z14" s="967">
        <f t="shared" si="10"/>
        <v>4.4925132910944132E-2</v>
      </c>
      <c r="AA14" s="967">
        <f t="shared" si="10"/>
        <v>3.9930762051169078E-2</v>
      </c>
      <c r="AB14" s="967">
        <f t="shared" si="10"/>
        <v>3.6180368684857633E-2</v>
      </c>
      <c r="AC14" s="967">
        <f t="shared" si="10"/>
        <v>3.3311657224463831E-2</v>
      </c>
      <c r="AD14" s="967">
        <f t="shared" si="10"/>
        <v>3.1083077236585765E-2</v>
      </c>
      <c r="AE14" s="967">
        <f t="shared" si="10"/>
        <v>2.9493680991855786E-2</v>
      </c>
      <c r="AF14" s="967">
        <f t="shared" si="10"/>
        <v>2.8302970397954041E-2</v>
      </c>
      <c r="AG14" s="967">
        <f t="shared" si="10"/>
        <v>2.736921414194704E-2</v>
      </c>
      <c r="AH14" s="967">
        <f t="shared" si="10"/>
        <v>2.6630510163106802E-2</v>
      </c>
      <c r="AI14" s="967">
        <f t="shared" si="10"/>
        <v>2.6026410897417085E-2</v>
      </c>
      <c r="AJ14" s="967">
        <f t="shared" si="10"/>
        <v>2.5523197530985087E-2</v>
      </c>
      <c r="AK14" s="968">
        <f t="shared" si="10"/>
        <v>2.5092194931708667E-2</v>
      </c>
    </row>
    <row r="15" spans="1:39" ht="15.75">
      <c r="B15" s="627">
        <v>21732</v>
      </c>
      <c r="C15" s="1258">
        <v>22.564</v>
      </c>
      <c r="D15" s="1473">
        <f t="shared" si="0"/>
        <v>21.334031380884401</v>
      </c>
      <c r="E15" s="1240">
        <v>43466</v>
      </c>
      <c r="F15" s="1243">
        <v>8.9999999999999993E-3</v>
      </c>
      <c r="G15" s="1245">
        <f t="shared" si="5"/>
        <v>2.3199999999999998E-2</v>
      </c>
      <c r="H15" s="1242">
        <v>42736</v>
      </c>
      <c r="I15" s="1231">
        <v>0.183</v>
      </c>
      <c r="K15" s="76">
        <v>42186</v>
      </c>
      <c r="L15" s="77">
        <v>-8.3000000000000001E-3</v>
      </c>
      <c r="M15" s="77">
        <v>4.1700000000000001E-2</v>
      </c>
      <c r="O15" s="145">
        <v>25385</v>
      </c>
      <c r="P15" s="850">
        <f t="shared" si="2"/>
        <v>28.71</v>
      </c>
      <c r="Q15"/>
      <c r="R15" s="965">
        <f t="shared" si="6"/>
        <v>132.02784000000003</v>
      </c>
      <c r="S15" s="1187">
        <v>45474</v>
      </c>
      <c r="T15" s="966"/>
      <c r="U15" s="967"/>
      <c r="V15" s="967"/>
      <c r="W15" s="967"/>
      <c r="X15" s="967"/>
      <c r="Y15" s="967"/>
      <c r="Z15" s="967">
        <f t="shared" ref="Z15:AK15" si="11">_xlfn.RRI(YEARFRAC($S15,Z$10,3),$R15,Z$9)</f>
        <v>4.0000000000000036E-2</v>
      </c>
      <c r="AA15" s="967">
        <f t="shared" si="11"/>
        <v>3.4987922634848845E-2</v>
      </c>
      <c r="AB15" s="967">
        <f t="shared" si="11"/>
        <v>3.1647847718268673E-2</v>
      </c>
      <c r="AC15" s="967">
        <f t="shared" si="11"/>
        <v>2.9207086311024977E-2</v>
      </c>
      <c r="AD15" s="967">
        <f t="shared" si="11"/>
        <v>2.7360055436830288E-2</v>
      </c>
      <c r="AE15" s="967">
        <f t="shared" si="11"/>
        <v>2.6130262979300101E-2</v>
      </c>
      <c r="AF15" s="967">
        <f t="shared" si="11"/>
        <v>2.5252603922845784E-2</v>
      </c>
      <c r="AG15" s="967">
        <f t="shared" si="11"/>
        <v>2.4586257518486532E-2</v>
      </c>
      <c r="AH15" s="967">
        <f t="shared" si="11"/>
        <v>2.4075967305791313E-2</v>
      </c>
      <c r="AI15" s="967">
        <f t="shared" si="11"/>
        <v>2.366786227255524E-2</v>
      </c>
      <c r="AJ15" s="967">
        <f t="shared" si="11"/>
        <v>2.3334042200878313E-2</v>
      </c>
      <c r="AK15" s="968">
        <f t="shared" si="11"/>
        <v>2.3050596112598853E-2</v>
      </c>
    </row>
    <row r="16" spans="1:39" ht="15.75">
      <c r="B16" s="627">
        <v>21763</v>
      </c>
      <c r="C16" s="1258">
        <v>22.648</v>
      </c>
      <c r="D16" s="1473">
        <f t="shared" si="0"/>
        <v>21.4134525223484</v>
      </c>
      <c r="E16" s="1240">
        <v>44562</v>
      </c>
      <c r="F16" s="1243">
        <v>2.5000000000000001E-3</v>
      </c>
      <c r="G16" s="1245">
        <f t="shared" si="5"/>
        <v>1.3500000000000002E-2</v>
      </c>
      <c r="H16" s="1242">
        <v>43466</v>
      </c>
      <c r="I16" s="1231">
        <v>0.188</v>
      </c>
      <c r="K16" s="76">
        <v>42370</v>
      </c>
      <c r="L16" s="77">
        <v>-8.3000000000000001E-3</v>
      </c>
      <c r="M16" s="77">
        <v>4.1700000000000001E-2</v>
      </c>
      <c r="O16" s="145">
        <v>25750</v>
      </c>
      <c r="P16" s="850">
        <f t="shared" si="2"/>
        <v>29.721</v>
      </c>
      <c r="Q16"/>
      <c r="R16" s="965">
        <f t="shared" si="6"/>
        <v>137.30895360000002</v>
      </c>
      <c r="S16" s="1187">
        <v>45839</v>
      </c>
      <c r="T16" s="966"/>
      <c r="U16" s="967"/>
      <c r="V16" s="967"/>
      <c r="W16" s="967"/>
      <c r="X16" s="967"/>
      <c r="Y16" s="967"/>
      <c r="Z16" s="967"/>
      <c r="AA16" s="967">
        <f t="shared" ref="AA16:AK16" si="12">_xlfn.RRI(YEARFRAC($S16,AA$10,3),$R16,AA$9)</f>
        <v>3.0000000000000027E-2</v>
      </c>
      <c r="AB16" s="967">
        <f t="shared" si="12"/>
        <v>2.7496958632968305E-2</v>
      </c>
      <c r="AC16" s="967">
        <f t="shared" si="12"/>
        <v>2.5637650541880941E-2</v>
      </c>
      <c r="AD16" s="967">
        <f t="shared" si="12"/>
        <v>2.422628939177307E-2</v>
      </c>
      <c r="AE16" s="967">
        <f t="shared" si="12"/>
        <v>2.3380096401964812E-2</v>
      </c>
      <c r="AF16" s="967">
        <f t="shared" si="12"/>
        <v>2.2816227556263557E-2</v>
      </c>
      <c r="AG16" s="967">
        <f t="shared" si="12"/>
        <v>2.2404728280640995E-2</v>
      </c>
      <c r="AH16" s="967">
        <f t="shared" si="12"/>
        <v>2.2104033402843726E-2</v>
      </c>
      <c r="AI16" s="967">
        <f t="shared" si="12"/>
        <v>2.1870180108774839E-2</v>
      </c>
      <c r="AJ16" s="967">
        <f t="shared" si="12"/>
        <v>2.168311039138171E-2</v>
      </c>
      <c r="AK16" s="968">
        <f t="shared" si="12"/>
        <v>2.1524646230094202E-2</v>
      </c>
    </row>
    <row r="17" spans="2:37" ht="15.75">
      <c r="B17" s="627">
        <v>21794</v>
      </c>
      <c r="C17" s="1258">
        <v>22.731999999999999</v>
      </c>
      <c r="D17" s="1473">
        <f t="shared" si="0"/>
        <v>21.4928736638124</v>
      </c>
      <c r="E17" s="1246"/>
      <c r="F17" s="1246"/>
      <c r="G17" s="1238"/>
      <c r="H17" s="1242">
        <v>43831</v>
      </c>
      <c r="I17" s="1231">
        <v>0.188</v>
      </c>
      <c r="K17" s="76">
        <v>42552</v>
      </c>
      <c r="L17" s="77">
        <v>-8.8000000000000005E-3</v>
      </c>
      <c r="M17" s="77">
        <v>4.1200000000000001E-2</v>
      </c>
      <c r="O17" s="145">
        <v>26115</v>
      </c>
      <c r="P17" s="850">
        <f t="shared" si="2"/>
        <v>31.32</v>
      </c>
      <c r="Q17"/>
      <c r="R17" s="965">
        <f t="shared" si="6"/>
        <v>141.42822220800002</v>
      </c>
      <c r="S17" s="1187">
        <v>46204</v>
      </c>
      <c r="T17" s="966"/>
      <c r="U17" s="967"/>
      <c r="V17" s="967"/>
      <c r="W17" s="967"/>
      <c r="X17" s="967"/>
      <c r="Y17" s="967"/>
      <c r="Z17" s="967"/>
      <c r="AA17" s="967"/>
      <c r="AB17" s="967">
        <f t="shared" ref="AB17:AK17" si="13">_xlfn.RRI(YEARFRAC($S17,AB$10,3),$R17,AB$9)</f>
        <v>2.4999999999999911E-2</v>
      </c>
      <c r="AC17" s="967">
        <f t="shared" si="13"/>
        <v>2.3466380330984915E-2</v>
      </c>
      <c r="AD17" s="967">
        <f t="shared" si="13"/>
        <v>2.2310668132112133E-2</v>
      </c>
      <c r="AE17" s="967">
        <f t="shared" si="13"/>
        <v>2.1732906442843092E-2</v>
      </c>
      <c r="AF17" s="967">
        <f t="shared" si="13"/>
        <v>2.1386279687765519E-2</v>
      </c>
      <c r="AG17" s="967">
        <f t="shared" si="13"/>
        <v>2.1145455378004829E-2</v>
      </c>
      <c r="AH17" s="967">
        <f t="shared" si="13"/>
        <v>2.0981868215828703E-2</v>
      </c>
      <c r="AI17" s="967">
        <f t="shared" si="13"/>
        <v>2.0859167055791605E-2</v>
      </c>
      <c r="AJ17" s="967">
        <f t="shared" si="13"/>
        <v>2.0763726426964002E-2</v>
      </c>
      <c r="AK17" s="968">
        <f t="shared" si="13"/>
        <v>2.0681648616484694E-2</v>
      </c>
    </row>
    <row r="18" spans="2:37" ht="15.75">
      <c r="B18" s="627">
        <v>21824</v>
      </c>
      <c r="C18" s="1258">
        <v>22.731999999999999</v>
      </c>
      <c r="D18" s="1473">
        <f t="shared" si="0"/>
        <v>21.4928736638124</v>
      </c>
      <c r="E18" s="1246"/>
      <c r="F18" s="1246"/>
      <c r="G18" s="1238"/>
      <c r="H18" s="1242">
        <v>44197</v>
      </c>
      <c r="I18" s="1231">
        <v>0.188</v>
      </c>
      <c r="K18" s="76">
        <v>42736</v>
      </c>
      <c r="L18" s="77">
        <v>-8.8000000000000005E-3</v>
      </c>
      <c r="M18" s="77">
        <v>4.1200000000000001E-2</v>
      </c>
      <c r="O18" s="145">
        <v>26481</v>
      </c>
      <c r="P18" s="850">
        <f t="shared" si="2"/>
        <v>33.003999999999998</v>
      </c>
      <c r="Q18"/>
      <c r="R18" s="965">
        <f t="shared" si="6"/>
        <v>144.96392776320002</v>
      </c>
      <c r="S18" s="1187">
        <v>46569</v>
      </c>
      <c r="T18" s="966"/>
      <c r="U18" s="967"/>
      <c r="V18" s="967"/>
      <c r="W18" s="967"/>
      <c r="X18" s="967"/>
      <c r="Y18" s="967"/>
      <c r="Z18" s="967"/>
      <c r="AA18" s="967"/>
      <c r="AB18" s="967"/>
      <c r="AC18" s="967">
        <f t="shared" ref="AC18:AK18" si="14">_xlfn.RRI(YEARFRAC($S18,AC$10,3),$R18,AC$9)</f>
        <v>2.1939236110825933E-2</v>
      </c>
      <c r="AD18" s="967">
        <f t="shared" si="14"/>
        <v>2.0970484058202343E-2</v>
      </c>
      <c r="AE18" s="967">
        <f t="shared" si="14"/>
        <v>2.0647182024824628E-2</v>
      </c>
      <c r="AF18" s="967">
        <f t="shared" si="14"/>
        <v>2.0485458792603328E-2</v>
      </c>
      <c r="AG18" s="967">
        <f t="shared" si="14"/>
        <v>2.0377129301152541E-2</v>
      </c>
      <c r="AH18" s="967">
        <f t="shared" si="14"/>
        <v>2.0314322092256587E-2</v>
      </c>
      <c r="AI18" s="967">
        <f t="shared" si="14"/>
        <v>2.0269448132255619E-2</v>
      </c>
      <c r="AJ18" s="967">
        <f t="shared" si="14"/>
        <v>2.023578627920597E-2</v>
      </c>
      <c r="AK18" s="968">
        <f t="shared" si="14"/>
        <v>2.0203392906347206E-2</v>
      </c>
    </row>
    <row r="19" spans="2:37" ht="15.75">
      <c r="B19" s="627">
        <v>21855</v>
      </c>
      <c r="C19" s="1258">
        <v>22.984999999999999</v>
      </c>
      <c r="D19" s="1473">
        <f t="shared" si="0"/>
        <v>21.7320825779838</v>
      </c>
      <c r="E19" s="1246"/>
      <c r="F19" s="1246"/>
      <c r="G19" s="1238"/>
      <c r="H19" s="1242">
        <v>44562</v>
      </c>
      <c r="I19" s="1231">
        <v>0.188</v>
      </c>
      <c r="K19" s="76">
        <v>42917</v>
      </c>
      <c r="L19" s="77">
        <v>-8.8000000000000005E-3</v>
      </c>
      <c r="M19" s="77">
        <v>4.1200000000000001E-2</v>
      </c>
      <c r="O19" s="145">
        <v>26846</v>
      </c>
      <c r="P19" s="850">
        <f t="shared" si="2"/>
        <v>35.362000000000002</v>
      </c>
      <c r="Q19"/>
      <c r="R19" s="965">
        <f t="shared" si="6"/>
        <v>148.15313417399042</v>
      </c>
      <c r="S19" s="1187">
        <v>46935</v>
      </c>
      <c r="T19" s="966"/>
      <c r="U19" s="967"/>
      <c r="V19" s="967"/>
      <c r="W19" s="967"/>
      <c r="X19" s="967"/>
      <c r="Y19" s="967"/>
      <c r="Z19" s="967"/>
      <c r="AA19" s="967"/>
      <c r="AB19" s="967"/>
      <c r="AC19" s="967"/>
      <c r="AD19" s="967">
        <f t="shared" ref="AD19:AK19" si="15">_xlfn.RRI(YEARFRAC($S19,AD$10,3),$R19,AD$9)</f>
        <v>2.0000000000000018E-2</v>
      </c>
      <c r="AE19" s="967">
        <f t="shared" si="15"/>
        <v>2.0000000000000018E-2</v>
      </c>
      <c r="AF19" s="967">
        <f t="shared" si="15"/>
        <v>2.0000000000000018E-2</v>
      </c>
      <c r="AG19" s="967">
        <f t="shared" si="15"/>
        <v>1.9986174850818106E-2</v>
      </c>
      <c r="AH19" s="967">
        <f t="shared" si="15"/>
        <v>1.9988938351414465E-2</v>
      </c>
      <c r="AI19" s="967">
        <f t="shared" si="15"/>
        <v>1.999078110973862E-2</v>
      </c>
      <c r="AJ19" s="967">
        <f t="shared" si="15"/>
        <v>1.9992097573709788E-2</v>
      </c>
      <c r="AK19" s="968">
        <f t="shared" si="15"/>
        <v>1.9986174850818106E-2</v>
      </c>
    </row>
    <row r="20" spans="2:37" ht="15.75">
      <c r="B20" s="627">
        <v>21885</v>
      </c>
      <c r="C20" s="1258">
        <v>22.901</v>
      </c>
      <c r="D20" s="1473">
        <f t="shared" si="0"/>
        <v>21.6526614365198</v>
      </c>
      <c r="E20" s="1246"/>
      <c r="F20" s="1246"/>
      <c r="G20" s="1238"/>
      <c r="H20" s="1247"/>
      <c r="I20" s="1232"/>
      <c r="K20" s="76">
        <v>43101</v>
      </c>
      <c r="L20" s="77">
        <v>-8.8000000000000005E-3</v>
      </c>
      <c r="M20" s="77">
        <v>4.1200000000000001E-2</v>
      </c>
      <c r="O20" s="145">
        <v>27211</v>
      </c>
      <c r="P20" s="850">
        <f t="shared" si="2"/>
        <v>37.802999999999997</v>
      </c>
      <c r="Q20"/>
      <c r="R20" s="965">
        <f t="shared" si="6"/>
        <v>151.11619685747024</v>
      </c>
      <c r="S20" s="1187">
        <v>47300</v>
      </c>
      <c r="T20" s="966"/>
      <c r="U20" s="967"/>
      <c r="V20" s="967"/>
      <c r="W20" s="967"/>
      <c r="X20" s="967"/>
      <c r="Y20" s="967"/>
      <c r="Z20" s="967"/>
      <c r="AA20" s="967"/>
      <c r="AB20" s="967"/>
      <c r="AC20" s="967"/>
      <c r="AD20" s="967"/>
      <c r="AE20" s="967">
        <f t="shared" ref="AE20:AK20" si="16">_xlfn.RRI(YEARFRAC($S20,AE$10,3),$R20,AE$9)</f>
        <v>2.0000000000000018E-2</v>
      </c>
      <c r="AF20" s="967">
        <f t="shared" si="16"/>
        <v>1.9999999999999796E-2</v>
      </c>
      <c r="AG20" s="967">
        <f t="shared" si="16"/>
        <v>1.9981570714080688E-2</v>
      </c>
      <c r="AH20" s="967">
        <f t="shared" si="16"/>
        <v>1.9986174850818106E-2</v>
      </c>
      <c r="AI20" s="967">
        <f t="shared" si="16"/>
        <v>1.9988938351414465E-2</v>
      </c>
      <c r="AJ20" s="967">
        <f t="shared" si="16"/>
        <v>1.9990781109738398E-2</v>
      </c>
      <c r="AK20" s="968">
        <f t="shared" si="16"/>
        <v>1.9984201389585676E-2</v>
      </c>
    </row>
    <row r="21" spans="2:37" ht="15.75">
      <c r="B21" s="627">
        <v>21916</v>
      </c>
      <c r="C21" s="1258">
        <v>22.984999999999999</v>
      </c>
      <c r="D21" s="1473">
        <f t="shared" si="0"/>
        <v>21.7320825779838</v>
      </c>
      <c r="E21" s="1246"/>
      <c r="F21" s="1246"/>
      <c r="G21" s="1238"/>
      <c r="H21" s="1247"/>
      <c r="I21" s="1232"/>
      <c r="K21" s="76">
        <v>43282</v>
      </c>
      <c r="L21" s="77">
        <v>-8.8000000000000005E-3</v>
      </c>
      <c r="M21" s="77">
        <v>4.1200000000000001E-2</v>
      </c>
      <c r="O21" s="145">
        <v>27576</v>
      </c>
      <c r="P21" s="850">
        <f t="shared" si="2"/>
        <v>40.161000000000001</v>
      </c>
      <c r="Q21"/>
      <c r="R21" s="965">
        <f t="shared" si="6"/>
        <v>154.13852079461964</v>
      </c>
      <c r="S21" s="1187">
        <v>47665</v>
      </c>
      <c r="T21" s="966"/>
      <c r="U21" s="967"/>
      <c r="V21" s="967"/>
      <c r="W21" s="967"/>
      <c r="X21" s="967"/>
      <c r="Y21" s="967"/>
      <c r="Z21" s="967"/>
      <c r="AA21" s="967"/>
      <c r="AB21" s="967"/>
      <c r="AC21" s="967"/>
      <c r="AD21" s="967"/>
      <c r="AE21" s="967"/>
      <c r="AF21" s="967">
        <f t="shared" ref="AF21:AK21" si="17">_xlfn.RRI(YEARFRAC($S21,AF$10,3),$R21,AF$9)</f>
        <v>2.0000000000000018E-2</v>
      </c>
      <c r="AG21" s="967">
        <f t="shared" si="17"/>
        <v>1.9972368801291607E-2</v>
      </c>
      <c r="AH21" s="967">
        <f t="shared" si="17"/>
        <v>1.998157071408091E-2</v>
      </c>
      <c r="AI21" s="967">
        <f t="shared" si="17"/>
        <v>1.9986174850818106E-2</v>
      </c>
      <c r="AJ21" s="967">
        <f t="shared" si="17"/>
        <v>1.9988938351414465E-2</v>
      </c>
      <c r="AK21" s="968">
        <f t="shared" si="17"/>
        <v>1.998157071408091E-2</v>
      </c>
    </row>
    <row r="22" spans="2:37" ht="15.75">
      <c r="B22" s="627">
        <v>21947</v>
      </c>
      <c r="C22" s="1258">
        <v>23.068999999999999</v>
      </c>
      <c r="D22" s="1473">
        <f t="shared" si="0"/>
        <v>21.811503719447799</v>
      </c>
      <c r="E22" s="1246"/>
      <c r="F22" s="1246"/>
      <c r="G22" s="1238"/>
      <c r="H22" s="1247"/>
      <c r="I22" s="1232"/>
      <c r="K22" s="76">
        <v>43466</v>
      </c>
      <c r="L22" s="77">
        <v>-8.8000000000000005E-3</v>
      </c>
      <c r="M22" s="77">
        <v>4.1200000000000001E-2</v>
      </c>
      <c r="O22" s="145">
        <v>27942</v>
      </c>
      <c r="P22" s="850">
        <f t="shared" si="2"/>
        <v>41.676000000000002</v>
      </c>
      <c r="Q22"/>
      <c r="R22" s="965">
        <f t="shared" si="6"/>
        <v>157.22129121051202</v>
      </c>
      <c r="S22" s="1187">
        <v>48030</v>
      </c>
      <c r="T22" s="966"/>
      <c r="U22" s="967"/>
      <c r="V22" s="967"/>
      <c r="W22" s="967"/>
      <c r="X22" s="967"/>
      <c r="Y22" s="967"/>
      <c r="Z22" s="967"/>
      <c r="AA22" s="967"/>
      <c r="AB22" s="967"/>
      <c r="AC22" s="967"/>
      <c r="AD22" s="967"/>
      <c r="AE22" s="967"/>
      <c r="AF22" s="967"/>
      <c r="AG22" s="967">
        <f>_xlfn.RRI(YEARFRAC($S22,AG$10,3),$R22,AG$9)</f>
        <v>1.9944813843109976E-2</v>
      </c>
      <c r="AH22" s="967">
        <f>_xlfn.RRI(YEARFRAC($S22,AH$10,3),$R22,AH$9)</f>
        <v>1.9972368801291829E-2</v>
      </c>
      <c r="AI22" s="967">
        <f>_xlfn.RRI(YEARFRAC($S22,AI$10,3),$R22,AI$9)</f>
        <v>1.998157071408091E-2</v>
      </c>
      <c r="AJ22" s="967">
        <f>_xlfn.RRI(YEARFRAC($S22,AJ$10,3),$R22,AJ$9)</f>
        <v>1.9986174850818106E-2</v>
      </c>
      <c r="AK22" s="968">
        <f>_xlfn.RRI(YEARFRAC($S22,AK$10,3),$R22,AK$9)</f>
        <v>1.997788893167729E-2</v>
      </c>
    </row>
    <row r="23" spans="2:37" ht="15.75">
      <c r="B23" s="627">
        <v>21976</v>
      </c>
      <c r="C23" s="1258">
        <v>22.984999999999999</v>
      </c>
      <c r="D23" s="1473">
        <f t="shared" si="0"/>
        <v>21.7320825779838</v>
      </c>
      <c r="E23" s="1246"/>
      <c r="F23" s="1246"/>
      <c r="G23" s="1238"/>
      <c r="H23" s="1247"/>
      <c r="I23" s="1232"/>
      <c r="K23" s="148">
        <v>44927</v>
      </c>
      <c r="L23" s="77">
        <v>1.6199999999999999E-2</v>
      </c>
      <c r="M23" s="77">
        <f>5%+L23</f>
        <v>6.6200000000000009E-2</v>
      </c>
      <c r="O23" s="145">
        <v>28307</v>
      </c>
      <c r="P23" s="850">
        <f t="shared" si="2"/>
        <v>43.276000000000003</v>
      </c>
      <c r="Q23"/>
      <c r="R23" s="965">
        <f t="shared" si="6"/>
        <v>160.36571703472225</v>
      </c>
      <c r="S23" s="1187">
        <v>48396</v>
      </c>
      <c r="T23" s="966"/>
      <c r="U23" s="967"/>
      <c r="V23" s="967"/>
      <c r="W23" s="967"/>
      <c r="X23" s="967"/>
      <c r="Y23" s="967"/>
      <c r="Z23" s="967"/>
      <c r="AA23" s="967"/>
      <c r="AB23" s="967"/>
      <c r="AC23" s="967"/>
      <c r="AD23" s="967"/>
      <c r="AE23" s="967"/>
      <c r="AF23" s="967"/>
      <c r="AG23" s="967"/>
      <c r="AH23" s="967">
        <f>_xlfn.RRI(YEARFRAC($S23,AH$10,3),$R23,AH$9)</f>
        <v>2.0000000000000018E-2</v>
      </c>
      <c r="AI23" s="967">
        <f>_xlfn.RRI(YEARFRAC($S23,AI$10,3),$R23,AI$9)</f>
        <v>2.0000000000000018E-2</v>
      </c>
      <c r="AJ23" s="967">
        <f>_xlfn.RRI(YEARFRAC($S23,AJ$10,3),$R23,AJ$9)</f>
        <v>2.0000000000000018E-2</v>
      </c>
      <c r="AK23" s="968">
        <f>_xlfn.RRI(YEARFRAC($S23,AK$10,3),$R23,AK$9)</f>
        <v>1.9986174850818106E-2</v>
      </c>
    </row>
    <row r="24" spans="2:37" ht="15.75">
      <c r="B24" s="627">
        <v>22007</v>
      </c>
      <c r="C24" s="1258">
        <v>22.984999999999999</v>
      </c>
      <c r="D24" s="1473">
        <f t="shared" si="0"/>
        <v>21.7320825779838</v>
      </c>
      <c r="E24" s="1246"/>
      <c r="F24" s="1246"/>
      <c r="G24" s="1238"/>
      <c r="H24" s="1247"/>
      <c r="I24" s="1232"/>
      <c r="K24" s="621"/>
      <c r="L24" s="621"/>
      <c r="M24" s="621"/>
      <c r="O24" s="145">
        <v>28672</v>
      </c>
      <c r="P24" s="850">
        <f t="shared" si="2"/>
        <v>44.454999999999998</v>
      </c>
      <c r="Q24"/>
      <c r="R24" s="965">
        <f t="shared" si="6"/>
        <v>163.57303137541669</v>
      </c>
      <c r="S24" s="1187">
        <v>48761</v>
      </c>
      <c r="T24" s="966"/>
      <c r="U24" s="967"/>
      <c r="V24" s="967"/>
      <c r="W24" s="967"/>
      <c r="X24" s="967"/>
      <c r="Y24" s="967"/>
      <c r="Z24" s="967"/>
      <c r="AA24" s="967"/>
      <c r="AB24" s="967"/>
      <c r="AC24" s="967"/>
      <c r="AD24" s="967"/>
      <c r="AE24" s="967"/>
      <c r="AF24" s="967"/>
      <c r="AG24" s="967"/>
      <c r="AH24" s="967"/>
      <c r="AI24" s="967">
        <f>_xlfn.RRI(YEARFRAC($S24,AI$10,3),$R24,AI$9)</f>
        <v>2.0000000000000018E-2</v>
      </c>
      <c r="AJ24" s="967">
        <f>_xlfn.RRI(YEARFRAC($S24,AJ$10,3),$R24,AJ$9)</f>
        <v>2.0000000000000018E-2</v>
      </c>
      <c r="AK24" s="968">
        <f>_xlfn.RRI(YEARFRAC($S24,AK$10,3),$R24,AK$9)</f>
        <v>1.998157071408091E-2</v>
      </c>
    </row>
    <row r="25" spans="2:37" ht="15.75">
      <c r="B25" s="627">
        <v>22037</v>
      </c>
      <c r="C25" s="1258">
        <v>22.984999999999999</v>
      </c>
      <c r="D25" s="1473">
        <f t="shared" si="0"/>
        <v>21.7320825779838</v>
      </c>
      <c r="E25" s="1246"/>
      <c r="F25" s="1246"/>
      <c r="G25" s="1238"/>
      <c r="H25" s="1247"/>
      <c r="I25" s="1232"/>
      <c r="L25"/>
      <c r="O25" s="145">
        <v>29037</v>
      </c>
      <c r="P25" s="850">
        <f t="shared" si="2"/>
        <v>46.475000000000001</v>
      </c>
      <c r="Q25"/>
      <c r="R25" s="965">
        <f t="shared" si="6"/>
        <v>166.84449200292502</v>
      </c>
      <c r="S25" s="1187">
        <v>49126</v>
      </c>
      <c r="T25" s="966"/>
      <c r="U25" s="967"/>
      <c r="V25" s="967"/>
      <c r="W25" s="967"/>
      <c r="X25" s="967"/>
      <c r="Y25" s="967"/>
      <c r="Z25" s="967"/>
      <c r="AA25" s="967"/>
      <c r="AB25" s="967"/>
      <c r="AC25" s="967"/>
      <c r="AD25" s="967"/>
      <c r="AE25" s="967"/>
      <c r="AF25" s="967"/>
      <c r="AG25" s="967"/>
      <c r="AH25" s="967"/>
      <c r="AI25" s="967"/>
      <c r="AJ25" s="967">
        <f>_xlfn.RRI(YEARFRAC($S25,AJ$10,3),$R25,AJ$9)</f>
        <v>2.0000000000000018E-2</v>
      </c>
      <c r="AK25" s="968">
        <f>_xlfn.RRI(YEARFRAC($S25,AK$10,3),$R25,AK$9)</f>
        <v>1.9972368801291829E-2</v>
      </c>
    </row>
    <row r="26" spans="2:37" ht="15.75">
      <c r="B26" s="627">
        <v>22068</v>
      </c>
      <c r="C26" s="1258">
        <v>22.817</v>
      </c>
      <c r="D26" s="1473">
        <f t="shared" si="0"/>
        <v>21.573240295055701</v>
      </c>
      <c r="L26"/>
      <c r="O26" s="145">
        <v>29403</v>
      </c>
      <c r="P26" s="850">
        <f t="shared" si="2"/>
        <v>48.832999999999998</v>
      </c>
      <c r="Q26"/>
      <c r="R26" s="965">
        <f t="shared" si="6"/>
        <v>170.18138184298351</v>
      </c>
      <c r="S26" s="1187">
        <v>49491</v>
      </c>
      <c r="T26" s="966"/>
      <c r="U26" s="967"/>
      <c r="V26" s="967"/>
      <c r="W26" s="967"/>
      <c r="X26" s="967"/>
      <c r="Y26" s="967"/>
      <c r="Z26" s="967"/>
      <c r="AA26" s="967"/>
      <c r="AB26" s="967"/>
      <c r="AC26" s="967"/>
      <c r="AD26" s="967"/>
      <c r="AE26" s="967"/>
      <c r="AF26" s="967"/>
      <c r="AG26" s="967"/>
      <c r="AH26" s="967"/>
      <c r="AI26" s="967"/>
      <c r="AJ26" s="967"/>
      <c r="AK26" s="968">
        <f>_xlfn.RRI(YEARFRAC($S26,AK$10,3),$R26,AK$9)</f>
        <v>1.9944813843109976E-2</v>
      </c>
    </row>
    <row r="27" spans="2:37" ht="16.5" thickBot="1">
      <c r="B27" s="627">
        <v>22098</v>
      </c>
      <c r="C27" s="1258">
        <v>22.901</v>
      </c>
      <c r="D27" s="1473">
        <f t="shared" si="0"/>
        <v>21.652661436519701</v>
      </c>
      <c r="L27"/>
      <c r="O27" s="145">
        <v>29768</v>
      </c>
      <c r="P27" s="850">
        <f t="shared" si="2"/>
        <v>52.031999999999996</v>
      </c>
      <c r="Q27"/>
      <c r="R27" s="965">
        <f t="shared" si="6"/>
        <v>173.58500947984319</v>
      </c>
      <c r="S27" s="1188">
        <v>49857</v>
      </c>
      <c r="T27" s="969"/>
      <c r="U27" s="970"/>
      <c r="V27" s="970"/>
      <c r="W27" s="970"/>
      <c r="X27" s="970"/>
      <c r="Y27" s="970"/>
      <c r="Z27" s="970"/>
      <c r="AA27" s="970"/>
      <c r="AB27" s="970"/>
      <c r="AC27" s="970"/>
      <c r="AD27" s="970"/>
      <c r="AE27" s="970"/>
      <c r="AF27" s="970"/>
      <c r="AG27" s="970"/>
      <c r="AH27" s="970"/>
      <c r="AI27" s="970"/>
      <c r="AJ27" s="970"/>
      <c r="AK27" s="971"/>
    </row>
    <row r="28" spans="2:37" ht="16.5" thickBot="1">
      <c r="B28" s="627">
        <v>22129</v>
      </c>
      <c r="C28" s="1258">
        <v>22.817</v>
      </c>
      <c r="D28" s="1473">
        <f t="shared" si="0"/>
        <v>21.573240295055701</v>
      </c>
      <c r="L28"/>
      <c r="O28" s="145">
        <v>30133</v>
      </c>
      <c r="P28" s="850">
        <f t="shared" si="2"/>
        <v>54.811</v>
      </c>
      <c r="Q28"/>
      <c r="R28" s="965">
        <f>AK9</f>
        <v>173.58500947984319</v>
      </c>
      <c r="T28" s="1184"/>
      <c r="U28" s="1185"/>
      <c r="V28" s="1185"/>
      <c r="W28" s="1185"/>
      <c r="X28" s="1185"/>
      <c r="Y28" s="1185"/>
      <c r="Z28" s="1185"/>
      <c r="AA28" s="1185"/>
      <c r="AB28" s="1185"/>
      <c r="AC28" s="1185"/>
      <c r="AD28" s="1185"/>
      <c r="AE28" s="1185"/>
      <c r="AF28" s="1185"/>
      <c r="AG28" s="1185"/>
      <c r="AH28" s="1185"/>
      <c r="AI28" s="1185"/>
      <c r="AJ28" s="1185"/>
      <c r="AK28" s="1186"/>
    </row>
    <row r="29" spans="2:37" ht="15.75">
      <c r="B29" s="627">
        <v>22160</v>
      </c>
      <c r="C29" s="1258">
        <v>22.901</v>
      </c>
      <c r="D29" s="1473">
        <f t="shared" si="0"/>
        <v>21.652661436519701</v>
      </c>
      <c r="E29" s="2274"/>
      <c r="F29" s="2274"/>
      <c r="G29" s="2274"/>
      <c r="L29"/>
      <c r="O29" s="145">
        <v>30498</v>
      </c>
      <c r="P29" s="850">
        <f t="shared" si="2"/>
        <v>56.326000000000001</v>
      </c>
      <c r="Q29"/>
      <c r="S29" s="58"/>
    </row>
    <row r="30" spans="2:37" ht="15.75">
      <c r="B30" s="627">
        <v>22190</v>
      </c>
      <c r="C30" s="1258">
        <v>22.984999999999999</v>
      </c>
      <c r="D30" s="1473">
        <f t="shared" si="0"/>
        <v>21.7320825779837</v>
      </c>
      <c r="L30" s="149"/>
      <c r="O30" s="145">
        <v>30864</v>
      </c>
      <c r="P30" s="850">
        <f t="shared" si="2"/>
        <v>57.588999999999999</v>
      </c>
      <c r="Q30"/>
      <c r="S30" s="58"/>
    </row>
    <row r="31" spans="2:37" ht="15.75">
      <c r="B31" s="627">
        <v>22221</v>
      </c>
      <c r="C31" s="1258">
        <v>23.152999999999999</v>
      </c>
      <c r="D31" s="1473">
        <f t="shared" si="0"/>
        <v>21.890924860911699</v>
      </c>
      <c r="L31"/>
      <c r="O31" s="145">
        <v>31229</v>
      </c>
      <c r="P31" s="850">
        <f t="shared" si="2"/>
        <v>58.768000000000001</v>
      </c>
      <c r="Q31"/>
      <c r="S31" s="58"/>
    </row>
    <row r="32" spans="2:37" ht="15.75">
      <c r="B32" s="627">
        <v>22251</v>
      </c>
      <c r="C32" s="1258">
        <v>23.152999999999999</v>
      </c>
      <c r="D32" s="1473">
        <f t="shared" si="0"/>
        <v>21.890924860911699</v>
      </c>
      <c r="L32"/>
      <c r="O32" s="145">
        <v>31594</v>
      </c>
      <c r="P32" s="850">
        <f t="shared" si="2"/>
        <v>58.598999999999997</v>
      </c>
      <c r="Q32" s="149">
        <f>PV(5.5%,2,,200000)</f>
        <v>-179690.48314278657</v>
      </c>
      <c r="S32" s="58"/>
    </row>
    <row r="33" spans="2:57" ht="15.75">
      <c r="B33" s="627">
        <v>22282</v>
      </c>
      <c r="C33" s="1258">
        <v>23.321999999999999</v>
      </c>
      <c r="D33" s="1473">
        <f t="shared" si="0"/>
        <v>22.050712633619099</v>
      </c>
      <c r="L33"/>
      <c r="O33" s="145">
        <v>31959</v>
      </c>
      <c r="P33" s="850">
        <f t="shared" si="2"/>
        <v>58.936</v>
      </c>
      <c r="Q33"/>
    </row>
    <row r="34" spans="2:57" ht="15.75">
      <c r="B34" s="627">
        <v>22313</v>
      </c>
      <c r="C34" s="1258">
        <v>23.49</v>
      </c>
      <c r="D34" s="1473">
        <f t="shared" si="0"/>
        <v>22.209554916547201</v>
      </c>
      <c r="L34"/>
      <c r="O34" s="145">
        <v>32325</v>
      </c>
      <c r="P34" s="850">
        <f t="shared" si="2"/>
        <v>59.61</v>
      </c>
      <c r="Q34"/>
    </row>
    <row r="35" spans="2:57" ht="15.75">
      <c r="B35" s="627">
        <v>22341</v>
      </c>
      <c r="C35" s="1258">
        <v>23.405999999999999</v>
      </c>
      <c r="D35" s="1473">
        <f t="shared" si="0"/>
        <v>22.130133775083198</v>
      </c>
      <c r="L35"/>
      <c r="O35" s="145">
        <v>32690</v>
      </c>
      <c r="P35" s="850">
        <f t="shared" si="2"/>
        <v>61.292999999999999</v>
      </c>
      <c r="Q35"/>
    </row>
    <row r="36" spans="2:57" ht="15.75">
      <c r="B36" s="627">
        <v>22372</v>
      </c>
      <c r="C36" s="1258">
        <v>23.405999999999999</v>
      </c>
      <c r="D36" s="1473">
        <f t="shared" si="0"/>
        <v>22.130133775083198</v>
      </c>
      <c r="L36"/>
      <c r="O36" s="145">
        <v>33055</v>
      </c>
      <c r="P36" s="850">
        <f t="shared" ref="P36:P67" si="18">VLOOKUP(O36,VPI,2)</f>
        <v>62.725000000000001</v>
      </c>
      <c r="Q36"/>
    </row>
    <row r="37" spans="2:57" ht="15.75">
      <c r="B37" s="627">
        <v>22402</v>
      </c>
      <c r="C37" s="1258">
        <v>23.405999999999999</v>
      </c>
      <c r="D37" s="1473">
        <f t="shared" si="0"/>
        <v>22.130133775083198</v>
      </c>
      <c r="L37"/>
      <c r="O37" s="145">
        <v>33420</v>
      </c>
      <c r="P37" s="850">
        <f t="shared" si="18"/>
        <v>65.852999999999994</v>
      </c>
      <c r="Q37"/>
    </row>
    <row r="38" spans="2:57" ht="15.75">
      <c r="B38" s="627">
        <v>22433</v>
      </c>
      <c r="C38" s="1258">
        <v>23.405999999999999</v>
      </c>
      <c r="D38" s="1473">
        <f t="shared" si="0"/>
        <v>22.130133775083198</v>
      </c>
      <c r="L38"/>
      <c r="O38" s="145">
        <v>33786</v>
      </c>
      <c r="P38" s="850">
        <f t="shared" si="18"/>
        <v>69.117999999999995</v>
      </c>
      <c r="Q38"/>
    </row>
    <row r="39" spans="2:57" ht="15.75">
      <c r="B39" s="627">
        <v>22463</v>
      </c>
      <c r="C39" s="1258">
        <v>23.49</v>
      </c>
      <c r="D39" s="1473">
        <f t="shared" si="0"/>
        <v>22.209554916547201</v>
      </c>
      <c r="L39"/>
      <c r="O39" s="145">
        <v>34151</v>
      </c>
      <c r="P39" s="850">
        <f t="shared" si="18"/>
        <v>72.289000000000001</v>
      </c>
      <c r="Q39"/>
    </row>
    <row r="40" spans="2:57" ht="15.75">
      <c r="B40" s="627">
        <v>22494</v>
      </c>
      <c r="C40" s="1258">
        <v>23.49</v>
      </c>
      <c r="D40" s="1473">
        <f t="shared" si="0"/>
        <v>22.209554916547201</v>
      </c>
      <c r="L40"/>
      <c r="O40" s="145">
        <v>34516</v>
      </c>
      <c r="P40" s="850">
        <f t="shared" si="18"/>
        <v>74.061999999999998</v>
      </c>
      <c r="Q40"/>
    </row>
    <row r="41" spans="2:57" ht="15.75">
      <c r="B41" s="627">
        <v>22525</v>
      </c>
      <c r="C41" s="1258">
        <v>23.574000000000002</v>
      </c>
      <c r="D41" s="1473">
        <f t="shared" si="0"/>
        <v>22.288976058011201</v>
      </c>
      <c r="L41"/>
      <c r="O41" s="145">
        <v>34881</v>
      </c>
      <c r="P41" s="850">
        <f t="shared" si="18"/>
        <v>75.274000000000001</v>
      </c>
      <c r="Q41"/>
    </row>
    <row r="42" spans="2:57" ht="15.75">
      <c r="B42" s="627">
        <v>22555</v>
      </c>
      <c r="C42" s="1258">
        <v>23.574000000000002</v>
      </c>
      <c r="D42" s="1473">
        <f t="shared" si="0"/>
        <v>22.288976058011201</v>
      </c>
      <c r="L42"/>
      <c r="O42" s="145">
        <v>35247</v>
      </c>
      <c r="P42" s="850">
        <f t="shared" si="18"/>
        <v>76.3</v>
      </c>
      <c r="Q42"/>
    </row>
    <row r="43" spans="2:57" ht="15.75">
      <c r="B43" s="627">
        <v>22586</v>
      </c>
      <c r="C43" s="1258">
        <v>23.742999999999999</v>
      </c>
      <c r="D43" s="1473">
        <f t="shared" si="0"/>
        <v>22.448763830718601</v>
      </c>
      <c r="L43"/>
      <c r="O43" s="145">
        <v>35612</v>
      </c>
      <c r="P43" s="850">
        <f t="shared" si="18"/>
        <v>78.072000000000003</v>
      </c>
      <c r="Q43"/>
      <c r="S43" s="58"/>
      <c r="U43" s="905"/>
      <c r="V43" s="905"/>
      <c r="W43" s="905"/>
      <c r="X43" s="905"/>
      <c r="Y43" s="905"/>
      <c r="Z43" s="905"/>
      <c r="AA43" s="905"/>
      <c r="AB43" s="905"/>
      <c r="AC43" s="905"/>
      <c r="AD43" s="905"/>
      <c r="AE43" s="905"/>
      <c r="AF43" s="905"/>
      <c r="AG43" s="905"/>
      <c r="AH43" s="905"/>
      <c r="AI43" s="905"/>
      <c r="AJ43" s="905"/>
      <c r="AK43" s="905"/>
      <c r="AL43" s="905"/>
      <c r="AM43" s="905"/>
      <c r="AN43" s="905"/>
      <c r="AO43" s="905"/>
      <c r="AP43" s="905"/>
      <c r="AQ43" s="905"/>
      <c r="AR43" s="905"/>
      <c r="AS43" s="905"/>
      <c r="AT43" s="905"/>
      <c r="AU43" s="905"/>
      <c r="AV43" s="905"/>
      <c r="AW43" s="905"/>
      <c r="AX43" s="905"/>
      <c r="AY43" s="905"/>
      <c r="AZ43" s="905"/>
      <c r="BA43" s="905"/>
      <c r="BB43" s="905"/>
      <c r="BC43" s="905"/>
      <c r="BD43" s="905"/>
      <c r="BE43" s="905"/>
    </row>
    <row r="44" spans="2:57" ht="15.75">
      <c r="B44" s="627">
        <v>22616</v>
      </c>
      <c r="C44" s="1258">
        <v>23.827000000000002</v>
      </c>
      <c r="D44" s="1473">
        <f t="shared" si="0"/>
        <v>22.528184972182601</v>
      </c>
      <c r="L44"/>
      <c r="O44" s="145">
        <v>35977</v>
      </c>
      <c r="P44" s="850">
        <f t="shared" si="18"/>
        <v>78.724999999999994</v>
      </c>
      <c r="Q44"/>
      <c r="S44" s="906"/>
      <c r="T44" s="906"/>
      <c r="U44" s="906"/>
      <c r="V44" s="906"/>
      <c r="W44" s="906"/>
      <c r="X44" s="906"/>
      <c r="Y44" s="906"/>
      <c r="Z44" s="906"/>
      <c r="AA44" s="906"/>
      <c r="AB44" s="906"/>
      <c r="AC44" s="906"/>
      <c r="AD44" s="906"/>
      <c r="AE44" s="906"/>
      <c r="AF44" s="906"/>
      <c r="AG44" s="906"/>
      <c r="AH44" s="906"/>
      <c r="AI44" s="906"/>
      <c r="AJ44" s="906"/>
      <c r="AK44" s="906"/>
      <c r="AL44" s="906"/>
      <c r="AM44" s="906"/>
      <c r="AN44" s="906"/>
      <c r="AO44" s="906"/>
      <c r="AP44" s="906"/>
      <c r="AQ44" s="906"/>
      <c r="AR44" s="906"/>
      <c r="AS44" s="906"/>
      <c r="AT44" s="906"/>
      <c r="AU44" s="906"/>
      <c r="AV44" s="906"/>
      <c r="AW44" s="906"/>
      <c r="AX44" s="906"/>
      <c r="AY44" s="906"/>
      <c r="AZ44" s="906"/>
      <c r="BA44" s="906"/>
      <c r="BB44" s="906"/>
      <c r="BC44" s="906"/>
      <c r="BD44" s="906"/>
      <c r="BE44" s="906"/>
    </row>
    <row r="45" spans="2:57" ht="15.75">
      <c r="B45" s="627">
        <v>22647</v>
      </c>
      <c r="C45" s="1258">
        <v>23.995000000000001</v>
      </c>
      <c r="D45" s="1473">
        <f t="shared" si="0"/>
        <v>22.687027255110699</v>
      </c>
      <c r="L45"/>
      <c r="O45" s="145">
        <v>36342</v>
      </c>
      <c r="P45" s="850">
        <f t="shared" si="18"/>
        <v>79.191999999999993</v>
      </c>
      <c r="Q45"/>
      <c r="S45" s="907"/>
      <c r="T45" s="907"/>
      <c r="U45" s="906"/>
      <c r="V45" s="906"/>
      <c r="W45" s="906"/>
      <c r="X45" s="906"/>
      <c r="Y45" s="906"/>
      <c r="Z45" s="906"/>
      <c r="AA45" s="906"/>
      <c r="AB45" s="906"/>
      <c r="AC45" s="906"/>
      <c r="AD45" s="906"/>
      <c r="AE45" s="906"/>
      <c r="AF45" s="906"/>
      <c r="AG45" s="906"/>
      <c r="AH45" s="906"/>
      <c r="AI45" s="906"/>
      <c r="AJ45" s="906"/>
      <c r="AK45" s="906"/>
      <c r="AL45" s="906"/>
      <c r="AM45" s="906"/>
      <c r="AN45" s="906"/>
      <c r="AO45" s="906"/>
      <c r="AP45" s="906"/>
      <c r="AQ45" s="906"/>
      <c r="AR45" s="906"/>
      <c r="AS45" s="906"/>
      <c r="AT45" s="906"/>
      <c r="AU45" s="906"/>
      <c r="AV45" s="906"/>
      <c r="AW45" s="906"/>
      <c r="AX45" s="906"/>
      <c r="AY45" s="906"/>
      <c r="AZ45" s="906"/>
      <c r="BA45" s="906"/>
      <c r="BB45" s="906"/>
      <c r="BC45" s="906"/>
      <c r="BD45" s="906"/>
      <c r="BE45" s="906"/>
    </row>
    <row r="46" spans="2:57" ht="15.75">
      <c r="B46" s="627">
        <v>22678</v>
      </c>
      <c r="C46" s="1258">
        <v>24.164000000000001</v>
      </c>
      <c r="D46" s="1473">
        <f t="shared" si="0"/>
        <v>22.846815027818099</v>
      </c>
      <c r="L46"/>
      <c r="O46" s="145">
        <v>36708</v>
      </c>
      <c r="P46" s="850">
        <f t="shared" si="18"/>
        <v>80.218000000000004</v>
      </c>
      <c r="Q46" s="146"/>
      <c r="U46" s="906"/>
      <c r="V46" s="906"/>
      <c r="W46" s="906"/>
      <c r="X46" s="906"/>
      <c r="Y46" s="906"/>
      <c r="Z46" s="906"/>
      <c r="AA46" s="906"/>
      <c r="AB46" s="906"/>
      <c r="AC46" s="906"/>
      <c r="AD46" s="906"/>
      <c r="AE46" s="906"/>
      <c r="AF46" s="906"/>
      <c r="AG46" s="906"/>
      <c r="AH46" s="906"/>
      <c r="AI46" s="906"/>
      <c r="AJ46" s="906"/>
      <c r="AK46" s="906"/>
      <c r="AL46" s="906"/>
      <c r="AM46" s="906"/>
      <c r="AN46" s="906"/>
      <c r="AO46" s="906"/>
      <c r="AP46" s="906"/>
      <c r="AQ46" s="906"/>
      <c r="AR46" s="906"/>
      <c r="AS46" s="906"/>
      <c r="AT46" s="906"/>
      <c r="AU46" s="906"/>
      <c r="AV46" s="906"/>
      <c r="AW46" s="906"/>
      <c r="AX46" s="906"/>
      <c r="AY46" s="906"/>
      <c r="AZ46" s="906"/>
      <c r="BA46" s="906"/>
      <c r="BB46" s="906"/>
      <c r="BC46" s="906"/>
      <c r="BD46" s="906"/>
      <c r="BE46" s="906"/>
    </row>
    <row r="47" spans="2:57" ht="15.75">
      <c r="B47" s="627">
        <v>22706</v>
      </c>
      <c r="C47" s="1258">
        <v>24.164000000000001</v>
      </c>
      <c r="D47" s="1473">
        <f t="shared" si="0"/>
        <v>22.846815027818099</v>
      </c>
      <c r="L47"/>
      <c r="O47" s="145">
        <v>37073</v>
      </c>
      <c r="P47" s="850">
        <f t="shared" si="18"/>
        <v>81.897000000000006</v>
      </c>
      <c r="Q47" s="146"/>
    </row>
    <row r="48" spans="2:57" ht="15.75">
      <c r="B48" s="627">
        <v>22737</v>
      </c>
      <c r="C48" s="1258">
        <v>24.248000000000001</v>
      </c>
      <c r="D48" s="1473">
        <f t="shared" si="0"/>
        <v>22.926236169282099</v>
      </c>
      <c r="L48"/>
      <c r="O48" s="145">
        <v>37438</v>
      </c>
      <c r="P48" s="850">
        <f t="shared" si="18"/>
        <v>82.83</v>
      </c>
      <c r="Q48" s="146"/>
    </row>
    <row r="49" spans="2:17" ht="15.75">
      <c r="B49" s="627">
        <v>22767</v>
      </c>
      <c r="C49" s="1258">
        <v>24.164000000000001</v>
      </c>
      <c r="D49" s="1473">
        <f t="shared" si="0"/>
        <v>22.846815027818099</v>
      </c>
      <c r="L49"/>
      <c r="O49" s="145">
        <v>37803</v>
      </c>
      <c r="P49" s="850">
        <f t="shared" si="18"/>
        <v>83.668999999999997</v>
      </c>
      <c r="Q49" s="146"/>
    </row>
    <row r="50" spans="2:17" ht="15.75">
      <c r="B50" s="627">
        <v>22798</v>
      </c>
      <c r="C50" s="1258">
        <v>24.164000000000001</v>
      </c>
      <c r="D50" s="1473">
        <f t="shared" si="0"/>
        <v>22.846815027818099</v>
      </c>
      <c r="L50"/>
      <c r="O50" s="145">
        <v>38169</v>
      </c>
      <c r="P50" s="850">
        <f t="shared" si="18"/>
        <v>85.161000000000001</v>
      </c>
      <c r="Q50" s="146"/>
    </row>
    <row r="51" spans="2:17" ht="15.75">
      <c r="B51" s="627">
        <v>22828</v>
      </c>
      <c r="C51" s="1258">
        <v>24.248000000000001</v>
      </c>
      <c r="D51" s="1473">
        <f t="shared" si="0"/>
        <v>22.926236169282099</v>
      </c>
      <c r="L51"/>
      <c r="O51" s="145">
        <v>38534</v>
      </c>
      <c r="P51" s="850">
        <f t="shared" si="18"/>
        <v>86.466999999999999</v>
      </c>
      <c r="Q51" s="146"/>
    </row>
    <row r="52" spans="2:17" ht="15.75">
      <c r="B52" s="627">
        <v>22859</v>
      </c>
      <c r="C52" s="1258">
        <v>24.08</v>
      </c>
      <c r="D52" s="1473">
        <f t="shared" si="0"/>
        <v>22.767393886354</v>
      </c>
      <c r="L52"/>
      <c r="O52" s="145">
        <v>38899</v>
      </c>
      <c r="P52" s="850">
        <f t="shared" si="18"/>
        <v>88.052999999999997</v>
      </c>
      <c r="Q52" s="146"/>
    </row>
    <row r="53" spans="2:17" ht="15.75">
      <c r="B53" s="627">
        <v>22890</v>
      </c>
      <c r="C53" s="1258">
        <v>24.164000000000001</v>
      </c>
      <c r="D53" s="1473">
        <f t="shared" si="0"/>
        <v>22.846815027818</v>
      </c>
      <c r="L53"/>
      <c r="O53" s="145">
        <v>39264</v>
      </c>
      <c r="P53" s="850">
        <f t="shared" si="18"/>
        <v>89.825000000000003</v>
      </c>
      <c r="Q53" s="146"/>
    </row>
    <row r="54" spans="2:17" ht="15.75">
      <c r="B54" s="627">
        <v>22920</v>
      </c>
      <c r="C54" s="1258">
        <v>24.164000000000001</v>
      </c>
      <c r="D54" s="1473">
        <f t="shared" si="0"/>
        <v>22.846815027818</v>
      </c>
      <c r="L54"/>
      <c r="O54" s="145">
        <v>39630</v>
      </c>
      <c r="P54" s="850">
        <f t="shared" si="18"/>
        <v>92.81</v>
      </c>
      <c r="Q54" s="146"/>
    </row>
    <row r="55" spans="2:17" ht="15.75">
      <c r="B55" s="627">
        <v>22951</v>
      </c>
      <c r="C55" s="1258">
        <v>24.332000000000001</v>
      </c>
      <c r="D55" s="1473">
        <f t="shared" si="0"/>
        <v>23.005657310746098</v>
      </c>
      <c r="L55"/>
      <c r="O55" s="145">
        <v>39995</v>
      </c>
      <c r="P55" s="850">
        <f t="shared" si="18"/>
        <v>92.343999999999994</v>
      </c>
      <c r="Q55" s="146"/>
    </row>
    <row r="56" spans="2:17" ht="15.75">
      <c r="B56" s="627">
        <v>22981</v>
      </c>
      <c r="C56" s="1258">
        <v>24.416</v>
      </c>
      <c r="D56" s="1473">
        <f t="shared" si="0"/>
        <v>23.085078452210102</v>
      </c>
      <c r="L56"/>
      <c r="O56" s="145">
        <v>40360</v>
      </c>
      <c r="P56" s="850">
        <f t="shared" si="18"/>
        <v>93.37</v>
      </c>
      <c r="Q56" s="146"/>
    </row>
    <row r="57" spans="2:17" ht="15.75">
      <c r="B57" s="627">
        <v>23012</v>
      </c>
      <c r="C57" s="1258">
        <v>24.669</v>
      </c>
      <c r="D57" s="1473">
        <f t="shared" si="0"/>
        <v>23.324287366381501</v>
      </c>
      <c r="L57"/>
      <c r="O57" s="145">
        <v>40725</v>
      </c>
      <c r="P57" s="850">
        <f t="shared" si="18"/>
        <v>95.328999999999994</v>
      </c>
      <c r="Q57" s="146"/>
    </row>
    <row r="58" spans="2:17" ht="15.75">
      <c r="B58" s="627">
        <v>23043</v>
      </c>
      <c r="C58" s="1258">
        <v>25.006</v>
      </c>
      <c r="D58" s="1473">
        <f t="shared" si="0"/>
        <v>23.6429174220169</v>
      </c>
      <c r="L58"/>
      <c r="O58" s="145">
        <v>41091</v>
      </c>
      <c r="P58" s="850">
        <f t="shared" si="18"/>
        <v>97.100999999999999</v>
      </c>
      <c r="Q58" s="146"/>
    </row>
    <row r="59" spans="2:17" ht="15.75">
      <c r="B59" s="627">
        <v>23071</v>
      </c>
      <c r="C59" s="1258">
        <v>24.922000000000001</v>
      </c>
      <c r="D59" s="1473">
        <f t="shared" si="0"/>
        <v>23.563496280552901</v>
      </c>
      <c r="L59"/>
      <c r="O59" s="145">
        <v>41456</v>
      </c>
      <c r="P59" s="850">
        <f t="shared" si="18"/>
        <v>98.965999999999994</v>
      </c>
      <c r="Q59" s="146"/>
    </row>
    <row r="60" spans="2:17" ht="15.75">
      <c r="B60" s="627">
        <v>23102</v>
      </c>
      <c r="C60" s="1258">
        <v>25.006</v>
      </c>
      <c r="D60" s="1473">
        <f t="shared" si="0"/>
        <v>23.6429174220169</v>
      </c>
      <c r="L60"/>
      <c r="O60" s="145">
        <v>41821</v>
      </c>
      <c r="P60" s="850">
        <f t="shared" si="18"/>
        <v>99.805999999999997</v>
      </c>
      <c r="Q60" s="146"/>
    </row>
    <row r="61" spans="2:17" ht="15.75">
      <c r="B61" s="627">
        <v>23132</v>
      </c>
      <c r="C61" s="1258">
        <v>24.922000000000001</v>
      </c>
      <c r="D61" s="1473">
        <f t="shared" si="0"/>
        <v>23.563496280552901</v>
      </c>
      <c r="L61"/>
      <c r="O61" s="145">
        <v>42186</v>
      </c>
      <c r="P61" s="850">
        <f t="shared" si="18"/>
        <v>100.6</v>
      </c>
      <c r="Q61" s="146"/>
    </row>
    <row r="62" spans="2:17" ht="15.75">
      <c r="B62" s="627">
        <v>23163</v>
      </c>
      <c r="C62" s="1258">
        <v>24.753</v>
      </c>
      <c r="D62" s="1473">
        <f t="shared" si="0"/>
        <v>23.403708507845501</v>
      </c>
      <c r="L62"/>
      <c r="O62" s="145">
        <v>42552</v>
      </c>
      <c r="P62" s="850">
        <f t="shared" si="18"/>
        <v>101.1</v>
      </c>
      <c r="Q62" s="146"/>
    </row>
    <row r="63" spans="2:17" ht="15.75">
      <c r="B63" s="627">
        <v>23193</v>
      </c>
      <c r="C63" s="1258">
        <v>24.753</v>
      </c>
      <c r="D63" s="1473">
        <f t="shared" si="0"/>
        <v>23.403708507845501</v>
      </c>
      <c r="L63"/>
      <c r="O63" s="145">
        <v>42917</v>
      </c>
      <c r="P63" s="850">
        <f t="shared" si="18"/>
        <v>102.5</v>
      </c>
      <c r="Q63" s="146"/>
    </row>
    <row r="64" spans="2:17" ht="15.75">
      <c r="B64" s="627">
        <v>23224</v>
      </c>
      <c r="C64" s="1258">
        <v>24.753</v>
      </c>
      <c r="D64" s="1473">
        <f t="shared" si="0"/>
        <v>23.403708507845501</v>
      </c>
      <c r="L64"/>
      <c r="O64" s="145">
        <v>43282</v>
      </c>
      <c r="P64" s="850">
        <f t="shared" si="18"/>
        <v>104.4</v>
      </c>
      <c r="Q64" s="146"/>
    </row>
    <row r="65" spans="2:18" ht="15.75">
      <c r="B65" s="627">
        <v>23255</v>
      </c>
      <c r="C65" s="1258">
        <v>24.922000000000001</v>
      </c>
      <c r="D65" s="1473">
        <f t="shared" si="0"/>
        <v>23.563496280552901</v>
      </c>
      <c r="L65"/>
      <c r="O65" s="145">
        <v>43647</v>
      </c>
      <c r="P65" s="850">
        <f t="shared" si="18"/>
        <v>106.2</v>
      </c>
      <c r="Q65" s="146"/>
    </row>
    <row r="66" spans="2:18" ht="15.75">
      <c r="B66" s="627">
        <v>23285</v>
      </c>
      <c r="C66" s="1258">
        <v>24.922000000000001</v>
      </c>
      <c r="D66" s="1473">
        <f t="shared" si="0"/>
        <v>23.563496280552901</v>
      </c>
      <c r="L66"/>
      <c r="O66" s="145">
        <v>44013</v>
      </c>
      <c r="P66" s="850">
        <f t="shared" si="18"/>
        <v>106.1</v>
      </c>
      <c r="Q66" s="146"/>
    </row>
    <row r="67" spans="2:18" ht="15.75">
      <c r="B67" s="627">
        <v>23316</v>
      </c>
      <c r="C67" s="1258">
        <v>25.09</v>
      </c>
      <c r="D67" s="1473">
        <f t="shared" ref="D67:D130" si="19">ROUND(+D68*C67/C68,19)</f>
        <v>23.7223385634809</v>
      </c>
      <c r="L67"/>
      <c r="O67" s="145">
        <v>44378</v>
      </c>
      <c r="P67" s="850">
        <f t="shared" si="18"/>
        <v>110.1</v>
      </c>
      <c r="Q67" s="146"/>
    </row>
    <row r="68" spans="2:18" ht="15.75">
      <c r="B68" s="627">
        <v>23346</v>
      </c>
      <c r="C68" s="1258">
        <v>25.257999999999999</v>
      </c>
      <c r="D68" s="1473">
        <f t="shared" si="19"/>
        <v>23.881180846408999</v>
      </c>
      <c r="L68"/>
      <c r="O68" s="145">
        <v>44743</v>
      </c>
      <c r="P68" s="850">
        <f>VLOOKUP(O68,VPI,2)</f>
        <v>118.4</v>
      </c>
      <c r="Q68" s="146"/>
    </row>
    <row r="69" spans="2:18" ht="15.75">
      <c r="B69" s="627">
        <v>23377</v>
      </c>
      <c r="C69" s="1258">
        <v>25.427</v>
      </c>
      <c r="D69" s="1473">
        <f t="shared" si="19"/>
        <v>24.040968619116398</v>
      </c>
      <c r="L69"/>
      <c r="O69" s="145">
        <v>45108</v>
      </c>
      <c r="P69" s="850">
        <f>P68*(1+Q69)</f>
        <v>125.74080000000001</v>
      </c>
      <c r="Q69" s="59">
        <v>6.2E-2</v>
      </c>
    </row>
    <row r="70" spans="2:18" ht="15.75">
      <c r="B70" s="627">
        <v>23408</v>
      </c>
      <c r="C70" s="1258">
        <v>25.510999999999999</v>
      </c>
      <c r="D70" s="1473">
        <f t="shared" si="19"/>
        <v>24.120389760580402</v>
      </c>
      <c r="L70"/>
      <c r="O70" s="145">
        <v>45474</v>
      </c>
      <c r="P70" s="850">
        <f t="shared" ref="P70:P86" si="20">P69*(1+Q70)</f>
        <v>132.02784000000003</v>
      </c>
      <c r="Q70" s="59">
        <v>0.05</v>
      </c>
    </row>
    <row r="71" spans="2:18" ht="15.75">
      <c r="B71" s="627">
        <v>23437</v>
      </c>
      <c r="C71" s="1258">
        <v>25.427</v>
      </c>
      <c r="D71" s="1473">
        <f t="shared" si="19"/>
        <v>24.040968619116398</v>
      </c>
      <c r="L71"/>
      <c r="O71" s="145">
        <v>45839</v>
      </c>
      <c r="P71" s="850">
        <f t="shared" si="20"/>
        <v>137.30895360000002</v>
      </c>
      <c r="Q71" s="59">
        <v>0.04</v>
      </c>
    </row>
    <row r="72" spans="2:18" ht="15.75">
      <c r="B72" s="627">
        <v>23468</v>
      </c>
      <c r="C72" s="1258">
        <v>25.427</v>
      </c>
      <c r="D72" s="1473">
        <f t="shared" si="19"/>
        <v>24.040968619116398</v>
      </c>
      <c r="G72" s="1248"/>
      <c r="L72"/>
      <c r="O72" s="145">
        <v>46204</v>
      </c>
      <c r="P72" s="850">
        <f t="shared" si="20"/>
        <v>141.42822220800002</v>
      </c>
      <c r="Q72" s="59">
        <v>0.03</v>
      </c>
    </row>
    <row r="73" spans="2:18" ht="15.75">
      <c r="B73" s="627">
        <v>23498</v>
      </c>
      <c r="C73" s="1258">
        <v>25.427</v>
      </c>
      <c r="D73" s="1473">
        <f t="shared" si="19"/>
        <v>24.040968619116398</v>
      </c>
      <c r="G73" s="1248"/>
      <c r="L73"/>
      <c r="O73" s="145">
        <v>46569</v>
      </c>
      <c r="P73" s="850">
        <f t="shared" si="20"/>
        <v>144.96392776320002</v>
      </c>
      <c r="Q73" s="59">
        <v>2.5000000000000001E-2</v>
      </c>
    </row>
    <row r="74" spans="2:18" ht="15.75">
      <c r="B74" s="627">
        <v>23529</v>
      </c>
      <c r="C74" s="1258">
        <v>25.341999999999999</v>
      </c>
      <c r="D74" s="1473">
        <f t="shared" si="19"/>
        <v>23.960601987873002</v>
      </c>
      <c r="G74" s="1248"/>
      <c r="L74"/>
      <c r="O74" s="145">
        <v>46935</v>
      </c>
      <c r="P74" s="850">
        <f t="shared" si="20"/>
        <v>148.15313417399042</v>
      </c>
      <c r="Q74" s="59">
        <v>2.1999999999999999E-2</v>
      </c>
    </row>
    <row r="75" spans="2:18" ht="15.75">
      <c r="B75" s="627">
        <v>23559</v>
      </c>
      <c r="C75" s="1258">
        <v>25.427</v>
      </c>
      <c r="D75" s="1473">
        <f t="shared" si="19"/>
        <v>24.040968619116398</v>
      </c>
      <c r="G75" s="1248"/>
      <c r="L75"/>
      <c r="O75" s="145">
        <v>47300</v>
      </c>
      <c r="P75" s="850">
        <f t="shared" si="20"/>
        <v>151.11619685747024</v>
      </c>
      <c r="Q75" s="59">
        <v>0.02</v>
      </c>
    </row>
    <row r="76" spans="2:18" ht="15.75">
      <c r="B76" s="627">
        <v>23590</v>
      </c>
      <c r="C76" s="1258">
        <v>25.427</v>
      </c>
      <c r="D76" s="1473">
        <f t="shared" si="19"/>
        <v>24.040968619116398</v>
      </c>
      <c r="G76" s="1248"/>
      <c r="L76"/>
      <c r="O76" s="145">
        <v>47665</v>
      </c>
      <c r="P76" s="850">
        <f t="shared" si="20"/>
        <v>154.13852079461964</v>
      </c>
      <c r="Q76" s="59">
        <v>0.02</v>
      </c>
    </row>
    <row r="77" spans="2:18" ht="15.75">
      <c r="B77" s="627">
        <v>23621</v>
      </c>
      <c r="C77" s="1258">
        <v>25.510999999999999</v>
      </c>
      <c r="D77" s="1473">
        <f t="shared" si="19"/>
        <v>24.120389760580402</v>
      </c>
      <c r="G77" s="1248"/>
      <c r="L77"/>
      <c r="O77" s="145">
        <v>48030</v>
      </c>
      <c r="P77" s="850">
        <f t="shared" si="20"/>
        <v>157.22129121051202</v>
      </c>
      <c r="Q77" s="59">
        <v>0.02</v>
      </c>
    </row>
    <row r="78" spans="2:18" ht="15.75">
      <c r="B78" s="627">
        <v>23651</v>
      </c>
      <c r="C78" s="1258">
        <v>25.510999999999999</v>
      </c>
      <c r="D78" s="1473">
        <f t="shared" si="19"/>
        <v>24.120389760580402</v>
      </c>
      <c r="G78" s="1248"/>
      <c r="L78"/>
      <c r="O78" s="145">
        <v>48396</v>
      </c>
      <c r="P78" s="850">
        <f t="shared" si="20"/>
        <v>160.36571703472225</v>
      </c>
      <c r="Q78" s="59">
        <v>0.02</v>
      </c>
    </row>
    <row r="79" spans="2:18" ht="15.75">
      <c r="B79" s="627">
        <v>23682</v>
      </c>
      <c r="C79" s="1258">
        <v>25.678999999999998</v>
      </c>
      <c r="D79" s="1473">
        <f t="shared" si="19"/>
        <v>24.279232043508401</v>
      </c>
      <c r="G79" s="1248"/>
      <c r="L79"/>
      <c r="O79" s="145">
        <v>48761</v>
      </c>
      <c r="P79" s="850">
        <f t="shared" si="20"/>
        <v>163.57303137541669</v>
      </c>
      <c r="Q79" s="59">
        <v>0.02</v>
      </c>
    </row>
    <row r="80" spans="2:18" ht="15.75">
      <c r="B80" s="627">
        <v>23712</v>
      </c>
      <c r="C80" s="1258">
        <v>25.763000000000002</v>
      </c>
      <c r="D80" s="1473">
        <f t="shared" si="19"/>
        <v>24.3586531849724</v>
      </c>
      <c r="G80" s="1248"/>
      <c r="L80"/>
      <c r="O80" s="145">
        <v>49126</v>
      </c>
      <c r="P80" s="850">
        <f t="shared" si="20"/>
        <v>166.84449200292502</v>
      </c>
      <c r="Q80" s="59">
        <v>0.02</v>
      </c>
      <c r="R80">
        <f>_xlfn.RRI(14,P67,P80)</f>
        <v>3.0136110093019308E-2</v>
      </c>
    </row>
    <row r="81" spans="2:21" ht="15.75">
      <c r="B81" s="627">
        <v>23743</v>
      </c>
      <c r="C81" s="1258">
        <v>25.931999999999999</v>
      </c>
      <c r="D81" s="1473">
        <f t="shared" si="19"/>
        <v>24.5184409576798</v>
      </c>
      <c r="G81" s="1248"/>
      <c r="L81"/>
      <c r="O81" s="145">
        <v>49491</v>
      </c>
      <c r="P81" s="850">
        <f t="shared" si="20"/>
        <v>170.18138184298351</v>
      </c>
      <c r="Q81" s="59">
        <v>0.02</v>
      </c>
    </row>
    <row r="82" spans="2:21" ht="15.75">
      <c r="B82" s="627">
        <v>23774</v>
      </c>
      <c r="C82" s="1258">
        <v>26.015999999999998</v>
      </c>
      <c r="D82" s="1473">
        <f t="shared" si="19"/>
        <v>24.5978620991438</v>
      </c>
      <c r="G82" s="1248"/>
      <c r="L82"/>
      <c r="O82" s="145">
        <v>49857</v>
      </c>
      <c r="P82" s="850">
        <f t="shared" si="20"/>
        <v>173.58500947984319</v>
      </c>
      <c r="Q82" s="59">
        <v>0.02</v>
      </c>
    </row>
    <row r="83" spans="2:21" ht="15.75">
      <c r="B83" s="627">
        <v>23802</v>
      </c>
      <c r="C83" s="1258">
        <v>25.931999999999999</v>
      </c>
      <c r="D83" s="1473">
        <f t="shared" si="19"/>
        <v>24.5184409576798</v>
      </c>
      <c r="G83" s="1248"/>
      <c r="L83"/>
      <c r="O83" s="145">
        <v>50222</v>
      </c>
      <c r="P83" s="850">
        <f t="shared" si="20"/>
        <v>177.05670966944007</v>
      </c>
      <c r="Q83" s="59">
        <v>0.02</v>
      </c>
    </row>
    <row r="84" spans="2:21" ht="15.75">
      <c r="B84" s="627">
        <v>23833</v>
      </c>
      <c r="C84" s="1258">
        <v>26.1</v>
      </c>
      <c r="D84" s="1473">
        <f t="shared" si="19"/>
        <v>24.677283240607899</v>
      </c>
      <c r="G84" s="1248"/>
      <c r="L84"/>
      <c r="O84" s="145">
        <v>50587</v>
      </c>
      <c r="P84" s="850">
        <f t="shared" si="20"/>
        <v>177.05670966944007</v>
      </c>
      <c r="Q84"/>
    </row>
    <row r="85" spans="2:21" ht="15.75">
      <c r="B85" s="627">
        <v>23863</v>
      </c>
      <c r="C85" s="1258">
        <v>26.184000000000001</v>
      </c>
      <c r="D85" s="1473">
        <f t="shared" si="19"/>
        <v>24.756704382071899</v>
      </c>
      <c r="G85" s="1248"/>
      <c r="L85"/>
      <c r="O85" s="145">
        <v>50952</v>
      </c>
      <c r="P85" s="850">
        <f t="shared" si="20"/>
        <v>177.05670966944007</v>
      </c>
      <c r="Q85"/>
    </row>
    <row r="86" spans="2:21" ht="15.75">
      <c r="B86" s="627">
        <v>23894</v>
      </c>
      <c r="C86" s="1258">
        <v>26.268999999999998</v>
      </c>
      <c r="D86" s="1473">
        <f t="shared" si="19"/>
        <v>24.837071013315299</v>
      </c>
      <c r="G86" s="1248"/>
      <c r="L86"/>
      <c r="O86" s="145">
        <v>51318</v>
      </c>
      <c r="P86" s="850">
        <f t="shared" si="20"/>
        <v>177.05670966944007</v>
      </c>
      <c r="Q86"/>
    </row>
    <row r="87" spans="2:21" ht="15.75">
      <c r="B87" s="627">
        <v>23924</v>
      </c>
      <c r="C87" s="1258">
        <v>26.437000000000001</v>
      </c>
      <c r="D87" s="1473">
        <f t="shared" si="19"/>
        <v>24.995913296243401</v>
      </c>
      <c r="G87" s="1248"/>
      <c r="L87"/>
      <c r="S87" s="58">
        <v>44952</v>
      </c>
    </row>
    <row r="88" spans="2:21" ht="15.75">
      <c r="B88" s="627">
        <v>23955</v>
      </c>
      <c r="C88" s="1258">
        <v>26.353000000000002</v>
      </c>
      <c r="D88" s="1473">
        <f t="shared" si="19"/>
        <v>24.916492154779402</v>
      </c>
      <c r="G88" s="1248"/>
      <c r="L88"/>
      <c r="S88" s="58">
        <v>45283</v>
      </c>
      <c r="T88" s="864">
        <f>+S88-S87</f>
        <v>331</v>
      </c>
      <c r="U88" s="58">
        <f>+DATE(YEAR(S88),1,DAY(S87)+T88/2)</f>
        <v>45117</v>
      </c>
    </row>
    <row r="89" spans="2:21" ht="15.75">
      <c r="B89" s="627">
        <v>23986</v>
      </c>
      <c r="C89" s="1258">
        <v>26.437000000000001</v>
      </c>
      <c r="D89" s="1473">
        <f t="shared" si="19"/>
        <v>24.995913296243401</v>
      </c>
      <c r="G89" s="1248"/>
      <c r="L89"/>
    </row>
    <row r="90" spans="2:21" ht="15.75">
      <c r="B90" s="627">
        <v>24016</v>
      </c>
      <c r="C90" s="1258">
        <v>26.521000000000001</v>
      </c>
      <c r="D90" s="1473">
        <f t="shared" si="19"/>
        <v>25.075334437707401</v>
      </c>
      <c r="G90" s="1248"/>
      <c r="L90"/>
    </row>
    <row r="91" spans="2:21" ht="15.75">
      <c r="B91" s="627">
        <v>24047</v>
      </c>
      <c r="C91" s="1258">
        <v>26.69</v>
      </c>
      <c r="D91" s="1473">
        <f t="shared" si="19"/>
        <v>25.235122210414801</v>
      </c>
      <c r="G91" s="1248"/>
      <c r="L91"/>
    </row>
    <row r="92" spans="2:21" ht="15.75">
      <c r="B92" s="627">
        <v>24077</v>
      </c>
      <c r="C92" s="1258">
        <v>26.774000000000001</v>
      </c>
      <c r="D92" s="1473">
        <f t="shared" si="19"/>
        <v>25.3145433518788</v>
      </c>
      <c r="G92" s="1248"/>
      <c r="L92"/>
    </row>
    <row r="93" spans="2:21" ht="15.75">
      <c r="B93" s="627">
        <v>24108</v>
      </c>
      <c r="C93" s="1258">
        <v>26.942</v>
      </c>
      <c r="D93" s="1473">
        <f t="shared" si="19"/>
        <v>25.4733856348068</v>
      </c>
      <c r="G93" s="1248"/>
      <c r="L93"/>
    </row>
    <row r="94" spans="2:21" ht="15.75">
      <c r="B94" s="627">
        <v>24139</v>
      </c>
      <c r="C94" s="1258">
        <v>27.111000000000001</v>
      </c>
      <c r="D94" s="1473">
        <f t="shared" si="19"/>
        <v>25.633173407514199</v>
      </c>
      <c r="G94" s="1248"/>
      <c r="L94"/>
    </row>
    <row r="95" spans="2:21" ht="15.75">
      <c r="B95" s="627">
        <v>24167</v>
      </c>
      <c r="C95" s="1258">
        <v>27.026</v>
      </c>
      <c r="D95" s="1473">
        <f t="shared" si="19"/>
        <v>25.552806776270799</v>
      </c>
      <c r="L95"/>
    </row>
    <row r="96" spans="2:21" ht="15.75">
      <c r="B96" s="627">
        <v>24198</v>
      </c>
      <c r="C96" s="1258">
        <v>27.279</v>
      </c>
      <c r="D96" s="1473">
        <f t="shared" si="19"/>
        <v>25.792015690442199</v>
      </c>
      <c r="L96"/>
    </row>
    <row r="97" spans="2:12" ht="15.75">
      <c r="B97" s="627">
        <v>24228</v>
      </c>
      <c r="C97" s="1258">
        <v>27.279</v>
      </c>
      <c r="D97" s="1473">
        <f t="shared" si="19"/>
        <v>25.792015690442199</v>
      </c>
      <c r="L97"/>
    </row>
    <row r="98" spans="2:12" ht="15.75">
      <c r="B98" s="627">
        <v>24259</v>
      </c>
      <c r="C98" s="1258">
        <v>27.195</v>
      </c>
      <c r="D98" s="1473">
        <f t="shared" si="19"/>
        <v>25.712594548978199</v>
      </c>
      <c r="L98"/>
    </row>
    <row r="99" spans="2:12" ht="15.75">
      <c r="B99" s="627">
        <v>24289</v>
      </c>
      <c r="C99" s="1258">
        <v>27.279</v>
      </c>
      <c r="D99" s="1473">
        <f t="shared" si="19"/>
        <v>25.792015690442199</v>
      </c>
      <c r="L99"/>
    </row>
    <row r="100" spans="2:12" ht="15.75">
      <c r="B100" s="627">
        <v>24320</v>
      </c>
      <c r="C100" s="1258">
        <v>27.279</v>
      </c>
      <c r="D100" s="1473">
        <f t="shared" si="19"/>
        <v>25.792015690442199</v>
      </c>
      <c r="L100"/>
    </row>
    <row r="101" spans="2:12" ht="15.75">
      <c r="B101" s="627">
        <v>24351</v>
      </c>
      <c r="C101" s="1258">
        <v>27.279</v>
      </c>
      <c r="D101" s="1473">
        <f t="shared" si="19"/>
        <v>25.792015690442199</v>
      </c>
      <c r="L101"/>
    </row>
    <row r="102" spans="2:12" ht="15.75">
      <c r="B102" s="627">
        <v>24381</v>
      </c>
      <c r="C102" s="1258">
        <v>27.363</v>
      </c>
      <c r="D102" s="1473">
        <f t="shared" si="19"/>
        <v>25.871436831906198</v>
      </c>
      <c r="L102"/>
    </row>
    <row r="103" spans="2:12" ht="15.75">
      <c r="B103" s="627">
        <v>24412</v>
      </c>
      <c r="C103" s="1258">
        <v>27.532</v>
      </c>
      <c r="D103" s="1473">
        <f t="shared" si="19"/>
        <v>26.031224604613602</v>
      </c>
      <c r="L103"/>
    </row>
    <row r="104" spans="2:12" ht="15.75">
      <c r="B104" s="627">
        <v>24442</v>
      </c>
      <c r="C104" s="1258">
        <v>27.532</v>
      </c>
      <c r="D104" s="1473">
        <f t="shared" si="19"/>
        <v>26.031224604613602</v>
      </c>
      <c r="L104"/>
    </row>
    <row r="105" spans="2:12" ht="15.75">
      <c r="B105" s="627">
        <v>24473</v>
      </c>
      <c r="C105" s="1258">
        <v>27.616</v>
      </c>
      <c r="D105" s="1473">
        <f t="shared" si="19"/>
        <v>26.110645746077601</v>
      </c>
      <c r="L105"/>
    </row>
    <row r="106" spans="2:12" ht="15.75">
      <c r="B106" s="627">
        <v>24504</v>
      </c>
      <c r="C106" s="1258">
        <v>27.7</v>
      </c>
      <c r="D106" s="1473">
        <f t="shared" si="19"/>
        <v>26.190066887541601</v>
      </c>
      <c r="L106"/>
    </row>
    <row r="107" spans="2:12" ht="15.75">
      <c r="B107" s="627">
        <v>24532</v>
      </c>
      <c r="C107" s="1258">
        <v>27.7</v>
      </c>
      <c r="D107" s="1473">
        <f t="shared" si="19"/>
        <v>26.190066887541601</v>
      </c>
      <c r="L107"/>
    </row>
    <row r="108" spans="2:12" ht="15.75">
      <c r="B108" s="627">
        <v>24563</v>
      </c>
      <c r="C108" s="1258">
        <v>27.7</v>
      </c>
      <c r="D108" s="1473">
        <f t="shared" si="19"/>
        <v>26.190066887541601</v>
      </c>
      <c r="L108"/>
    </row>
    <row r="109" spans="2:12" ht="15.75">
      <c r="B109" s="627">
        <v>24593</v>
      </c>
      <c r="C109" s="1258">
        <v>27.7</v>
      </c>
      <c r="D109" s="1473">
        <f t="shared" si="19"/>
        <v>26.190066887541601</v>
      </c>
      <c r="L109"/>
    </row>
    <row r="110" spans="2:12" ht="15.75">
      <c r="B110" s="627">
        <v>24624</v>
      </c>
      <c r="C110" s="1258">
        <v>27.7</v>
      </c>
      <c r="D110" s="1473">
        <f t="shared" si="19"/>
        <v>26.190066887541601</v>
      </c>
      <c r="L110"/>
    </row>
    <row r="111" spans="2:12" ht="15.75">
      <c r="B111" s="627">
        <v>24654</v>
      </c>
      <c r="C111" s="1258">
        <v>27.783999999999999</v>
      </c>
      <c r="D111" s="1473">
        <f t="shared" si="19"/>
        <v>26.269488029005601</v>
      </c>
      <c r="L111"/>
    </row>
    <row r="112" spans="2:12" ht="15.75">
      <c r="B112" s="627">
        <v>24685</v>
      </c>
      <c r="C112" s="1258">
        <v>27.7</v>
      </c>
      <c r="D112" s="1473">
        <f t="shared" si="19"/>
        <v>26.190066887541601</v>
      </c>
      <c r="L112"/>
    </row>
    <row r="113" spans="2:12" ht="15.75">
      <c r="B113" s="627">
        <v>24716</v>
      </c>
      <c r="C113" s="1258">
        <v>27.7</v>
      </c>
      <c r="D113" s="1473">
        <f t="shared" si="19"/>
        <v>26.190066887541601</v>
      </c>
      <c r="G113" s="1249"/>
      <c r="L113"/>
    </row>
    <row r="114" spans="2:12" ht="15.75">
      <c r="B114" s="627">
        <v>24746</v>
      </c>
      <c r="C114" s="1258">
        <v>27.7</v>
      </c>
      <c r="D114" s="1473">
        <f t="shared" si="19"/>
        <v>26.190066887541601</v>
      </c>
      <c r="L114"/>
    </row>
    <row r="115" spans="2:12" ht="15.75">
      <c r="B115" s="627">
        <v>24777</v>
      </c>
      <c r="C115" s="1258">
        <v>27.783999999999999</v>
      </c>
      <c r="D115" s="1473">
        <f t="shared" si="19"/>
        <v>26.269488029005601</v>
      </c>
      <c r="L115"/>
    </row>
    <row r="116" spans="2:12" ht="15.75">
      <c r="B116" s="627">
        <v>24807</v>
      </c>
      <c r="C116" s="1258">
        <v>27.7</v>
      </c>
      <c r="D116" s="1473">
        <f t="shared" si="19"/>
        <v>26.190066887541601</v>
      </c>
      <c r="L116"/>
    </row>
    <row r="117" spans="2:12" ht="15.75">
      <c r="B117" s="627">
        <v>24838</v>
      </c>
      <c r="C117" s="1258">
        <v>28.120999999999999</v>
      </c>
      <c r="D117" s="1473">
        <f t="shared" si="19"/>
        <v>26.588118084641099</v>
      </c>
      <c r="L117"/>
    </row>
    <row r="118" spans="2:12" ht="15.75">
      <c r="B118" s="627">
        <v>24869</v>
      </c>
      <c r="C118" s="1258">
        <v>28.204999999999998</v>
      </c>
      <c r="D118" s="1473">
        <f t="shared" si="19"/>
        <v>26.667539226105099</v>
      </c>
      <c r="L118"/>
    </row>
    <row r="119" spans="2:12" ht="15.75">
      <c r="B119" s="627">
        <v>24898</v>
      </c>
      <c r="C119" s="1258">
        <v>28.120999999999999</v>
      </c>
      <c r="D119" s="1473">
        <f t="shared" si="19"/>
        <v>26.588118084641099</v>
      </c>
      <c r="L119"/>
    </row>
    <row r="120" spans="2:12" ht="15.75">
      <c r="B120" s="627">
        <v>24929</v>
      </c>
      <c r="C120" s="1258">
        <v>28.120999999999999</v>
      </c>
      <c r="D120" s="1473">
        <f t="shared" si="19"/>
        <v>26.588118084641099</v>
      </c>
      <c r="L120"/>
    </row>
    <row r="121" spans="2:12" ht="15.75">
      <c r="B121" s="627">
        <v>24959</v>
      </c>
      <c r="C121" s="1258">
        <v>28.120999999999999</v>
      </c>
      <c r="D121" s="1473">
        <f t="shared" si="19"/>
        <v>26.588118084641099</v>
      </c>
      <c r="L121"/>
    </row>
    <row r="122" spans="2:12" ht="15.75">
      <c r="B122" s="627">
        <v>24990</v>
      </c>
      <c r="C122" s="1258">
        <v>28.120999999999999</v>
      </c>
      <c r="D122" s="1473">
        <f t="shared" si="19"/>
        <v>26.588118084641099</v>
      </c>
      <c r="L122"/>
    </row>
    <row r="123" spans="2:12" ht="15.75">
      <c r="B123" s="627">
        <v>25020</v>
      </c>
      <c r="C123" s="1258">
        <v>28.120999999999999</v>
      </c>
      <c r="D123" s="1473">
        <f t="shared" si="19"/>
        <v>26.588118084641099</v>
      </c>
      <c r="L123"/>
    </row>
    <row r="124" spans="2:12" ht="15.75">
      <c r="B124" s="627">
        <v>25051</v>
      </c>
      <c r="C124" s="1258">
        <v>28.120999999999999</v>
      </c>
      <c r="D124" s="1473">
        <f t="shared" si="19"/>
        <v>26.588118084641099</v>
      </c>
      <c r="L124"/>
    </row>
    <row r="125" spans="2:12" ht="15.75">
      <c r="B125" s="627">
        <v>25082</v>
      </c>
      <c r="C125" s="1258">
        <v>28.120999999999999</v>
      </c>
      <c r="D125" s="1473">
        <f t="shared" si="19"/>
        <v>26.588118084641099</v>
      </c>
      <c r="L125"/>
    </row>
    <row r="126" spans="2:12" ht="15.75">
      <c r="B126" s="627">
        <v>25112</v>
      </c>
      <c r="C126" s="1258">
        <v>28.120999999999999</v>
      </c>
      <c r="D126" s="1473">
        <f t="shared" si="19"/>
        <v>26.588118084641099</v>
      </c>
      <c r="L126"/>
    </row>
    <row r="127" spans="2:12" ht="15.75">
      <c r="B127" s="627">
        <v>25143</v>
      </c>
      <c r="C127" s="1258">
        <v>28.289000000000001</v>
      </c>
      <c r="D127" s="1473">
        <f t="shared" si="19"/>
        <v>26.746960367569201</v>
      </c>
      <c r="L127"/>
    </row>
    <row r="128" spans="2:12" ht="15.75">
      <c r="B128" s="627">
        <v>25173</v>
      </c>
      <c r="C128" s="1258">
        <v>28.289000000000001</v>
      </c>
      <c r="D128" s="1473">
        <f t="shared" si="19"/>
        <v>26.746960367569201</v>
      </c>
      <c r="L128"/>
    </row>
    <row r="129" spans="2:12" ht="15.75">
      <c r="B129" s="627">
        <v>25204</v>
      </c>
      <c r="C129" s="1258">
        <v>28.542000000000002</v>
      </c>
      <c r="D129" s="1473">
        <f t="shared" si="19"/>
        <v>26.986169281740601</v>
      </c>
      <c r="L129"/>
    </row>
    <row r="130" spans="2:12" ht="15.75">
      <c r="B130" s="627">
        <v>25235</v>
      </c>
      <c r="C130" s="1258">
        <v>28.71</v>
      </c>
      <c r="D130" s="1473">
        <f t="shared" si="19"/>
        <v>27.1450115646686</v>
      </c>
      <c r="L130"/>
    </row>
    <row r="131" spans="2:12" ht="15.75">
      <c r="B131" s="627">
        <v>25263</v>
      </c>
      <c r="C131" s="1258">
        <v>28.626000000000001</v>
      </c>
      <c r="D131" s="1473">
        <f t="shared" ref="D131:D194" si="21">ROUND(+D132*C131/C132,19)</f>
        <v>27.065590423204601</v>
      </c>
      <c r="L131"/>
    </row>
    <row r="132" spans="2:12" ht="15.75">
      <c r="B132" s="627">
        <v>25294</v>
      </c>
      <c r="C132" s="1258">
        <v>28.626000000000001</v>
      </c>
      <c r="D132" s="1473">
        <f t="shared" si="21"/>
        <v>27.065590423204601</v>
      </c>
      <c r="L132"/>
    </row>
    <row r="133" spans="2:12" ht="15.75">
      <c r="B133" s="627">
        <v>25324</v>
      </c>
      <c r="C133" s="1258">
        <v>28.626000000000001</v>
      </c>
      <c r="D133" s="1473">
        <f t="shared" si="21"/>
        <v>27.065590423204601</v>
      </c>
      <c r="L133"/>
    </row>
    <row r="134" spans="2:12" ht="15.75">
      <c r="B134" s="627">
        <v>25355</v>
      </c>
      <c r="C134" s="1258">
        <v>28.71</v>
      </c>
      <c r="D134" s="1473">
        <f t="shared" si="21"/>
        <v>27.1450115646686</v>
      </c>
      <c r="L134"/>
    </row>
    <row r="135" spans="2:12" ht="15.75">
      <c r="B135" s="627">
        <v>25385</v>
      </c>
      <c r="C135" s="1258">
        <v>28.71</v>
      </c>
      <c r="D135" s="1473">
        <f t="shared" si="21"/>
        <v>27.1450115646686</v>
      </c>
      <c r="L135"/>
    </row>
    <row r="136" spans="2:12" ht="15.75">
      <c r="B136" s="627">
        <v>25416</v>
      </c>
      <c r="C136" s="1258">
        <v>28.626000000000001</v>
      </c>
      <c r="D136" s="1473">
        <f t="shared" si="21"/>
        <v>27.065590423204601</v>
      </c>
      <c r="L136"/>
    </row>
    <row r="137" spans="2:12" ht="15.75">
      <c r="B137" s="627">
        <v>25447</v>
      </c>
      <c r="C137" s="1258">
        <v>28.71</v>
      </c>
      <c r="D137" s="1473">
        <f t="shared" si="21"/>
        <v>27.1450115646686</v>
      </c>
      <c r="L137"/>
    </row>
    <row r="138" spans="2:12" ht="15.75">
      <c r="B138" s="627">
        <v>25477</v>
      </c>
      <c r="C138" s="1258">
        <v>28.71</v>
      </c>
      <c r="D138" s="1473">
        <f t="shared" si="21"/>
        <v>27.1450115646686</v>
      </c>
      <c r="L138"/>
    </row>
    <row r="139" spans="2:12" ht="15.75">
      <c r="B139" s="627">
        <v>25508</v>
      </c>
      <c r="C139" s="1258">
        <v>28.879000000000001</v>
      </c>
      <c r="D139" s="1473">
        <f t="shared" si="21"/>
        <v>27.304799337376</v>
      </c>
      <c r="L139"/>
    </row>
    <row r="140" spans="2:12" ht="15.75">
      <c r="B140" s="627">
        <v>25538</v>
      </c>
      <c r="C140" s="1258">
        <v>28.879000000000001</v>
      </c>
      <c r="D140" s="1473">
        <f t="shared" si="21"/>
        <v>27.304799337376</v>
      </c>
      <c r="L140"/>
    </row>
    <row r="141" spans="2:12" ht="15.75">
      <c r="B141" s="627">
        <v>25569</v>
      </c>
      <c r="C141" s="1258">
        <v>29.3</v>
      </c>
      <c r="D141" s="1473">
        <f t="shared" si="21"/>
        <v>27.702850534475498</v>
      </c>
      <c r="L141"/>
    </row>
    <row r="142" spans="2:12" ht="15.75">
      <c r="B142" s="627">
        <v>25600</v>
      </c>
      <c r="C142" s="1258">
        <v>29.468</v>
      </c>
      <c r="D142" s="1473">
        <f t="shared" si="21"/>
        <v>27.861692817403501</v>
      </c>
      <c r="L142"/>
    </row>
    <row r="143" spans="2:12" ht="15.75">
      <c r="B143" s="627">
        <v>25628</v>
      </c>
      <c r="C143" s="1258">
        <v>29.468</v>
      </c>
      <c r="D143" s="1473">
        <f t="shared" si="21"/>
        <v>27.861692817403501</v>
      </c>
      <c r="L143"/>
    </row>
    <row r="144" spans="2:12" ht="15.75">
      <c r="B144" s="627">
        <v>25659</v>
      </c>
      <c r="C144" s="1258">
        <v>29.552</v>
      </c>
      <c r="D144" s="1473">
        <f t="shared" si="21"/>
        <v>27.941113958867501</v>
      </c>
      <c r="L144"/>
    </row>
    <row r="145" spans="2:12" ht="15.75">
      <c r="B145" s="627">
        <v>25689</v>
      </c>
      <c r="C145" s="1258">
        <v>29.552</v>
      </c>
      <c r="D145" s="1473">
        <f t="shared" si="21"/>
        <v>27.941113958867501</v>
      </c>
      <c r="L145"/>
    </row>
    <row r="146" spans="2:12" ht="15.75">
      <c r="B146" s="627">
        <v>25720</v>
      </c>
      <c r="C146" s="1258">
        <v>29.635999999999999</v>
      </c>
      <c r="D146" s="1473">
        <f t="shared" si="21"/>
        <v>28.0205351003315</v>
      </c>
      <c r="L146"/>
    </row>
    <row r="147" spans="2:12" ht="15.75">
      <c r="B147" s="627">
        <v>25750</v>
      </c>
      <c r="C147" s="1258">
        <v>29.721</v>
      </c>
      <c r="D147" s="1473">
        <f t="shared" si="21"/>
        <v>28.100901731574901</v>
      </c>
      <c r="L147"/>
    </row>
    <row r="148" spans="2:12" ht="15.75">
      <c r="B148" s="627">
        <v>25781</v>
      </c>
      <c r="C148" s="1258">
        <v>29.721</v>
      </c>
      <c r="D148" s="1473">
        <f t="shared" si="21"/>
        <v>28.100901731574901</v>
      </c>
      <c r="L148"/>
    </row>
    <row r="149" spans="2:12" ht="15.75">
      <c r="B149" s="627">
        <v>25812</v>
      </c>
      <c r="C149" s="1258">
        <v>29.721</v>
      </c>
      <c r="D149" s="1473">
        <f t="shared" si="21"/>
        <v>28.100901731574901</v>
      </c>
      <c r="L149"/>
    </row>
    <row r="150" spans="2:12" ht="15.75">
      <c r="B150" s="627">
        <v>25842</v>
      </c>
      <c r="C150" s="1258">
        <v>29.805</v>
      </c>
      <c r="D150" s="1473">
        <f t="shared" si="21"/>
        <v>28.1803228730389</v>
      </c>
      <c r="L150"/>
    </row>
    <row r="151" spans="2:12" ht="15.75">
      <c r="B151" s="627">
        <v>25873</v>
      </c>
      <c r="C151" s="1258">
        <v>29.972999999999999</v>
      </c>
      <c r="D151" s="1473">
        <f t="shared" si="21"/>
        <v>28.339165155966999</v>
      </c>
      <c r="L151"/>
    </row>
    <row r="152" spans="2:12" ht="15.75">
      <c r="B152" s="627">
        <v>25903</v>
      </c>
      <c r="C152" s="1258">
        <v>30.056999999999999</v>
      </c>
      <c r="D152" s="1473">
        <f t="shared" si="21"/>
        <v>28.418586297430998</v>
      </c>
      <c r="L152"/>
    </row>
    <row r="153" spans="2:12" ht="15.75">
      <c r="B153" s="627">
        <v>25934</v>
      </c>
      <c r="C153" s="1258">
        <v>30.478000000000002</v>
      </c>
      <c r="D153" s="1473">
        <f t="shared" si="21"/>
        <v>28.8166374945305</v>
      </c>
      <c r="L153"/>
    </row>
    <row r="154" spans="2:12" ht="15.75">
      <c r="B154" s="627">
        <v>25965</v>
      </c>
      <c r="C154" s="1258">
        <v>30.815000000000001</v>
      </c>
      <c r="D154" s="1473">
        <f t="shared" si="21"/>
        <v>29.135267550165899</v>
      </c>
      <c r="L154"/>
    </row>
    <row r="155" spans="2:12" ht="15.75">
      <c r="B155" s="627">
        <v>25993</v>
      </c>
      <c r="C155" s="1258">
        <v>30.899000000000001</v>
      </c>
      <c r="D155" s="1473">
        <f t="shared" si="21"/>
        <v>29.214688691629899</v>
      </c>
      <c r="L155"/>
    </row>
    <row r="156" spans="2:12" ht="15.75">
      <c r="B156" s="627">
        <v>26024</v>
      </c>
      <c r="C156" s="1258">
        <v>31.068000000000001</v>
      </c>
      <c r="D156" s="1473">
        <f t="shared" si="21"/>
        <v>29.374476464337299</v>
      </c>
      <c r="L156"/>
    </row>
    <row r="157" spans="2:12" ht="15.75">
      <c r="B157" s="627">
        <v>26054</v>
      </c>
      <c r="C157" s="1258">
        <v>31.068000000000001</v>
      </c>
      <c r="D157" s="1473">
        <f t="shared" si="21"/>
        <v>29.374476464337299</v>
      </c>
      <c r="L157"/>
    </row>
    <row r="158" spans="2:12" ht="15.75">
      <c r="B158" s="627">
        <v>26085</v>
      </c>
      <c r="C158" s="1258">
        <v>31.152000000000001</v>
      </c>
      <c r="D158" s="1473">
        <f t="shared" si="21"/>
        <v>29.453897605801298</v>
      </c>
      <c r="L158"/>
    </row>
    <row r="159" spans="2:12" ht="15.75">
      <c r="B159" s="627">
        <v>26115</v>
      </c>
      <c r="C159" s="1258">
        <v>31.32</v>
      </c>
      <c r="D159" s="1473">
        <f t="shared" si="21"/>
        <v>29.612739888729401</v>
      </c>
      <c r="L159"/>
    </row>
    <row r="160" spans="2:12" ht="15.75">
      <c r="B160" s="627">
        <v>26146</v>
      </c>
      <c r="C160" s="1258">
        <v>31.32</v>
      </c>
      <c r="D160" s="1473">
        <f t="shared" si="21"/>
        <v>29.612739888729401</v>
      </c>
      <c r="L160"/>
    </row>
    <row r="161" spans="2:12" ht="15.75">
      <c r="B161" s="627">
        <v>26177</v>
      </c>
      <c r="C161" s="1258">
        <v>31.489000000000001</v>
      </c>
      <c r="D161" s="1473">
        <f t="shared" si="21"/>
        <v>29.772527661436801</v>
      </c>
      <c r="L161"/>
    </row>
    <row r="162" spans="2:12" ht="15.75">
      <c r="B162" s="627">
        <v>26207</v>
      </c>
      <c r="C162" s="1258">
        <v>31.573</v>
      </c>
      <c r="D162" s="1473">
        <f t="shared" si="21"/>
        <v>29.8519488029008</v>
      </c>
      <c r="L162"/>
    </row>
    <row r="163" spans="2:12" ht="15.75">
      <c r="B163" s="627">
        <v>26238</v>
      </c>
      <c r="C163" s="1258">
        <v>31.741</v>
      </c>
      <c r="D163" s="1473">
        <f t="shared" si="21"/>
        <v>30.010791085828799</v>
      </c>
      <c r="L163"/>
    </row>
    <row r="164" spans="2:12" ht="15.75">
      <c r="B164" s="627">
        <v>26268</v>
      </c>
      <c r="C164" s="1258">
        <v>31.741</v>
      </c>
      <c r="D164" s="1473">
        <f t="shared" si="21"/>
        <v>30.010791085828799</v>
      </c>
      <c r="L164"/>
    </row>
    <row r="165" spans="2:12" ht="15.75">
      <c r="B165" s="627">
        <v>26299</v>
      </c>
      <c r="C165" s="1258">
        <v>32.161999999999999</v>
      </c>
      <c r="D165" s="1473">
        <f t="shared" si="21"/>
        <v>30.408842282928301</v>
      </c>
      <c r="L165"/>
    </row>
    <row r="166" spans="2:12" ht="15.75">
      <c r="B166" s="627">
        <v>26330</v>
      </c>
      <c r="C166" s="1258">
        <v>32.414999999999999</v>
      </c>
      <c r="D166" s="1473">
        <f t="shared" si="21"/>
        <v>30.648051197099701</v>
      </c>
      <c r="L166"/>
    </row>
    <row r="167" spans="2:12" ht="15.75">
      <c r="B167" s="627">
        <v>26359</v>
      </c>
      <c r="C167" s="1258">
        <v>32.414999999999999</v>
      </c>
      <c r="D167" s="1473">
        <f t="shared" si="21"/>
        <v>30.648051197099701</v>
      </c>
      <c r="L167"/>
    </row>
    <row r="168" spans="2:12" ht="15.75">
      <c r="B168" s="627">
        <v>26390</v>
      </c>
      <c r="C168" s="1258">
        <v>32.582999999999998</v>
      </c>
      <c r="D168" s="1473">
        <f t="shared" si="21"/>
        <v>30.806893480027799</v>
      </c>
      <c r="L168"/>
    </row>
    <row r="169" spans="2:12" ht="15.75">
      <c r="B169" s="627">
        <v>26420</v>
      </c>
      <c r="C169" s="1258">
        <v>32.582999999999998</v>
      </c>
      <c r="D169" s="1473">
        <f t="shared" si="21"/>
        <v>30.806893480027799</v>
      </c>
      <c r="L169"/>
    </row>
    <row r="170" spans="2:12" ht="15.75">
      <c r="B170" s="627">
        <v>26451</v>
      </c>
      <c r="C170" s="1258">
        <v>32.752000000000002</v>
      </c>
      <c r="D170" s="1473">
        <f t="shared" si="21"/>
        <v>30.966681252735199</v>
      </c>
      <c r="L170"/>
    </row>
    <row r="171" spans="2:12" ht="15.75">
      <c r="B171" s="627">
        <v>26481</v>
      </c>
      <c r="C171" s="1258">
        <v>33.003999999999998</v>
      </c>
      <c r="D171" s="1473">
        <f t="shared" si="21"/>
        <v>31.204944677127301</v>
      </c>
      <c r="L171"/>
    </row>
    <row r="172" spans="2:12" ht="15.75">
      <c r="B172" s="627">
        <v>26512</v>
      </c>
      <c r="C172" s="1258">
        <v>33.003999999999998</v>
      </c>
      <c r="D172" s="1473">
        <f t="shared" si="21"/>
        <v>31.204944677127301</v>
      </c>
      <c r="L172"/>
    </row>
    <row r="173" spans="2:12" ht="15.75">
      <c r="B173" s="627">
        <v>26543</v>
      </c>
      <c r="C173" s="1258">
        <v>33.424999999999997</v>
      </c>
      <c r="D173" s="1473">
        <f t="shared" si="21"/>
        <v>31.602995874226799</v>
      </c>
      <c r="L173"/>
    </row>
    <row r="174" spans="2:12" ht="15.75">
      <c r="B174" s="627">
        <v>26573</v>
      </c>
      <c r="C174" s="1258">
        <v>33.509</v>
      </c>
      <c r="D174" s="1473">
        <f t="shared" si="21"/>
        <v>31.682417015690799</v>
      </c>
      <c r="L174"/>
    </row>
    <row r="175" spans="2:12" ht="15.75">
      <c r="B175" s="627">
        <v>26604</v>
      </c>
      <c r="C175" s="1258">
        <v>33.677999999999997</v>
      </c>
      <c r="D175" s="1473">
        <f t="shared" si="21"/>
        <v>31.842204788398199</v>
      </c>
      <c r="L175"/>
    </row>
    <row r="176" spans="2:12" ht="15.75">
      <c r="B176" s="627">
        <v>26634</v>
      </c>
      <c r="C176" s="1258">
        <v>33.762</v>
      </c>
      <c r="D176" s="1473">
        <f t="shared" si="21"/>
        <v>31.921625929862198</v>
      </c>
      <c r="L176"/>
    </row>
    <row r="177" spans="2:12" ht="15.75">
      <c r="B177" s="627">
        <v>26665</v>
      </c>
      <c r="C177" s="1258">
        <v>34.183</v>
      </c>
      <c r="D177" s="1473">
        <f t="shared" si="21"/>
        <v>32.3196771269617</v>
      </c>
      <c r="L177"/>
    </row>
    <row r="178" spans="2:12" ht="15.75">
      <c r="B178" s="627">
        <v>26696</v>
      </c>
      <c r="C178" s="1258">
        <v>34.520000000000003</v>
      </c>
      <c r="D178" s="1473">
        <f t="shared" si="21"/>
        <v>32.638307182597103</v>
      </c>
      <c r="L178"/>
    </row>
    <row r="179" spans="2:12" ht="15.75">
      <c r="B179" s="627">
        <v>26724</v>
      </c>
      <c r="C179" s="1258">
        <v>34.603999999999999</v>
      </c>
      <c r="D179" s="1473">
        <f t="shared" si="21"/>
        <v>32.717728324061099</v>
      </c>
      <c r="L179"/>
    </row>
    <row r="180" spans="2:12" ht="15.75">
      <c r="B180" s="627">
        <v>26755</v>
      </c>
      <c r="C180" s="1258">
        <v>34.856000000000002</v>
      </c>
      <c r="D180" s="1473">
        <f t="shared" si="21"/>
        <v>32.955991748453201</v>
      </c>
      <c r="L180"/>
    </row>
    <row r="181" spans="2:12" ht="15.75">
      <c r="B181" s="627">
        <v>26785</v>
      </c>
      <c r="C181" s="1258">
        <v>35.024999999999999</v>
      </c>
      <c r="D181" s="1473">
        <f t="shared" si="21"/>
        <v>33.115779521160597</v>
      </c>
      <c r="L181"/>
    </row>
    <row r="182" spans="2:12" ht="15.75">
      <c r="B182" s="627">
        <v>26816</v>
      </c>
      <c r="C182" s="1258">
        <v>35.192999999999998</v>
      </c>
      <c r="D182" s="1473">
        <f t="shared" si="21"/>
        <v>33.274621804088703</v>
      </c>
      <c r="L182"/>
    </row>
    <row r="183" spans="2:12" ht="15.75">
      <c r="B183" s="627">
        <v>26846</v>
      </c>
      <c r="C183" s="1258">
        <v>35.362000000000002</v>
      </c>
      <c r="D183" s="1473">
        <f t="shared" si="21"/>
        <v>33.434409576796099</v>
      </c>
      <c r="L183"/>
    </row>
    <row r="184" spans="2:12" ht="15.75">
      <c r="B184" s="627">
        <v>26877</v>
      </c>
      <c r="C184" s="1258">
        <v>35.362000000000002</v>
      </c>
      <c r="D184" s="1473">
        <f t="shared" si="21"/>
        <v>33.434409576796099</v>
      </c>
      <c r="L184"/>
    </row>
    <row r="185" spans="2:12" ht="15.75">
      <c r="B185" s="627">
        <v>26908</v>
      </c>
      <c r="C185" s="1258">
        <v>35.445999999999998</v>
      </c>
      <c r="D185" s="1473">
        <f t="shared" si="21"/>
        <v>33.513830718260103</v>
      </c>
      <c r="L185"/>
    </row>
    <row r="186" spans="2:12" ht="15.75">
      <c r="B186" s="627">
        <v>26938</v>
      </c>
      <c r="C186" s="1258">
        <v>35.698</v>
      </c>
      <c r="D186" s="1473">
        <f t="shared" si="21"/>
        <v>33.752094142652197</v>
      </c>
      <c r="L186"/>
    </row>
    <row r="187" spans="2:12" ht="15.75">
      <c r="B187" s="627">
        <v>26969</v>
      </c>
      <c r="C187" s="1258">
        <v>36.204000000000001</v>
      </c>
      <c r="D187" s="1473">
        <f t="shared" si="21"/>
        <v>34.230511970995003</v>
      </c>
      <c r="L187"/>
    </row>
    <row r="188" spans="2:12" ht="15.75">
      <c r="B188" s="627">
        <v>26999</v>
      </c>
      <c r="C188" s="1258">
        <v>36.372</v>
      </c>
      <c r="D188" s="1473">
        <f t="shared" si="21"/>
        <v>34.389354253923003</v>
      </c>
      <c r="L188"/>
    </row>
    <row r="189" spans="2:12" ht="15.75">
      <c r="B189" s="627">
        <v>27030</v>
      </c>
      <c r="C189" s="1258">
        <v>36.709000000000003</v>
      </c>
      <c r="D189" s="1473">
        <f t="shared" si="21"/>
        <v>34.707984309558398</v>
      </c>
      <c r="L189"/>
    </row>
    <row r="190" spans="2:12" ht="15.75">
      <c r="B190" s="627">
        <v>27061</v>
      </c>
      <c r="C190" s="1258">
        <v>37.130000000000003</v>
      </c>
      <c r="D190" s="1473">
        <f t="shared" si="21"/>
        <v>35.106035506657904</v>
      </c>
      <c r="L190"/>
    </row>
    <row r="191" spans="2:12" ht="15.75">
      <c r="B191" s="627">
        <v>27089</v>
      </c>
      <c r="C191" s="1258">
        <v>37.130000000000003</v>
      </c>
      <c r="D191" s="1473">
        <f t="shared" si="21"/>
        <v>35.106035506657904</v>
      </c>
      <c r="L191"/>
    </row>
    <row r="192" spans="2:12" ht="15.75">
      <c r="B192" s="627">
        <v>27120</v>
      </c>
      <c r="C192" s="1258">
        <v>37.298000000000002</v>
      </c>
      <c r="D192" s="1473">
        <f t="shared" si="21"/>
        <v>35.264877789586002</v>
      </c>
      <c r="L192"/>
    </row>
    <row r="193" spans="2:12" ht="15.75">
      <c r="B193" s="627">
        <v>27150</v>
      </c>
      <c r="C193" s="1258">
        <v>37.551000000000002</v>
      </c>
      <c r="D193" s="1473">
        <f t="shared" si="21"/>
        <v>35.504086703757402</v>
      </c>
      <c r="L193"/>
    </row>
    <row r="194" spans="2:12" ht="15.75">
      <c r="B194" s="627">
        <v>27181</v>
      </c>
      <c r="C194" s="1258">
        <v>37.634999999999998</v>
      </c>
      <c r="D194" s="1473">
        <f t="shared" si="21"/>
        <v>35.583507845221398</v>
      </c>
      <c r="L194"/>
    </row>
    <row r="195" spans="2:12" ht="15.75">
      <c r="B195" s="627">
        <v>27211</v>
      </c>
      <c r="C195" s="1258">
        <v>37.802999999999997</v>
      </c>
      <c r="D195" s="1473">
        <f t="shared" ref="D195:D258" si="22">ROUND(+D196*C195/C196,19)</f>
        <v>35.742350128149504</v>
      </c>
      <c r="L195"/>
    </row>
    <row r="196" spans="2:12" ht="15.75">
      <c r="B196" s="627">
        <v>27242</v>
      </c>
      <c r="C196" s="1258">
        <v>37.887</v>
      </c>
      <c r="D196" s="1473">
        <f t="shared" si="22"/>
        <v>35.8217712696135</v>
      </c>
      <c r="L196"/>
    </row>
    <row r="197" spans="2:12" ht="15.75">
      <c r="B197" s="627">
        <v>27273</v>
      </c>
      <c r="C197" s="1258">
        <v>38.055999999999997</v>
      </c>
      <c r="D197" s="1473">
        <f t="shared" si="22"/>
        <v>35.981559042320903</v>
      </c>
      <c r="L197"/>
    </row>
    <row r="198" spans="2:12" ht="15.75">
      <c r="B198" s="627">
        <v>27303</v>
      </c>
      <c r="C198" s="1258">
        <v>38.223999999999997</v>
      </c>
      <c r="D198" s="1473">
        <f t="shared" si="22"/>
        <v>36.140401325248902</v>
      </c>
      <c r="L198"/>
    </row>
    <row r="199" spans="2:12" ht="15.75">
      <c r="B199" s="627">
        <v>27334</v>
      </c>
      <c r="C199" s="1258">
        <v>38.561</v>
      </c>
      <c r="D199" s="1473">
        <f t="shared" si="22"/>
        <v>36.459031380884298</v>
      </c>
      <c r="L199"/>
    </row>
    <row r="200" spans="2:12" ht="15.75">
      <c r="B200" s="627">
        <v>27364</v>
      </c>
      <c r="C200" s="1258">
        <v>38.561</v>
      </c>
      <c r="D200" s="1473">
        <f t="shared" si="22"/>
        <v>36.459031380884298</v>
      </c>
      <c r="L200"/>
    </row>
    <row r="201" spans="2:12" ht="15.75">
      <c r="B201" s="627">
        <v>27395</v>
      </c>
      <c r="C201" s="1258">
        <v>38.981999999999999</v>
      </c>
      <c r="D201" s="1473">
        <f t="shared" si="22"/>
        <v>36.857082577983803</v>
      </c>
      <c r="L201"/>
    </row>
    <row r="202" spans="2:12" ht="15.75">
      <c r="B202" s="627">
        <v>27426</v>
      </c>
      <c r="C202" s="1258">
        <v>39.234999999999999</v>
      </c>
      <c r="D202" s="1473">
        <f t="shared" si="22"/>
        <v>37.096291492155203</v>
      </c>
      <c r="L202"/>
    </row>
    <row r="203" spans="2:12" ht="15.75">
      <c r="B203" s="627">
        <v>27454</v>
      </c>
      <c r="C203" s="1258">
        <v>39.319000000000003</v>
      </c>
      <c r="D203" s="1473">
        <f t="shared" si="22"/>
        <v>37.175712633619199</v>
      </c>
      <c r="L203"/>
    </row>
    <row r="204" spans="2:12" ht="15.75">
      <c r="B204" s="627">
        <v>27485</v>
      </c>
      <c r="C204" s="1258">
        <v>39.570999999999998</v>
      </c>
      <c r="D204" s="1473">
        <f t="shared" si="22"/>
        <v>37.413976058011301</v>
      </c>
      <c r="L204"/>
    </row>
    <row r="205" spans="2:12" ht="15.75">
      <c r="B205" s="627">
        <v>27515</v>
      </c>
      <c r="C205" s="1258">
        <v>39.823999999999998</v>
      </c>
      <c r="D205" s="1473">
        <f t="shared" si="22"/>
        <v>37.6531849721827</v>
      </c>
      <c r="L205"/>
    </row>
    <row r="206" spans="2:12" ht="15.75">
      <c r="B206" s="627">
        <v>27546</v>
      </c>
      <c r="C206" s="1258">
        <v>40.076999999999998</v>
      </c>
      <c r="D206" s="1473">
        <f t="shared" si="22"/>
        <v>37.8923938863541</v>
      </c>
      <c r="L206"/>
    </row>
    <row r="207" spans="2:12" ht="15.75">
      <c r="B207" s="627">
        <v>27576</v>
      </c>
      <c r="C207" s="1258">
        <v>40.161000000000001</v>
      </c>
      <c r="D207" s="1473">
        <f t="shared" si="22"/>
        <v>37.971815027818103</v>
      </c>
      <c r="L207"/>
    </row>
    <row r="208" spans="2:12" ht="15.75">
      <c r="B208" s="627">
        <v>27607</v>
      </c>
      <c r="C208" s="1258">
        <v>40.076999999999998</v>
      </c>
      <c r="D208" s="1473">
        <f t="shared" si="22"/>
        <v>37.8923938863541</v>
      </c>
      <c r="L208"/>
    </row>
    <row r="209" spans="2:12" ht="15.75">
      <c r="B209" s="627">
        <v>27638</v>
      </c>
      <c r="C209" s="1258">
        <v>40.412999999999997</v>
      </c>
      <c r="D209" s="1473">
        <f t="shared" si="22"/>
        <v>38.210078452210197</v>
      </c>
      <c r="L209"/>
    </row>
    <row r="210" spans="2:12" ht="15.75">
      <c r="B210" s="627">
        <v>27668</v>
      </c>
      <c r="C210" s="1258">
        <v>40.412999999999997</v>
      </c>
      <c r="D210" s="1473">
        <f t="shared" si="22"/>
        <v>38.210078452210197</v>
      </c>
      <c r="L210"/>
    </row>
    <row r="211" spans="2:12" ht="15.75">
      <c r="B211" s="627">
        <v>27699</v>
      </c>
      <c r="C211" s="1258">
        <v>40.582000000000001</v>
      </c>
      <c r="D211" s="1473">
        <f t="shared" si="22"/>
        <v>38.369866224917601</v>
      </c>
      <c r="L211"/>
    </row>
    <row r="212" spans="2:12" ht="15.75">
      <c r="B212" s="627">
        <v>27729</v>
      </c>
      <c r="C212" s="1258">
        <v>40.582000000000001</v>
      </c>
      <c r="D212" s="1473">
        <f t="shared" si="22"/>
        <v>38.369866224917601</v>
      </c>
      <c r="L212"/>
    </row>
    <row r="213" spans="2:12" ht="15.75">
      <c r="B213" s="627">
        <v>27760</v>
      </c>
      <c r="C213" s="1258">
        <v>41.003</v>
      </c>
      <c r="D213" s="1473">
        <f t="shared" si="22"/>
        <v>38.767917422017099</v>
      </c>
      <c r="L213"/>
    </row>
    <row r="214" spans="2:12" ht="15.75">
      <c r="B214" s="627">
        <v>27791</v>
      </c>
      <c r="C214" s="1258">
        <v>41.338999999999999</v>
      </c>
      <c r="D214" s="1473">
        <f t="shared" si="22"/>
        <v>39.085601987873197</v>
      </c>
      <c r="L214"/>
    </row>
    <row r="215" spans="2:12" ht="15.75">
      <c r="B215" s="627">
        <v>27820</v>
      </c>
      <c r="C215" s="1258">
        <v>41.338999999999999</v>
      </c>
      <c r="D215" s="1473">
        <f t="shared" si="22"/>
        <v>39.085601987873197</v>
      </c>
      <c r="L215"/>
    </row>
    <row r="216" spans="2:12" ht="15.75">
      <c r="B216" s="627">
        <v>27851</v>
      </c>
      <c r="C216" s="1258">
        <v>41.508000000000003</v>
      </c>
      <c r="D216" s="1473">
        <f t="shared" si="22"/>
        <v>39.245389760580601</v>
      </c>
      <c r="L216"/>
    </row>
    <row r="217" spans="2:12" ht="15.75">
      <c r="B217" s="627">
        <v>27881</v>
      </c>
      <c r="C217" s="1258">
        <v>41.591999999999999</v>
      </c>
      <c r="D217" s="1473">
        <f t="shared" si="22"/>
        <v>39.324810902044597</v>
      </c>
      <c r="L217"/>
    </row>
    <row r="218" spans="2:12" ht="15.75">
      <c r="B218" s="627">
        <v>27912</v>
      </c>
      <c r="C218" s="1258">
        <v>41.676000000000002</v>
      </c>
      <c r="D218" s="1473">
        <f t="shared" si="22"/>
        <v>39.4042320435086</v>
      </c>
      <c r="L218"/>
    </row>
    <row r="219" spans="2:12" ht="15.75">
      <c r="B219" s="627">
        <v>27942</v>
      </c>
      <c r="C219" s="1258">
        <v>41.676000000000002</v>
      </c>
      <c r="D219" s="1473">
        <f t="shared" si="22"/>
        <v>39.4042320435086</v>
      </c>
      <c r="L219"/>
    </row>
    <row r="220" spans="2:12" ht="15.75">
      <c r="B220" s="627">
        <v>27973</v>
      </c>
      <c r="C220" s="1258">
        <v>41.76</v>
      </c>
      <c r="D220" s="1473">
        <f t="shared" si="22"/>
        <v>39.483653184972603</v>
      </c>
      <c r="L220"/>
    </row>
    <row r="221" spans="2:12" ht="15.75">
      <c r="B221" s="627">
        <v>28004</v>
      </c>
      <c r="C221" s="1258">
        <v>41.844999999999999</v>
      </c>
      <c r="D221" s="1473">
        <f t="shared" si="22"/>
        <v>39.564019816216003</v>
      </c>
      <c r="L221"/>
    </row>
    <row r="222" spans="2:12" ht="15.75">
      <c r="B222" s="627">
        <v>28034</v>
      </c>
      <c r="C222" s="1258">
        <v>41.929000000000002</v>
      </c>
      <c r="D222" s="1473">
        <f t="shared" si="22"/>
        <v>39.643440957679999</v>
      </c>
      <c r="L222"/>
    </row>
    <row r="223" spans="2:12" ht="15.75">
      <c r="B223" s="627">
        <v>28065</v>
      </c>
      <c r="C223" s="1258">
        <v>42.097000000000001</v>
      </c>
      <c r="D223" s="1473">
        <f t="shared" si="22"/>
        <v>39.802283240608098</v>
      </c>
      <c r="L223"/>
    </row>
    <row r="224" spans="2:12" ht="15.75">
      <c r="B224" s="627">
        <v>28095</v>
      </c>
      <c r="C224" s="1258">
        <v>42.097000000000001</v>
      </c>
      <c r="D224" s="1473">
        <f t="shared" si="22"/>
        <v>39.802283240608098</v>
      </c>
      <c r="L224"/>
    </row>
    <row r="225" spans="2:12" ht="15.75">
      <c r="B225" s="627">
        <v>28126</v>
      </c>
      <c r="C225" s="1258">
        <v>42.601999999999997</v>
      </c>
      <c r="D225" s="1473">
        <f t="shared" si="22"/>
        <v>40.279755579171599</v>
      </c>
      <c r="L225"/>
    </row>
    <row r="226" spans="2:12" ht="15.75">
      <c r="B226" s="627">
        <v>28157</v>
      </c>
      <c r="C226" s="1258">
        <v>42.854999999999997</v>
      </c>
      <c r="D226" s="1473">
        <f t="shared" si="22"/>
        <v>40.518964493342999</v>
      </c>
      <c r="L226"/>
    </row>
    <row r="227" spans="2:12" ht="15.75">
      <c r="B227" s="627">
        <v>28185</v>
      </c>
      <c r="C227" s="1258">
        <v>42.854999999999997</v>
      </c>
      <c r="D227" s="1473">
        <f t="shared" si="22"/>
        <v>40.518964493342999</v>
      </c>
      <c r="L227"/>
    </row>
    <row r="228" spans="2:12" ht="15.75">
      <c r="B228" s="627">
        <v>28216</v>
      </c>
      <c r="C228" s="1258">
        <v>43.023000000000003</v>
      </c>
      <c r="D228" s="1473">
        <f t="shared" si="22"/>
        <v>40.677806776271098</v>
      </c>
      <c r="L228"/>
    </row>
    <row r="229" spans="2:12" ht="15.75">
      <c r="B229" s="627">
        <v>28246</v>
      </c>
      <c r="C229" s="1258">
        <v>43.192</v>
      </c>
      <c r="D229" s="1473">
        <f t="shared" si="22"/>
        <v>40.837594548978501</v>
      </c>
      <c r="L229"/>
    </row>
    <row r="230" spans="2:12" ht="15.75">
      <c r="B230" s="627">
        <v>28277</v>
      </c>
      <c r="C230" s="1258">
        <v>43.276000000000003</v>
      </c>
      <c r="D230" s="1473">
        <f t="shared" si="22"/>
        <v>40.917015690442497</v>
      </c>
      <c r="L230"/>
    </row>
    <row r="231" spans="2:12" ht="15.75">
      <c r="B231" s="627">
        <v>28307</v>
      </c>
      <c r="C231" s="1258">
        <v>43.276000000000003</v>
      </c>
      <c r="D231" s="1473">
        <f t="shared" si="22"/>
        <v>40.917015690442497</v>
      </c>
      <c r="L231"/>
    </row>
    <row r="232" spans="2:12" ht="15.75">
      <c r="B232" s="627">
        <v>28338</v>
      </c>
      <c r="C232" s="1258">
        <v>43.36</v>
      </c>
      <c r="D232" s="1473">
        <f t="shared" si="22"/>
        <v>40.9964368319065</v>
      </c>
      <c r="L232"/>
    </row>
    <row r="233" spans="2:12" ht="15.75">
      <c r="B233" s="627">
        <v>28369</v>
      </c>
      <c r="C233" s="1258">
        <v>43.444000000000003</v>
      </c>
      <c r="D233" s="1473">
        <f t="shared" si="22"/>
        <v>41.075857973370503</v>
      </c>
      <c r="L233"/>
    </row>
    <row r="234" spans="2:12" ht="15.75">
      <c r="B234" s="627">
        <v>28399</v>
      </c>
      <c r="C234" s="1258">
        <v>43.444000000000003</v>
      </c>
      <c r="D234" s="1473">
        <f t="shared" si="22"/>
        <v>41.075857973370503</v>
      </c>
      <c r="L234"/>
    </row>
    <row r="235" spans="2:12" ht="15.75">
      <c r="B235" s="627">
        <v>28430</v>
      </c>
      <c r="C235" s="1258">
        <v>43.613</v>
      </c>
      <c r="D235" s="1473">
        <f t="shared" si="22"/>
        <v>41.2356457460779</v>
      </c>
      <c r="L235"/>
    </row>
    <row r="236" spans="2:12" ht="15.75">
      <c r="B236" s="627">
        <v>28460</v>
      </c>
      <c r="C236" s="1258">
        <v>43.613</v>
      </c>
      <c r="D236" s="1473">
        <f t="shared" si="22"/>
        <v>41.2356457460779</v>
      </c>
      <c r="L236"/>
    </row>
    <row r="237" spans="2:12" ht="15.75">
      <c r="B237" s="627">
        <v>28491</v>
      </c>
      <c r="C237" s="1258">
        <v>43.865000000000002</v>
      </c>
      <c r="D237" s="1473">
        <f t="shared" si="22"/>
        <v>41.473909170470002</v>
      </c>
      <c r="L237"/>
    </row>
    <row r="238" spans="2:12" ht="15.75">
      <c r="B238" s="627">
        <v>28522</v>
      </c>
      <c r="C238" s="1258">
        <v>44.118000000000002</v>
      </c>
      <c r="D238" s="1473">
        <f t="shared" si="22"/>
        <v>41.713118084641401</v>
      </c>
      <c r="L238"/>
    </row>
    <row r="239" spans="2:12" ht="15.75">
      <c r="B239" s="627">
        <v>28550</v>
      </c>
      <c r="C239" s="1258">
        <v>44.118000000000002</v>
      </c>
      <c r="D239" s="1473">
        <f t="shared" si="22"/>
        <v>41.713118084641401</v>
      </c>
      <c r="L239"/>
    </row>
    <row r="240" spans="2:12" ht="15.75">
      <c r="B240" s="627">
        <v>28581</v>
      </c>
      <c r="C240" s="1258">
        <v>44.286000000000001</v>
      </c>
      <c r="D240" s="1473">
        <f t="shared" si="22"/>
        <v>41.8719603675694</v>
      </c>
      <c r="L240"/>
    </row>
    <row r="241" spans="2:12" ht="15.75">
      <c r="B241" s="627">
        <v>28611</v>
      </c>
      <c r="C241" s="1258">
        <v>44.37</v>
      </c>
      <c r="D241" s="1473">
        <f t="shared" si="22"/>
        <v>41.951381509033403</v>
      </c>
      <c r="L241"/>
    </row>
    <row r="242" spans="2:12" ht="15.75">
      <c r="B242" s="627">
        <v>28642</v>
      </c>
      <c r="C242" s="1258">
        <v>44.454999999999998</v>
      </c>
      <c r="D242" s="1473">
        <f t="shared" si="22"/>
        <v>42.031748140276797</v>
      </c>
      <c r="L242"/>
    </row>
    <row r="243" spans="2:12" ht="15.75">
      <c r="B243" s="627">
        <v>28672</v>
      </c>
      <c r="C243" s="1258">
        <v>44.454999999999998</v>
      </c>
      <c r="D243" s="1473">
        <f t="shared" si="22"/>
        <v>42.031748140276797</v>
      </c>
      <c r="L243"/>
    </row>
    <row r="244" spans="2:12" ht="15.75">
      <c r="B244" s="627">
        <v>28703</v>
      </c>
      <c r="C244" s="1258">
        <v>44.37</v>
      </c>
      <c r="D244" s="1473">
        <f t="shared" si="22"/>
        <v>41.951381509033403</v>
      </c>
      <c r="L244"/>
    </row>
    <row r="245" spans="2:12" ht="15.75">
      <c r="B245" s="627">
        <v>28734</v>
      </c>
      <c r="C245" s="1258">
        <v>44.454999999999998</v>
      </c>
      <c r="D245" s="1473">
        <f t="shared" si="22"/>
        <v>42.031748140276797</v>
      </c>
      <c r="L245"/>
    </row>
    <row r="246" spans="2:12" ht="15.75">
      <c r="B246" s="627">
        <v>28764</v>
      </c>
      <c r="C246" s="1258">
        <v>44.454999999999998</v>
      </c>
      <c r="D246" s="1473">
        <f t="shared" si="22"/>
        <v>42.031748140276797</v>
      </c>
      <c r="L246"/>
    </row>
    <row r="247" spans="2:12" ht="15.75">
      <c r="B247" s="627">
        <v>28795</v>
      </c>
      <c r="C247" s="1258">
        <v>44.622999999999998</v>
      </c>
      <c r="D247" s="1473">
        <f t="shared" si="22"/>
        <v>42.190590423204803</v>
      </c>
      <c r="L247"/>
    </row>
    <row r="248" spans="2:12" ht="15.75">
      <c r="B248" s="627">
        <v>28825</v>
      </c>
      <c r="C248" s="1258">
        <v>44.707000000000001</v>
      </c>
      <c r="D248" s="1473">
        <f t="shared" si="22"/>
        <v>42.270011564668799</v>
      </c>
      <c r="L248"/>
    </row>
    <row r="249" spans="2:12" ht="15.75">
      <c r="B249" s="627">
        <v>28856</v>
      </c>
      <c r="C249" s="1258">
        <v>45.128</v>
      </c>
      <c r="D249" s="1473">
        <f t="shared" si="22"/>
        <v>42.668062761768297</v>
      </c>
      <c r="L249"/>
    </row>
    <row r="250" spans="2:12" ht="15.75">
      <c r="B250" s="627">
        <v>28887</v>
      </c>
      <c r="C250" s="1258">
        <v>45.381</v>
      </c>
      <c r="D250" s="1473">
        <f t="shared" si="22"/>
        <v>42.907271675939697</v>
      </c>
      <c r="L250"/>
    </row>
    <row r="251" spans="2:12" ht="15.75">
      <c r="B251" s="627">
        <v>28915</v>
      </c>
      <c r="C251" s="1258">
        <v>45.465000000000003</v>
      </c>
      <c r="D251" s="1473">
        <f t="shared" si="22"/>
        <v>42.9866928174037</v>
      </c>
      <c r="L251"/>
    </row>
    <row r="252" spans="2:12" ht="15.75">
      <c r="B252" s="627">
        <v>28946</v>
      </c>
      <c r="C252" s="1258">
        <v>45.718000000000004</v>
      </c>
      <c r="D252" s="1473">
        <f t="shared" si="22"/>
        <v>43.2259017315751</v>
      </c>
      <c r="L252"/>
    </row>
    <row r="253" spans="2:12" ht="15.75">
      <c r="B253" s="627">
        <v>28976</v>
      </c>
      <c r="C253" s="1258">
        <v>45.886000000000003</v>
      </c>
      <c r="D253" s="1473">
        <f t="shared" si="22"/>
        <v>43.384744014503198</v>
      </c>
      <c r="L253"/>
    </row>
    <row r="254" spans="2:12" ht="15.75">
      <c r="B254" s="627">
        <v>29007</v>
      </c>
      <c r="C254" s="1258">
        <v>46.054000000000002</v>
      </c>
      <c r="D254" s="1473">
        <f t="shared" si="22"/>
        <v>43.543586297431297</v>
      </c>
      <c r="L254"/>
    </row>
    <row r="255" spans="2:12" ht="15.75">
      <c r="B255" s="627">
        <v>29037</v>
      </c>
      <c r="C255" s="1258">
        <v>46.475000000000001</v>
      </c>
      <c r="D255" s="1473">
        <f t="shared" si="22"/>
        <v>43.941637494530802</v>
      </c>
      <c r="L255"/>
    </row>
    <row r="256" spans="2:12" ht="15.75">
      <c r="B256" s="627">
        <v>29068</v>
      </c>
      <c r="C256" s="1258">
        <v>46.475000000000001</v>
      </c>
      <c r="D256" s="1473">
        <f t="shared" si="22"/>
        <v>43.941637494530802</v>
      </c>
      <c r="L256"/>
    </row>
    <row r="257" spans="2:12" ht="15.75">
      <c r="B257" s="627">
        <v>29099</v>
      </c>
      <c r="C257" s="1258">
        <v>46.643999999999998</v>
      </c>
      <c r="D257" s="1473">
        <f t="shared" si="22"/>
        <v>44.101425267238199</v>
      </c>
      <c r="L257"/>
    </row>
    <row r="258" spans="2:12" ht="15.75">
      <c r="B258" s="627">
        <v>29129</v>
      </c>
      <c r="C258" s="1258">
        <v>46.811999999999998</v>
      </c>
      <c r="D258" s="1473">
        <f t="shared" si="22"/>
        <v>44.260267550166297</v>
      </c>
      <c r="L258"/>
    </row>
    <row r="259" spans="2:12" ht="15.75">
      <c r="B259" s="627">
        <v>29160</v>
      </c>
      <c r="C259" s="1258">
        <v>46.98</v>
      </c>
      <c r="D259" s="1473">
        <f t="shared" ref="D259:D322" si="23">ROUND(+D260*C259/C260,19)</f>
        <v>44.419109833094303</v>
      </c>
      <c r="L259"/>
    </row>
    <row r="260" spans="2:12" ht="15.75">
      <c r="B260" s="627">
        <v>29190</v>
      </c>
      <c r="C260" s="1258">
        <v>47.064999999999998</v>
      </c>
      <c r="D260" s="1473">
        <f t="shared" si="23"/>
        <v>44.499476464337697</v>
      </c>
      <c r="L260"/>
    </row>
    <row r="261" spans="2:12" ht="15.75">
      <c r="B261" s="627">
        <v>29221</v>
      </c>
      <c r="C261" s="1258">
        <v>47.317</v>
      </c>
      <c r="D261" s="1473">
        <f t="shared" si="23"/>
        <v>44.737739888729799</v>
      </c>
      <c r="L261"/>
    </row>
    <row r="262" spans="2:12" ht="15.75">
      <c r="B262" s="627">
        <v>29252</v>
      </c>
      <c r="C262" s="1258">
        <v>47.991</v>
      </c>
      <c r="D262" s="1473">
        <f t="shared" si="23"/>
        <v>45.375000000000703</v>
      </c>
      <c r="L262"/>
    </row>
    <row r="263" spans="2:12" ht="15.75">
      <c r="B263" s="627">
        <v>29281</v>
      </c>
      <c r="C263" s="1258">
        <v>48.158999999999999</v>
      </c>
      <c r="D263" s="1473">
        <f t="shared" si="23"/>
        <v>45.533842282928703</v>
      </c>
      <c r="L263"/>
    </row>
    <row r="264" spans="2:12" ht="15.75">
      <c r="B264" s="627">
        <v>29312</v>
      </c>
      <c r="C264" s="1258">
        <v>48.328000000000003</v>
      </c>
      <c r="D264" s="1473">
        <f t="shared" si="23"/>
        <v>45.693630055636099</v>
      </c>
      <c r="L264"/>
    </row>
    <row r="265" spans="2:12" ht="15.75">
      <c r="B265" s="627">
        <v>29342</v>
      </c>
      <c r="C265" s="1258">
        <v>48.58</v>
      </c>
      <c r="D265" s="1473">
        <f t="shared" si="23"/>
        <v>45.931893480028201</v>
      </c>
      <c r="L265"/>
    </row>
    <row r="266" spans="2:12" ht="15.75">
      <c r="B266" s="627">
        <v>29373</v>
      </c>
      <c r="C266" s="1258">
        <v>48.664000000000001</v>
      </c>
      <c r="D266" s="1473">
        <f t="shared" si="23"/>
        <v>46.011314621492197</v>
      </c>
      <c r="L266"/>
    </row>
    <row r="267" spans="2:12" ht="15.75">
      <c r="B267" s="627">
        <v>29403</v>
      </c>
      <c r="C267" s="1258">
        <v>48.832999999999998</v>
      </c>
      <c r="D267" s="1473">
        <f t="shared" si="23"/>
        <v>46.1711023941996</v>
      </c>
      <c r="L267"/>
    </row>
    <row r="268" spans="2:12" ht="15.75">
      <c r="B268" s="627">
        <v>29434</v>
      </c>
      <c r="C268" s="1258">
        <v>48.917000000000002</v>
      </c>
      <c r="D268" s="1473">
        <f t="shared" si="23"/>
        <v>46.250523535663604</v>
      </c>
      <c r="L268"/>
    </row>
    <row r="269" spans="2:12" ht="15.75">
      <c r="B269" s="627">
        <v>29465</v>
      </c>
      <c r="C269" s="1258">
        <v>49.000999999999998</v>
      </c>
      <c r="D269" s="1473">
        <f t="shared" si="23"/>
        <v>46.3299446771276</v>
      </c>
      <c r="L269"/>
    </row>
    <row r="270" spans="2:12" ht="15.75">
      <c r="B270" s="627">
        <v>29495</v>
      </c>
      <c r="C270" s="1258">
        <v>49.085000000000001</v>
      </c>
      <c r="D270" s="1473">
        <f t="shared" si="23"/>
        <v>46.409365818591603</v>
      </c>
      <c r="L270"/>
    </row>
    <row r="271" spans="2:12" ht="15.75">
      <c r="B271" s="627">
        <v>29526</v>
      </c>
      <c r="C271" s="1258">
        <v>49.421999999999997</v>
      </c>
      <c r="D271" s="1473">
        <f t="shared" si="23"/>
        <v>46.727995874226998</v>
      </c>
      <c r="L271"/>
    </row>
    <row r="272" spans="2:12" ht="15.75">
      <c r="B272" s="627">
        <v>29556</v>
      </c>
      <c r="C272" s="1258">
        <v>49.674999999999997</v>
      </c>
      <c r="D272" s="1473">
        <f t="shared" si="23"/>
        <v>46.967204788398398</v>
      </c>
      <c r="L272"/>
    </row>
    <row r="273" spans="2:12" ht="15.75">
      <c r="B273" s="627">
        <v>29587</v>
      </c>
      <c r="C273" s="1258">
        <v>50.18</v>
      </c>
      <c r="D273" s="1473">
        <f t="shared" si="23"/>
        <v>47.444677126961899</v>
      </c>
      <c r="L273"/>
    </row>
    <row r="274" spans="2:12" ht="15.75">
      <c r="B274" s="627">
        <v>29618</v>
      </c>
      <c r="C274" s="1258">
        <v>50.600999999999999</v>
      </c>
      <c r="D274" s="1473">
        <f t="shared" si="23"/>
        <v>47.842728324061397</v>
      </c>
      <c r="L274"/>
    </row>
    <row r="275" spans="2:12" ht="15.75">
      <c r="B275" s="627">
        <v>29646</v>
      </c>
      <c r="C275" s="1258">
        <v>50.938000000000002</v>
      </c>
      <c r="D275" s="1473">
        <f t="shared" si="23"/>
        <v>48.1613583796968</v>
      </c>
      <c r="L275"/>
    </row>
    <row r="276" spans="2:12" ht="15.75">
      <c r="B276" s="627">
        <v>29677</v>
      </c>
      <c r="C276" s="1258">
        <v>51.19</v>
      </c>
      <c r="D276" s="1473">
        <f t="shared" si="23"/>
        <v>48.399621804088902</v>
      </c>
      <c r="L276"/>
    </row>
    <row r="277" spans="2:12" ht="15.75">
      <c r="B277" s="627">
        <v>29707</v>
      </c>
      <c r="C277" s="1258">
        <v>51.442999999999998</v>
      </c>
      <c r="D277" s="1473">
        <f t="shared" si="23"/>
        <v>48.638830718260301</v>
      </c>
      <c r="L277"/>
    </row>
    <row r="278" spans="2:12" ht="15.75">
      <c r="B278" s="627">
        <v>29738</v>
      </c>
      <c r="C278" s="1258">
        <v>51.527000000000001</v>
      </c>
      <c r="D278" s="1473">
        <f t="shared" si="23"/>
        <v>48.718251859724298</v>
      </c>
      <c r="L278"/>
    </row>
    <row r="279" spans="2:12" ht="15.75">
      <c r="B279" s="627">
        <v>29768</v>
      </c>
      <c r="C279" s="1258">
        <v>52.031999999999996</v>
      </c>
      <c r="D279" s="1473">
        <f t="shared" si="23"/>
        <v>49.195724198287799</v>
      </c>
      <c r="L279"/>
    </row>
    <row r="280" spans="2:12" ht="15.75">
      <c r="B280" s="627">
        <v>29799</v>
      </c>
      <c r="C280" s="1258">
        <v>52.116</v>
      </c>
      <c r="D280" s="1473">
        <f t="shared" si="23"/>
        <v>49.275145339751802</v>
      </c>
      <c r="L280"/>
    </row>
    <row r="281" spans="2:12" ht="15.75">
      <c r="B281" s="627">
        <v>29830</v>
      </c>
      <c r="C281" s="1258">
        <v>52.453000000000003</v>
      </c>
      <c r="D281" s="1473">
        <f t="shared" si="23"/>
        <v>49.593775395387198</v>
      </c>
      <c r="L281"/>
    </row>
    <row r="282" spans="2:12" ht="15.75">
      <c r="B282" s="627">
        <v>29860</v>
      </c>
      <c r="C282" s="1258">
        <v>52.706000000000003</v>
      </c>
      <c r="D282" s="1473">
        <f t="shared" si="23"/>
        <v>49.832984309558597</v>
      </c>
      <c r="L282"/>
    </row>
    <row r="283" spans="2:12" ht="15.75">
      <c r="B283" s="627">
        <v>29891</v>
      </c>
      <c r="C283" s="1258">
        <v>52.957999999999998</v>
      </c>
      <c r="D283" s="1473">
        <f t="shared" si="23"/>
        <v>50.071247733950699</v>
      </c>
      <c r="L283"/>
    </row>
    <row r="284" spans="2:12" ht="15.75">
      <c r="B284" s="627">
        <v>29921</v>
      </c>
      <c r="C284" s="1258">
        <v>53.042000000000002</v>
      </c>
      <c r="D284" s="1473">
        <f t="shared" si="23"/>
        <v>50.150668875414702</v>
      </c>
      <c r="L284"/>
    </row>
    <row r="285" spans="2:12" ht="15.75">
      <c r="B285" s="627">
        <v>29952</v>
      </c>
      <c r="C285" s="1258">
        <v>53.463000000000001</v>
      </c>
      <c r="D285" s="1473">
        <f t="shared" si="23"/>
        <v>50.5487200725142</v>
      </c>
      <c r="L285"/>
    </row>
    <row r="286" spans="2:12" ht="15.75">
      <c r="B286" s="627">
        <v>29983</v>
      </c>
      <c r="C286" s="1258">
        <v>53.716000000000001</v>
      </c>
      <c r="D286" s="1473">
        <f t="shared" si="23"/>
        <v>50.7879289866856</v>
      </c>
      <c r="L286"/>
    </row>
    <row r="287" spans="2:12" ht="15.75">
      <c r="B287" s="627">
        <v>30011</v>
      </c>
      <c r="C287" s="1258">
        <v>53.631999999999998</v>
      </c>
      <c r="D287" s="1473">
        <f t="shared" si="23"/>
        <v>50.708507845221597</v>
      </c>
      <c r="L287"/>
    </row>
    <row r="288" spans="2:12" ht="15.75">
      <c r="B288" s="627">
        <v>30042</v>
      </c>
      <c r="C288" s="1258">
        <v>53.631999999999998</v>
      </c>
      <c r="D288" s="1473">
        <f t="shared" si="23"/>
        <v>50.708507845221597</v>
      </c>
      <c r="L288"/>
    </row>
    <row r="289" spans="2:12" ht="15.75">
      <c r="B289" s="627">
        <v>30072</v>
      </c>
      <c r="C289" s="1258">
        <v>54.052999999999997</v>
      </c>
      <c r="D289" s="1473">
        <f t="shared" si="23"/>
        <v>51.106559042321102</v>
      </c>
      <c r="L289"/>
    </row>
    <row r="290" spans="2:12" ht="15.75">
      <c r="B290" s="627">
        <v>30103</v>
      </c>
      <c r="C290" s="1258">
        <v>54.558</v>
      </c>
      <c r="D290" s="1473">
        <f t="shared" si="23"/>
        <v>51.584031380884603</v>
      </c>
      <c r="L290"/>
    </row>
    <row r="291" spans="2:12" ht="15.75">
      <c r="B291" s="627">
        <v>30133</v>
      </c>
      <c r="C291" s="1258">
        <v>54.811</v>
      </c>
      <c r="D291" s="1473">
        <f t="shared" si="23"/>
        <v>51.823240295056003</v>
      </c>
      <c r="L291"/>
    </row>
    <row r="292" spans="2:12" ht="15.75">
      <c r="B292" s="627">
        <v>30164</v>
      </c>
      <c r="C292" s="1258">
        <v>54.725999999999999</v>
      </c>
      <c r="D292" s="1473">
        <f t="shared" si="23"/>
        <v>51.742873663812603</v>
      </c>
      <c r="L292"/>
    </row>
    <row r="293" spans="2:12" ht="15.75">
      <c r="B293" s="627">
        <v>30195</v>
      </c>
      <c r="C293" s="1258">
        <v>54.978999999999999</v>
      </c>
      <c r="D293" s="1473">
        <f t="shared" si="23"/>
        <v>51.982082577984002</v>
      </c>
      <c r="L293"/>
    </row>
    <row r="294" spans="2:12" ht="15.75">
      <c r="B294" s="627">
        <v>30225</v>
      </c>
      <c r="C294" s="1258">
        <v>55.231000000000002</v>
      </c>
      <c r="D294" s="1473">
        <f t="shared" si="23"/>
        <v>52.220346002376097</v>
      </c>
      <c r="L294"/>
    </row>
    <row r="295" spans="2:12" ht="15.75">
      <c r="B295" s="627">
        <v>30256</v>
      </c>
      <c r="C295" s="1258">
        <v>55.4</v>
      </c>
      <c r="D295" s="1473">
        <f t="shared" si="23"/>
        <v>52.3801337750835</v>
      </c>
      <c r="L295"/>
    </row>
    <row r="296" spans="2:12" ht="15.75">
      <c r="B296" s="627">
        <v>30286</v>
      </c>
      <c r="C296" s="1258">
        <v>55.484000000000002</v>
      </c>
      <c r="D296" s="1473">
        <f t="shared" si="23"/>
        <v>52.459554916547503</v>
      </c>
      <c r="L296"/>
    </row>
    <row r="297" spans="2:12" ht="15.75">
      <c r="B297" s="627">
        <v>30317</v>
      </c>
      <c r="C297" s="1258">
        <v>55.737000000000002</v>
      </c>
      <c r="D297" s="1473">
        <f t="shared" si="23"/>
        <v>52.698763830718903</v>
      </c>
      <c r="L297"/>
    </row>
    <row r="298" spans="2:12" ht="15.75">
      <c r="B298" s="627">
        <v>30348</v>
      </c>
      <c r="C298" s="1258">
        <v>55.820999999999998</v>
      </c>
      <c r="D298" s="1473">
        <f t="shared" si="23"/>
        <v>52.778184972182899</v>
      </c>
      <c r="L298"/>
    </row>
    <row r="299" spans="2:12" ht="15.75">
      <c r="B299" s="627">
        <v>30376</v>
      </c>
      <c r="C299" s="1258">
        <v>55.737000000000002</v>
      </c>
      <c r="D299" s="1473">
        <f t="shared" si="23"/>
        <v>52.698763830718903</v>
      </c>
      <c r="L299"/>
    </row>
    <row r="300" spans="2:12" ht="15.75">
      <c r="B300" s="627">
        <v>30407</v>
      </c>
      <c r="C300" s="1258">
        <v>55.737000000000002</v>
      </c>
      <c r="D300" s="1473">
        <f t="shared" si="23"/>
        <v>52.698763830718903</v>
      </c>
      <c r="L300"/>
    </row>
    <row r="301" spans="2:12" ht="15.75">
      <c r="B301" s="627">
        <v>30437</v>
      </c>
      <c r="C301" s="1258">
        <v>55.905000000000001</v>
      </c>
      <c r="D301" s="1473">
        <f t="shared" si="23"/>
        <v>52.857606113646902</v>
      </c>
      <c r="L301"/>
    </row>
    <row r="302" spans="2:12" ht="15.75">
      <c r="B302" s="627">
        <v>30468</v>
      </c>
      <c r="C302" s="1258">
        <v>56.073</v>
      </c>
      <c r="D302" s="1473">
        <f t="shared" si="23"/>
        <v>53.016448396574901</v>
      </c>
      <c r="L302"/>
    </row>
    <row r="303" spans="2:12" ht="15.75">
      <c r="B303" s="627">
        <v>30498</v>
      </c>
      <c r="C303" s="1258">
        <v>56.326000000000001</v>
      </c>
      <c r="D303" s="1473">
        <f t="shared" si="23"/>
        <v>53.255657310746301</v>
      </c>
      <c r="L303"/>
    </row>
    <row r="304" spans="2:12" ht="15.75">
      <c r="B304" s="627">
        <v>30529</v>
      </c>
      <c r="C304" s="1258">
        <v>56.579000000000001</v>
      </c>
      <c r="D304" s="1473">
        <f t="shared" si="23"/>
        <v>53.4948662249177</v>
      </c>
      <c r="L304"/>
    </row>
    <row r="305" spans="2:12" ht="15.75">
      <c r="B305" s="627">
        <v>30560</v>
      </c>
      <c r="C305" s="1258">
        <v>56.747</v>
      </c>
      <c r="D305" s="1473">
        <f t="shared" si="23"/>
        <v>53.6537085078457</v>
      </c>
      <c r="L305"/>
    </row>
    <row r="306" spans="2:12" ht="15.75">
      <c r="B306" s="627">
        <v>30590</v>
      </c>
      <c r="C306" s="1258">
        <v>56.747</v>
      </c>
      <c r="D306" s="1473">
        <f t="shared" si="23"/>
        <v>53.6537085078457</v>
      </c>
      <c r="L306"/>
    </row>
    <row r="307" spans="2:12" ht="15.75">
      <c r="B307" s="627">
        <v>30621</v>
      </c>
      <c r="C307" s="1258">
        <v>56.831000000000003</v>
      </c>
      <c r="D307" s="1473">
        <f t="shared" si="23"/>
        <v>53.733129649309703</v>
      </c>
      <c r="L307"/>
    </row>
    <row r="308" spans="2:12" ht="15.75">
      <c r="B308" s="627">
        <v>30651</v>
      </c>
      <c r="C308" s="1258">
        <v>56.914999999999999</v>
      </c>
      <c r="D308" s="1473">
        <f t="shared" si="23"/>
        <v>53.812550790773699</v>
      </c>
      <c r="L308"/>
    </row>
    <row r="309" spans="2:12" ht="15.75">
      <c r="B309" s="627">
        <v>30682</v>
      </c>
      <c r="C309" s="1258">
        <v>57.167999999999999</v>
      </c>
      <c r="D309" s="1473">
        <f t="shared" si="23"/>
        <v>54.051759704945098</v>
      </c>
      <c r="L309"/>
    </row>
    <row r="310" spans="2:12" ht="15.75">
      <c r="B310" s="627">
        <v>30713</v>
      </c>
      <c r="C310" s="1258">
        <v>57.505000000000003</v>
      </c>
      <c r="D310" s="1473">
        <f t="shared" si="23"/>
        <v>54.370389760580501</v>
      </c>
      <c r="L310"/>
    </row>
    <row r="311" spans="2:12" ht="15.75">
      <c r="B311" s="627">
        <v>30742</v>
      </c>
      <c r="C311" s="1258">
        <v>57.420999999999999</v>
      </c>
      <c r="D311" s="1473">
        <f t="shared" si="23"/>
        <v>54.290968619116498</v>
      </c>
      <c r="L311"/>
    </row>
    <row r="312" spans="2:12" ht="15.75">
      <c r="B312" s="627">
        <v>30773</v>
      </c>
      <c r="C312" s="1258">
        <v>57.420999999999999</v>
      </c>
      <c r="D312" s="1473">
        <f t="shared" si="23"/>
        <v>54.290968619116498</v>
      </c>
      <c r="L312"/>
    </row>
    <row r="313" spans="2:12" ht="15.75">
      <c r="B313" s="627">
        <v>30803</v>
      </c>
      <c r="C313" s="1258">
        <v>57.505000000000003</v>
      </c>
      <c r="D313" s="1473">
        <f t="shared" si="23"/>
        <v>54.370389760580501</v>
      </c>
      <c r="L313"/>
    </row>
    <row r="314" spans="2:12" ht="15.75">
      <c r="B314" s="627">
        <v>30834</v>
      </c>
      <c r="C314" s="1258">
        <v>57.588999999999999</v>
      </c>
      <c r="D314" s="1473">
        <f t="shared" si="23"/>
        <v>54.449810902044497</v>
      </c>
      <c r="L314"/>
    </row>
    <row r="315" spans="2:12" ht="15.75">
      <c r="B315" s="627">
        <v>30864</v>
      </c>
      <c r="C315" s="1258">
        <v>57.588999999999999</v>
      </c>
      <c r="D315" s="1473">
        <f t="shared" si="23"/>
        <v>54.449810902044497</v>
      </c>
      <c r="L315"/>
    </row>
    <row r="316" spans="2:12" ht="15.75">
      <c r="B316" s="627">
        <v>30895</v>
      </c>
      <c r="C316" s="1258">
        <v>57.505000000000003</v>
      </c>
      <c r="D316" s="1473">
        <f t="shared" si="23"/>
        <v>54.370389760580501</v>
      </c>
      <c r="L316"/>
    </row>
    <row r="317" spans="2:12" ht="15.75">
      <c r="B317" s="627">
        <v>30926</v>
      </c>
      <c r="C317" s="1258">
        <v>57.588999999999999</v>
      </c>
      <c r="D317" s="1473">
        <f t="shared" si="23"/>
        <v>54.449810902044497</v>
      </c>
      <c r="L317"/>
    </row>
    <row r="318" spans="2:12" ht="15.75">
      <c r="B318" s="627">
        <v>30956</v>
      </c>
      <c r="C318" s="1258">
        <v>57.926000000000002</v>
      </c>
      <c r="D318" s="1473">
        <f t="shared" si="23"/>
        <v>54.7684409576799</v>
      </c>
      <c r="L318"/>
    </row>
    <row r="319" spans="2:12" ht="15.75">
      <c r="B319" s="627">
        <v>30987</v>
      </c>
      <c r="C319" s="1258">
        <v>58.094000000000001</v>
      </c>
      <c r="D319" s="1473">
        <f t="shared" si="23"/>
        <v>54.927283240607998</v>
      </c>
      <c r="L319"/>
    </row>
    <row r="320" spans="2:12" ht="15.75">
      <c r="B320" s="627">
        <v>31017</v>
      </c>
      <c r="C320" s="1258">
        <v>58.094000000000001</v>
      </c>
      <c r="D320" s="1473">
        <f t="shared" si="23"/>
        <v>54.927283240607998</v>
      </c>
      <c r="L320"/>
    </row>
    <row r="321" spans="2:12" ht="15.75">
      <c r="B321" s="627">
        <v>31048</v>
      </c>
      <c r="C321" s="1258">
        <v>58.430999999999997</v>
      </c>
      <c r="D321" s="1473">
        <f t="shared" si="23"/>
        <v>55.245913296243401</v>
      </c>
      <c r="L321"/>
    </row>
    <row r="322" spans="2:12" ht="15.75">
      <c r="B322" s="627">
        <v>31079</v>
      </c>
      <c r="C322" s="1258">
        <v>58.768000000000001</v>
      </c>
      <c r="D322" s="1473">
        <f t="shared" si="23"/>
        <v>55.564543351878797</v>
      </c>
      <c r="L322"/>
    </row>
    <row r="323" spans="2:12" ht="15.75">
      <c r="B323" s="627">
        <v>31107</v>
      </c>
      <c r="C323" s="1258">
        <v>58.851999999999997</v>
      </c>
      <c r="D323" s="1473">
        <f t="shared" ref="D323:D386" si="24">ROUND(+D324*C323/C324,19)</f>
        <v>55.6439644933428</v>
      </c>
      <c r="L323"/>
    </row>
    <row r="324" spans="2:12" ht="15.75">
      <c r="B324" s="627">
        <v>31138</v>
      </c>
      <c r="C324" s="1258">
        <v>58.936</v>
      </c>
      <c r="D324" s="1473">
        <f t="shared" si="24"/>
        <v>55.723385634806803</v>
      </c>
      <c r="L324"/>
    </row>
    <row r="325" spans="2:12" ht="15.75">
      <c r="B325" s="627">
        <v>31168</v>
      </c>
      <c r="C325" s="1258">
        <v>58.936</v>
      </c>
      <c r="D325" s="1473">
        <f t="shared" si="24"/>
        <v>55.723385634806803</v>
      </c>
      <c r="L325"/>
    </row>
    <row r="326" spans="2:12" ht="15.75">
      <c r="B326" s="627">
        <v>31199</v>
      </c>
      <c r="C326" s="1258">
        <v>58.851999999999997</v>
      </c>
      <c r="D326" s="1473">
        <f t="shared" si="24"/>
        <v>55.6439644933428</v>
      </c>
      <c r="L326"/>
    </row>
    <row r="327" spans="2:12" ht="15.75">
      <c r="B327" s="627">
        <v>31229</v>
      </c>
      <c r="C327" s="1258">
        <v>58.768000000000001</v>
      </c>
      <c r="D327" s="1473">
        <f t="shared" si="24"/>
        <v>55.564543351878797</v>
      </c>
      <c r="L327"/>
    </row>
    <row r="328" spans="2:12" ht="15.75">
      <c r="B328" s="627">
        <v>31260</v>
      </c>
      <c r="C328" s="1258">
        <v>58.683</v>
      </c>
      <c r="D328" s="1473">
        <f t="shared" si="24"/>
        <v>55.484176720635404</v>
      </c>
      <c r="L328"/>
    </row>
    <row r="329" spans="2:12" ht="15.75">
      <c r="B329" s="627">
        <v>31291</v>
      </c>
      <c r="C329" s="1258">
        <v>58.768000000000001</v>
      </c>
      <c r="D329" s="1473">
        <f t="shared" si="24"/>
        <v>55.564543351878797</v>
      </c>
      <c r="L329"/>
    </row>
    <row r="330" spans="2:12" ht="15.75">
      <c r="B330" s="627">
        <v>31321</v>
      </c>
      <c r="C330" s="1258">
        <v>58.851999999999997</v>
      </c>
      <c r="D330" s="1473">
        <f t="shared" si="24"/>
        <v>55.6439644933428</v>
      </c>
      <c r="L330"/>
    </row>
    <row r="331" spans="2:12" ht="15.75">
      <c r="B331" s="627">
        <v>31352</v>
      </c>
      <c r="C331" s="1258">
        <v>59.02</v>
      </c>
      <c r="D331" s="1473">
        <f t="shared" si="24"/>
        <v>55.802806776270899</v>
      </c>
      <c r="L331"/>
    </row>
    <row r="332" spans="2:12" ht="15.75">
      <c r="B332" s="627">
        <v>31382</v>
      </c>
      <c r="C332" s="1258">
        <v>59.02</v>
      </c>
      <c r="D332" s="1473">
        <f t="shared" si="24"/>
        <v>55.802806776270899</v>
      </c>
      <c r="L332"/>
    </row>
    <row r="333" spans="2:12" ht="15.75">
      <c r="B333" s="627">
        <v>31413</v>
      </c>
      <c r="C333" s="1258">
        <v>59.189</v>
      </c>
      <c r="D333" s="1473">
        <f t="shared" si="24"/>
        <v>55.962594548978302</v>
      </c>
      <c r="L333"/>
    </row>
    <row r="334" spans="2:12" ht="15.75">
      <c r="B334" s="627">
        <v>31444</v>
      </c>
      <c r="C334" s="1258">
        <v>59.273000000000003</v>
      </c>
      <c r="D334" s="1473">
        <f t="shared" si="24"/>
        <v>56.042015690442298</v>
      </c>
      <c r="L334"/>
    </row>
    <row r="335" spans="2:12" ht="15.75">
      <c r="B335" s="627">
        <v>31472</v>
      </c>
      <c r="C335" s="1258">
        <v>58.936</v>
      </c>
      <c r="D335" s="1473">
        <f t="shared" si="24"/>
        <v>55.723385634806903</v>
      </c>
      <c r="L335"/>
    </row>
    <row r="336" spans="2:12" ht="15.75">
      <c r="B336" s="627">
        <v>31503</v>
      </c>
      <c r="C336" s="1258">
        <v>58.851999999999997</v>
      </c>
      <c r="D336" s="1473">
        <f t="shared" si="24"/>
        <v>55.643964493342899</v>
      </c>
      <c r="L336"/>
    </row>
    <row r="337" spans="2:12" ht="15.75">
      <c r="B337" s="627">
        <v>31533</v>
      </c>
      <c r="C337" s="1258">
        <v>58.851999999999997</v>
      </c>
      <c r="D337" s="1473">
        <f t="shared" si="24"/>
        <v>55.643964493342899</v>
      </c>
      <c r="L337"/>
    </row>
    <row r="338" spans="2:12" ht="15.75">
      <c r="B338" s="627">
        <v>31564</v>
      </c>
      <c r="C338" s="1258">
        <v>58.851999999999997</v>
      </c>
      <c r="D338" s="1473">
        <f t="shared" si="24"/>
        <v>55.643964493342899</v>
      </c>
      <c r="L338"/>
    </row>
    <row r="339" spans="2:12" ht="15.75">
      <c r="B339" s="627">
        <v>31594</v>
      </c>
      <c r="C339" s="1258">
        <v>58.598999999999997</v>
      </c>
      <c r="D339" s="1473">
        <f t="shared" si="24"/>
        <v>55.4047555791715</v>
      </c>
      <c r="L339"/>
    </row>
    <row r="340" spans="2:12" ht="15.75">
      <c r="B340" s="627">
        <v>31625</v>
      </c>
      <c r="C340" s="1258">
        <v>58.515000000000001</v>
      </c>
      <c r="D340" s="1473">
        <f t="shared" si="24"/>
        <v>55.325334437707497</v>
      </c>
      <c r="L340"/>
    </row>
    <row r="341" spans="2:12" ht="15.75">
      <c r="B341" s="627">
        <v>31656</v>
      </c>
      <c r="C341" s="1258">
        <v>58.598999999999997</v>
      </c>
      <c r="D341" s="1473">
        <f t="shared" si="24"/>
        <v>55.4047555791715</v>
      </c>
      <c r="L341"/>
    </row>
    <row r="342" spans="2:12" ht="15.75">
      <c r="B342" s="627">
        <v>31686</v>
      </c>
      <c r="C342" s="1258">
        <v>58.430999999999997</v>
      </c>
      <c r="D342" s="1473">
        <f t="shared" si="24"/>
        <v>55.245913296243401</v>
      </c>
      <c r="L342"/>
    </row>
    <row r="343" spans="2:12" ht="15.75">
      <c r="B343" s="627">
        <v>31717</v>
      </c>
      <c r="C343" s="1258">
        <v>58.430999999999997</v>
      </c>
      <c r="D343" s="1473">
        <f t="shared" si="24"/>
        <v>55.245913296243401</v>
      </c>
      <c r="L343"/>
    </row>
    <row r="344" spans="2:12" ht="15.75">
      <c r="B344" s="627">
        <v>31747</v>
      </c>
      <c r="C344" s="1258">
        <v>58.430999999999997</v>
      </c>
      <c r="D344" s="1473">
        <f t="shared" si="24"/>
        <v>55.245913296243401</v>
      </c>
      <c r="L344"/>
    </row>
    <row r="345" spans="2:12" ht="15.75">
      <c r="B345" s="627">
        <v>31778</v>
      </c>
      <c r="C345" s="1258">
        <v>58.768000000000001</v>
      </c>
      <c r="D345" s="1473">
        <f t="shared" si="24"/>
        <v>55.564543351878797</v>
      </c>
      <c r="L345"/>
    </row>
    <row r="346" spans="2:12" ht="15.75">
      <c r="B346" s="627">
        <v>31809</v>
      </c>
      <c r="C346" s="1258">
        <v>58.936</v>
      </c>
      <c r="D346" s="1473">
        <f t="shared" si="24"/>
        <v>55.723385634806803</v>
      </c>
      <c r="L346"/>
    </row>
    <row r="347" spans="2:12" ht="15.75">
      <c r="B347" s="627">
        <v>31837</v>
      </c>
      <c r="C347" s="1258">
        <v>58.768000000000001</v>
      </c>
      <c r="D347" s="1473">
        <f t="shared" si="24"/>
        <v>55.564543351878797</v>
      </c>
      <c r="L347"/>
    </row>
    <row r="348" spans="2:12" ht="15.75">
      <c r="B348" s="627">
        <v>31868</v>
      </c>
      <c r="C348" s="1258">
        <v>58.851999999999997</v>
      </c>
      <c r="D348" s="1473">
        <f t="shared" si="24"/>
        <v>55.6439644933428</v>
      </c>
      <c r="L348"/>
    </row>
    <row r="349" spans="2:12" ht="15.75">
      <c r="B349" s="627">
        <v>31898</v>
      </c>
      <c r="C349" s="1258">
        <v>58.936</v>
      </c>
      <c r="D349" s="1473">
        <f t="shared" si="24"/>
        <v>55.723385634806803</v>
      </c>
      <c r="L349"/>
    </row>
    <row r="350" spans="2:12" ht="15.75">
      <c r="B350" s="627">
        <v>31929</v>
      </c>
      <c r="C350" s="1258">
        <v>58.851999999999997</v>
      </c>
      <c r="D350" s="1473">
        <f t="shared" si="24"/>
        <v>55.6439644933428</v>
      </c>
      <c r="L350"/>
    </row>
    <row r="351" spans="2:12" ht="15.75">
      <c r="B351" s="627">
        <v>31959</v>
      </c>
      <c r="C351" s="1258">
        <v>58.936</v>
      </c>
      <c r="D351" s="1473">
        <f t="shared" si="24"/>
        <v>55.723385634806803</v>
      </c>
      <c r="L351"/>
    </row>
    <row r="352" spans="2:12" ht="15.75">
      <c r="B352" s="627">
        <v>31990</v>
      </c>
      <c r="C352" s="1258">
        <v>58.936</v>
      </c>
      <c r="D352" s="1473">
        <f t="shared" si="24"/>
        <v>55.723385634806803</v>
      </c>
      <c r="L352"/>
    </row>
    <row r="353" spans="2:12" ht="15.75">
      <c r="B353" s="627">
        <v>32021</v>
      </c>
      <c r="C353" s="1258">
        <v>58.851999999999997</v>
      </c>
      <c r="D353" s="1473">
        <f t="shared" si="24"/>
        <v>55.6439644933428</v>
      </c>
      <c r="L353"/>
    </row>
    <row r="354" spans="2:12" ht="15.75">
      <c r="B354" s="627">
        <v>32051</v>
      </c>
      <c r="C354" s="1258">
        <v>58.851999999999997</v>
      </c>
      <c r="D354" s="1473">
        <f t="shared" si="24"/>
        <v>55.6439644933428</v>
      </c>
      <c r="L354"/>
    </row>
    <row r="355" spans="2:12" ht="15.75">
      <c r="B355" s="627">
        <v>32082</v>
      </c>
      <c r="C355" s="1258">
        <v>59.02</v>
      </c>
      <c r="D355" s="1473">
        <f t="shared" si="24"/>
        <v>55.802806776270799</v>
      </c>
      <c r="L355"/>
    </row>
    <row r="356" spans="2:12" ht="15.75">
      <c r="B356" s="627">
        <v>32112</v>
      </c>
      <c r="C356" s="1258">
        <v>59.02</v>
      </c>
      <c r="D356" s="1473">
        <f t="shared" si="24"/>
        <v>55.802806776270799</v>
      </c>
      <c r="L356"/>
    </row>
    <row r="357" spans="2:12" ht="15.75">
      <c r="B357" s="627">
        <v>32143</v>
      </c>
      <c r="C357" s="1258">
        <v>59.273000000000003</v>
      </c>
      <c r="D357" s="1473">
        <f t="shared" si="24"/>
        <v>56.042015690442199</v>
      </c>
      <c r="L357"/>
    </row>
    <row r="358" spans="2:12" ht="15.75">
      <c r="B358" s="627">
        <v>32174</v>
      </c>
      <c r="C358" s="1258">
        <v>59.524999999999999</v>
      </c>
      <c r="D358" s="1473">
        <f t="shared" si="24"/>
        <v>56.2802791148343</v>
      </c>
      <c r="L358"/>
    </row>
    <row r="359" spans="2:12" ht="15.75">
      <c r="B359" s="627">
        <v>32203</v>
      </c>
      <c r="C359" s="1258">
        <v>59.356999999999999</v>
      </c>
      <c r="D359" s="1473">
        <f t="shared" si="24"/>
        <v>56.121436831906202</v>
      </c>
      <c r="L359"/>
    </row>
    <row r="360" spans="2:12" ht="15.75">
      <c r="B360" s="627">
        <v>32234</v>
      </c>
      <c r="C360" s="1258">
        <v>59.524999999999999</v>
      </c>
      <c r="D360" s="1473">
        <f t="shared" si="24"/>
        <v>56.280279114834201</v>
      </c>
      <c r="L360"/>
    </row>
    <row r="361" spans="2:12" ht="15.75">
      <c r="B361" s="627">
        <v>32264</v>
      </c>
      <c r="C361" s="1258">
        <v>59.61</v>
      </c>
      <c r="D361" s="1473">
        <f t="shared" si="24"/>
        <v>56.360645746077601</v>
      </c>
      <c r="L361"/>
    </row>
    <row r="362" spans="2:12" ht="15.75">
      <c r="B362" s="627">
        <v>32295</v>
      </c>
      <c r="C362" s="1258">
        <v>59.61</v>
      </c>
      <c r="D362" s="1473">
        <f t="shared" si="24"/>
        <v>56.360645746077601</v>
      </c>
      <c r="L362"/>
    </row>
    <row r="363" spans="2:12" ht="15.75">
      <c r="B363" s="627">
        <v>32325</v>
      </c>
      <c r="C363" s="1258">
        <v>59.61</v>
      </c>
      <c r="D363" s="1473">
        <f t="shared" si="24"/>
        <v>56.360645746077601</v>
      </c>
      <c r="L363"/>
    </row>
    <row r="364" spans="2:12" ht="15.75">
      <c r="B364" s="627">
        <v>32356</v>
      </c>
      <c r="C364" s="1258">
        <v>59.61</v>
      </c>
      <c r="D364" s="1473">
        <f t="shared" si="24"/>
        <v>56.360645746077601</v>
      </c>
      <c r="L364"/>
    </row>
    <row r="365" spans="2:12" ht="15.75">
      <c r="B365" s="627">
        <v>32387</v>
      </c>
      <c r="C365" s="1258">
        <v>59.694000000000003</v>
      </c>
      <c r="D365" s="1473">
        <f t="shared" si="24"/>
        <v>56.440066887541597</v>
      </c>
      <c r="L365"/>
    </row>
    <row r="366" spans="2:12" ht="15.75">
      <c r="B366" s="627">
        <v>32417</v>
      </c>
      <c r="C366" s="1258">
        <v>59.777999999999999</v>
      </c>
      <c r="D366" s="1473">
        <f t="shared" si="24"/>
        <v>56.519488029005601</v>
      </c>
      <c r="L366"/>
    </row>
    <row r="367" spans="2:12" ht="15.75">
      <c r="B367" s="627">
        <v>32448</v>
      </c>
      <c r="C367" s="1258">
        <v>60.030999999999999</v>
      </c>
      <c r="D367" s="1473">
        <f t="shared" si="24"/>
        <v>56.758696943177</v>
      </c>
      <c r="L367"/>
    </row>
    <row r="368" spans="2:12" ht="15.75">
      <c r="B368" s="627">
        <v>32478</v>
      </c>
      <c r="C368" s="1258">
        <v>60.115000000000002</v>
      </c>
      <c r="D368" s="1473">
        <f t="shared" si="24"/>
        <v>56.838118084641003</v>
      </c>
      <c r="L368"/>
    </row>
    <row r="369" spans="2:12" ht="15.75">
      <c r="B369" s="627">
        <v>32509</v>
      </c>
      <c r="C369" s="1258">
        <v>60.62</v>
      </c>
      <c r="D369" s="1473">
        <f t="shared" si="24"/>
        <v>57.315590423204497</v>
      </c>
      <c r="L369"/>
    </row>
    <row r="370" spans="2:12" ht="15.75">
      <c r="B370" s="627">
        <v>32540</v>
      </c>
      <c r="C370" s="1258">
        <v>60.957000000000001</v>
      </c>
      <c r="D370" s="1473">
        <f t="shared" si="24"/>
        <v>57.6342204788399</v>
      </c>
      <c r="L370"/>
    </row>
    <row r="371" spans="2:12" ht="15.75">
      <c r="B371" s="627">
        <v>32568</v>
      </c>
      <c r="C371" s="1258">
        <v>60.957000000000001</v>
      </c>
      <c r="D371" s="1473">
        <f t="shared" si="24"/>
        <v>57.6342204788399</v>
      </c>
      <c r="L371"/>
    </row>
    <row r="372" spans="2:12" ht="15.75">
      <c r="B372" s="627">
        <v>32599</v>
      </c>
      <c r="C372" s="1258">
        <v>61.209000000000003</v>
      </c>
      <c r="D372" s="1473">
        <f t="shared" si="24"/>
        <v>57.872483903232002</v>
      </c>
      <c r="L372"/>
    </row>
    <row r="373" spans="2:12" ht="15.75">
      <c r="B373" s="627">
        <v>32629</v>
      </c>
      <c r="C373" s="1258">
        <v>61.378</v>
      </c>
      <c r="D373" s="1473">
        <f t="shared" si="24"/>
        <v>58.032271675939398</v>
      </c>
      <c r="L373"/>
    </row>
    <row r="374" spans="2:12" ht="15.75">
      <c r="B374" s="627">
        <v>32660</v>
      </c>
      <c r="C374" s="1258">
        <v>61.292999999999999</v>
      </c>
      <c r="D374" s="1473">
        <f t="shared" si="24"/>
        <v>57.951905044695998</v>
      </c>
      <c r="L374"/>
    </row>
    <row r="375" spans="2:12" ht="15.75">
      <c r="B375" s="627">
        <v>32690</v>
      </c>
      <c r="C375" s="1258">
        <v>61.292999999999999</v>
      </c>
      <c r="D375" s="1473">
        <f t="shared" si="24"/>
        <v>57.951905044695998</v>
      </c>
      <c r="L375"/>
    </row>
    <row r="376" spans="2:12" ht="15.75">
      <c r="B376" s="627">
        <v>32721</v>
      </c>
      <c r="C376" s="1258">
        <v>61.292999999999999</v>
      </c>
      <c r="D376" s="1473">
        <f t="shared" si="24"/>
        <v>57.951905044695998</v>
      </c>
      <c r="L376"/>
    </row>
    <row r="377" spans="2:12" ht="15.75">
      <c r="B377" s="627">
        <v>32752</v>
      </c>
      <c r="C377" s="1258">
        <v>61.462000000000003</v>
      </c>
      <c r="D377" s="1473">
        <f t="shared" si="24"/>
        <v>58.111692817403402</v>
      </c>
      <c r="L377"/>
    </row>
    <row r="378" spans="2:12" ht="15.75">
      <c r="B378" s="627">
        <v>32782</v>
      </c>
      <c r="C378" s="1258">
        <v>61.63</v>
      </c>
      <c r="D378" s="1473">
        <f t="shared" si="24"/>
        <v>58.270535100331401</v>
      </c>
      <c r="L378"/>
    </row>
    <row r="379" spans="2:12" ht="15.75">
      <c r="B379" s="627">
        <v>32813</v>
      </c>
      <c r="C379" s="1258">
        <v>61.713999999999999</v>
      </c>
      <c r="D379" s="1473">
        <f t="shared" si="24"/>
        <v>58.349956241795397</v>
      </c>
      <c r="L379"/>
    </row>
    <row r="380" spans="2:12" ht="15.75">
      <c r="B380" s="627">
        <v>32843</v>
      </c>
      <c r="C380" s="1258">
        <v>61.883000000000003</v>
      </c>
      <c r="D380" s="1473">
        <f t="shared" si="24"/>
        <v>58.5097440145028</v>
      </c>
      <c r="L380"/>
    </row>
    <row r="381" spans="2:12" ht="15.75">
      <c r="B381" s="627">
        <v>32874</v>
      </c>
      <c r="C381" s="1258">
        <v>62.304000000000002</v>
      </c>
      <c r="D381" s="1473">
        <f t="shared" si="24"/>
        <v>58.907795211602298</v>
      </c>
      <c r="L381"/>
    </row>
    <row r="382" spans="2:12" ht="15.75">
      <c r="B382" s="627">
        <v>32905</v>
      </c>
      <c r="C382" s="1258">
        <v>62.640999999999998</v>
      </c>
      <c r="D382" s="1473">
        <f t="shared" si="24"/>
        <v>59.226425267237701</v>
      </c>
      <c r="L382"/>
    </row>
    <row r="383" spans="2:12" ht="15.75">
      <c r="B383" s="627">
        <v>32933</v>
      </c>
      <c r="C383" s="1258">
        <v>62.555999999999997</v>
      </c>
      <c r="D383" s="1473">
        <f t="shared" si="24"/>
        <v>59.146058635994301</v>
      </c>
      <c r="L383"/>
    </row>
    <row r="384" spans="2:12" ht="15.75">
      <c r="B384" s="627">
        <v>32964</v>
      </c>
      <c r="C384" s="1258">
        <v>62.640999999999998</v>
      </c>
      <c r="D384" s="1473">
        <f t="shared" si="24"/>
        <v>59.226425267237701</v>
      </c>
      <c r="L384"/>
    </row>
    <row r="385" spans="2:12" ht="15.75">
      <c r="B385" s="627">
        <v>32994</v>
      </c>
      <c r="C385" s="1258">
        <v>62.808999999999997</v>
      </c>
      <c r="D385" s="1473">
        <f t="shared" si="24"/>
        <v>59.3852675501657</v>
      </c>
      <c r="L385"/>
    </row>
    <row r="386" spans="2:12" ht="15.75">
      <c r="B386" s="627">
        <v>33025</v>
      </c>
      <c r="C386" s="1258">
        <v>62.725000000000001</v>
      </c>
      <c r="D386" s="1473">
        <f t="shared" si="24"/>
        <v>59.305846408701697</v>
      </c>
      <c r="L386"/>
    </row>
    <row r="387" spans="2:12" ht="15.75">
      <c r="B387" s="627">
        <v>33055</v>
      </c>
      <c r="C387" s="1258">
        <v>62.725000000000001</v>
      </c>
      <c r="D387" s="1473">
        <f t="shared" ref="D387:D391" si="25">ROUND(+D388*C387/C388,19)</f>
        <v>59.305846408701697</v>
      </c>
      <c r="L387"/>
    </row>
    <row r="388" spans="2:12" ht="15.75">
      <c r="B388" s="627">
        <v>33086</v>
      </c>
      <c r="C388" s="1258">
        <v>62.976999999999997</v>
      </c>
      <c r="D388" s="1473">
        <f t="shared" si="25"/>
        <v>59.544109833093799</v>
      </c>
      <c r="L388"/>
    </row>
    <row r="389" spans="2:12" ht="15.75">
      <c r="B389" s="627">
        <v>33117</v>
      </c>
      <c r="C389" s="1258">
        <v>63.314</v>
      </c>
      <c r="D389" s="1473">
        <f t="shared" si="25"/>
        <v>59.862739888729202</v>
      </c>
      <c r="L389"/>
    </row>
    <row r="390" spans="2:12" ht="15.75">
      <c r="B390" s="627">
        <v>33147</v>
      </c>
      <c r="C390" s="1258">
        <v>63.651000000000003</v>
      </c>
      <c r="D390" s="1473">
        <f t="shared" si="25"/>
        <v>60.181369944364597</v>
      </c>
      <c r="L390"/>
    </row>
    <row r="391" spans="2:12" ht="15.75">
      <c r="B391" s="627">
        <v>33178</v>
      </c>
      <c r="C391" s="1258">
        <v>63.567</v>
      </c>
      <c r="D391" s="1473">
        <f t="shared" si="25"/>
        <v>60.101948802900601</v>
      </c>
      <c r="L391"/>
    </row>
    <row r="392" spans="2:12" ht="15.75">
      <c r="B392" s="627">
        <v>33208</v>
      </c>
      <c r="C392" s="1258">
        <v>63.651000000000003</v>
      </c>
      <c r="D392" s="1473">
        <f>ROUND(+D393*C392/C393,19)</f>
        <v>60.181369944364597</v>
      </c>
      <c r="L392"/>
    </row>
    <row r="393" spans="2:12" ht="15.75">
      <c r="B393" s="627">
        <v>33239</v>
      </c>
      <c r="C393" s="1258">
        <v>63.988</v>
      </c>
      <c r="D393" s="1474">
        <v>60.5</v>
      </c>
      <c r="L393"/>
    </row>
    <row r="394" spans="2:12" ht="15.75">
      <c r="B394" s="627">
        <v>33270</v>
      </c>
      <c r="C394" s="1258">
        <v>64.268000000000001</v>
      </c>
      <c r="D394" s="1474">
        <v>60.8</v>
      </c>
      <c r="L394"/>
    </row>
    <row r="395" spans="2:12" ht="15.75">
      <c r="B395" s="627">
        <v>33298</v>
      </c>
      <c r="C395" s="1258">
        <v>64.268000000000001</v>
      </c>
      <c r="D395" s="1474">
        <v>60.8</v>
      </c>
      <c r="L395"/>
    </row>
    <row r="396" spans="2:12" ht="15.75">
      <c r="B396" s="627">
        <v>33329</v>
      </c>
      <c r="C396" s="1258">
        <v>64.546999999999997</v>
      </c>
      <c r="D396" s="1474">
        <v>61</v>
      </c>
      <c r="L396"/>
    </row>
    <row r="397" spans="2:12" ht="15.75">
      <c r="B397" s="627">
        <v>33359</v>
      </c>
      <c r="C397" s="1258">
        <v>64.733999999999995</v>
      </c>
      <c r="D397" s="1474">
        <v>61.1</v>
      </c>
      <c r="L397"/>
    </row>
    <row r="398" spans="2:12" ht="15.75">
      <c r="B398" s="627">
        <v>33390</v>
      </c>
      <c r="C398" s="1258">
        <v>65.106999999999999</v>
      </c>
      <c r="D398" s="1474">
        <v>61.5</v>
      </c>
      <c r="L398"/>
    </row>
    <row r="399" spans="2:12" ht="15.75">
      <c r="B399" s="627">
        <v>33420</v>
      </c>
      <c r="C399" s="1258">
        <v>65.852999999999994</v>
      </c>
      <c r="D399" s="1474">
        <v>62.2</v>
      </c>
      <c r="L399"/>
    </row>
    <row r="400" spans="2:12" ht="15.75">
      <c r="B400" s="627">
        <v>33451</v>
      </c>
      <c r="C400" s="1258">
        <v>65.852999999999994</v>
      </c>
      <c r="D400" s="1474">
        <v>62.2</v>
      </c>
      <c r="L400"/>
    </row>
    <row r="401" spans="2:12" ht="15.75">
      <c r="B401" s="627">
        <v>33482</v>
      </c>
      <c r="C401" s="1258">
        <v>65.852999999999994</v>
      </c>
      <c r="D401" s="1474">
        <v>62.2</v>
      </c>
      <c r="L401"/>
    </row>
    <row r="402" spans="2:12" ht="15.75">
      <c r="B402" s="627">
        <v>33512</v>
      </c>
      <c r="C402" s="1258">
        <v>66.879000000000005</v>
      </c>
      <c r="D402" s="1474">
        <v>63.2</v>
      </c>
      <c r="L402"/>
    </row>
    <row r="403" spans="2:12" ht="15.75">
      <c r="B403" s="627">
        <v>33543</v>
      </c>
      <c r="C403" s="1258">
        <v>67.159000000000006</v>
      </c>
      <c r="D403" s="1474">
        <v>63.4</v>
      </c>
      <c r="L403"/>
    </row>
    <row r="404" spans="2:12" ht="15.75">
      <c r="B404" s="627">
        <v>33573</v>
      </c>
      <c r="C404" s="1258">
        <v>67.251999999999995</v>
      </c>
      <c r="D404" s="1474">
        <v>63.5</v>
      </c>
      <c r="L404"/>
    </row>
    <row r="405" spans="2:12" ht="15.75">
      <c r="B405" s="627">
        <v>33604</v>
      </c>
      <c r="C405" s="1258">
        <v>67.625</v>
      </c>
      <c r="D405" s="1474">
        <v>63.9</v>
      </c>
      <c r="L405"/>
    </row>
    <row r="406" spans="2:12" ht="15.75">
      <c r="B406" s="627">
        <v>33635</v>
      </c>
      <c r="C406" s="1258">
        <v>67.998999999999995</v>
      </c>
      <c r="D406" s="1474">
        <v>64.3</v>
      </c>
      <c r="L406"/>
    </row>
    <row r="407" spans="2:12" ht="15.75">
      <c r="B407" s="627">
        <v>33664</v>
      </c>
      <c r="C407" s="1258">
        <v>68.278000000000006</v>
      </c>
      <c r="D407" s="1474">
        <v>64.5</v>
      </c>
      <c r="L407"/>
    </row>
    <row r="408" spans="2:12" ht="15.75">
      <c r="B408" s="627">
        <v>33695</v>
      </c>
      <c r="C408" s="1258">
        <v>68.558000000000007</v>
      </c>
      <c r="D408" s="1474">
        <v>64.7</v>
      </c>
      <c r="L408"/>
    </row>
    <row r="409" spans="2:12" ht="15.75">
      <c r="B409" s="627">
        <v>33725</v>
      </c>
      <c r="C409" s="1258">
        <v>68.745000000000005</v>
      </c>
      <c r="D409" s="1474">
        <v>64.900000000000006</v>
      </c>
      <c r="L409"/>
    </row>
    <row r="410" spans="2:12" ht="15.75">
      <c r="B410" s="627">
        <v>33756</v>
      </c>
      <c r="C410" s="1258">
        <v>68.930999999999997</v>
      </c>
      <c r="D410" s="1474">
        <v>65.099999999999994</v>
      </c>
      <c r="L410"/>
    </row>
    <row r="411" spans="2:12" ht="15.75">
      <c r="B411" s="627">
        <v>33786</v>
      </c>
      <c r="C411" s="1258">
        <v>69.117999999999995</v>
      </c>
      <c r="D411" s="1474">
        <v>65.3</v>
      </c>
      <c r="L411"/>
    </row>
    <row r="412" spans="2:12" ht="15.75">
      <c r="B412" s="627">
        <v>33817</v>
      </c>
      <c r="C412" s="1258">
        <v>69.117999999999995</v>
      </c>
      <c r="D412" s="1474">
        <v>65.3</v>
      </c>
      <c r="L412"/>
    </row>
    <row r="413" spans="2:12" ht="15.75">
      <c r="B413" s="627">
        <v>33848</v>
      </c>
      <c r="C413" s="1258">
        <v>69.117999999999995</v>
      </c>
      <c r="D413" s="1474">
        <v>65.3</v>
      </c>
      <c r="L413"/>
    </row>
    <row r="414" spans="2:12" ht="15.75">
      <c r="B414" s="627">
        <v>33878</v>
      </c>
      <c r="C414" s="1258">
        <v>69.117999999999995</v>
      </c>
      <c r="D414" s="1474">
        <v>65.3</v>
      </c>
      <c r="L414"/>
    </row>
    <row r="415" spans="2:12" ht="15.75">
      <c r="B415" s="627">
        <v>33909</v>
      </c>
      <c r="C415" s="1258">
        <v>69.397999999999996</v>
      </c>
      <c r="D415" s="1474">
        <v>65.599999999999994</v>
      </c>
      <c r="L415"/>
    </row>
    <row r="416" spans="2:12" ht="15.75">
      <c r="B416" s="627">
        <v>33939</v>
      </c>
      <c r="C416" s="1258">
        <v>69.491</v>
      </c>
      <c r="D416" s="1474">
        <v>65.7</v>
      </c>
      <c r="L416"/>
    </row>
    <row r="417" spans="2:12" ht="15.75">
      <c r="B417" s="627">
        <v>33970</v>
      </c>
      <c r="C417" s="1258">
        <v>70.703999999999994</v>
      </c>
      <c r="D417" s="1474">
        <v>66.8</v>
      </c>
      <c r="L417"/>
    </row>
    <row r="418" spans="2:12" ht="15.75">
      <c r="B418" s="627">
        <v>34001</v>
      </c>
      <c r="C418" s="1258">
        <v>71.263000000000005</v>
      </c>
      <c r="D418" s="1474">
        <v>67.3</v>
      </c>
      <c r="L418"/>
    </row>
    <row r="419" spans="2:12" ht="15.75">
      <c r="B419" s="627">
        <v>34029</v>
      </c>
      <c r="C419" s="1258">
        <v>71.45</v>
      </c>
      <c r="D419" s="1474">
        <v>67.5</v>
      </c>
      <c r="L419"/>
    </row>
    <row r="420" spans="2:12" ht="15.75">
      <c r="B420" s="627">
        <v>34060</v>
      </c>
      <c r="C420" s="1258">
        <v>71.635999999999996</v>
      </c>
      <c r="D420" s="1474">
        <v>67.7</v>
      </c>
      <c r="L420"/>
    </row>
    <row r="421" spans="2:12" ht="15.75">
      <c r="B421" s="627">
        <v>34090</v>
      </c>
      <c r="C421" s="1258">
        <v>71.73</v>
      </c>
      <c r="D421" s="1474">
        <v>67.8</v>
      </c>
      <c r="L421"/>
    </row>
    <row r="422" spans="2:12" ht="15.75">
      <c r="B422" s="627">
        <v>34121</v>
      </c>
      <c r="C422" s="1258">
        <v>71.915999999999997</v>
      </c>
      <c r="D422" s="1474">
        <v>68</v>
      </c>
      <c r="L422"/>
    </row>
    <row r="423" spans="2:12" ht="15.75">
      <c r="B423" s="627">
        <v>34151</v>
      </c>
      <c r="C423" s="1258">
        <v>72.289000000000001</v>
      </c>
      <c r="D423" s="1474">
        <v>68.3</v>
      </c>
      <c r="L423"/>
    </row>
    <row r="424" spans="2:12" ht="15.75">
      <c r="B424" s="627">
        <v>34182</v>
      </c>
      <c r="C424" s="1258">
        <v>72.289000000000001</v>
      </c>
      <c r="D424" s="1474">
        <v>68.3</v>
      </c>
      <c r="L424"/>
    </row>
    <row r="425" spans="2:12" ht="15.75">
      <c r="B425" s="627">
        <v>34213</v>
      </c>
      <c r="C425" s="1258">
        <v>72.195999999999998</v>
      </c>
      <c r="D425" s="1474">
        <v>68.2</v>
      </c>
      <c r="L425"/>
    </row>
    <row r="426" spans="2:12" ht="15.75">
      <c r="B426" s="627">
        <v>34243</v>
      </c>
      <c r="C426" s="1258">
        <v>72.195999999999998</v>
      </c>
      <c r="D426" s="1474">
        <v>68.2</v>
      </c>
      <c r="L426"/>
    </row>
    <row r="427" spans="2:12" ht="15.75">
      <c r="B427" s="627">
        <v>34274</v>
      </c>
      <c r="C427" s="1258">
        <v>72.289000000000001</v>
      </c>
      <c r="D427" s="1474">
        <v>68.3</v>
      </c>
      <c r="L427"/>
    </row>
    <row r="428" spans="2:12" ht="15.75">
      <c r="B428" s="627">
        <v>34304</v>
      </c>
      <c r="C428" s="1258">
        <v>72.475999999999999</v>
      </c>
      <c r="D428" s="1474">
        <v>68.5</v>
      </c>
      <c r="L428"/>
    </row>
    <row r="429" spans="2:12" ht="15.75">
      <c r="B429" s="627">
        <v>34335</v>
      </c>
      <c r="C429" s="1258">
        <v>72.849000000000004</v>
      </c>
      <c r="D429" s="1474">
        <v>68.8</v>
      </c>
      <c r="L429"/>
    </row>
    <row r="430" spans="2:12" ht="15.75">
      <c r="B430" s="627">
        <v>34366</v>
      </c>
      <c r="C430" s="1258">
        <v>73.409000000000006</v>
      </c>
      <c r="D430" s="1474">
        <v>69.400000000000006</v>
      </c>
      <c r="L430"/>
    </row>
    <row r="431" spans="2:12" ht="15.75">
      <c r="B431" s="627">
        <v>34394</v>
      </c>
      <c r="C431" s="1258">
        <v>73.501999999999995</v>
      </c>
      <c r="D431" s="1474">
        <v>69.5</v>
      </c>
      <c r="L431"/>
    </row>
    <row r="432" spans="2:12" ht="15.75">
      <c r="B432" s="627">
        <v>34425</v>
      </c>
      <c r="C432" s="1258">
        <v>73.594999999999999</v>
      </c>
      <c r="D432" s="1474">
        <v>69.599999999999994</v>
      </c>
      <c r="L432"/>
    </row>
    <row r="433" spans="2:12" ht="15.75">
      <c r="B433" s="627">
        <v>34455</v>
      </c>
      <c r="C433" s="1258">
        <v>73.781999999999996</v>
      </c>
      <c r="D433" s="1474">
        <v>69.7</v>
      </c>
      <c r="L433"/>
    </row>
    <row r="434" spans="2:12" ht="15.75">
      <c r="B434" s="627">
        <v>34486</v>
      </c>
      <c r="C434" s="1258">
        <v>73.875</v>
      </c>
      <c r="D434" s="1474">
        <v>69.8</v>
      </c>
      <c r="L434"/>
    </row>
    <row r="435" spans="2:12" ht="15.75">
      <c r="B435" s="627">
        <v>34516</v>
      </c>
      <c r="C435" s="1258">
        <v>74.061999999999998</v>
      </c>
      <c r="D435" s="1474">
        <v>69.900000000000006</v>
      </c>
      <c r="L435"/>
    </row>
    <row r="436" spans="2:12" ht="15.75">
      <c r="B436" s="627">
        <v>34547</v>
      </c>
      <c r="C436" s="1258">
        <v>74.248000000000005</v>
      </c>
      <c r="D436" s="1474">
        <v>70.099999999999994</v>
      </c>
      <c r="L436"/>
    </row>
    <row r="437" spans="2:12" ht="15.75">
      <c r="B437" s="627">
        <v>34578</v>
      </c>
      <c r="C437" s="1258">
        <v>74.061999999999998</v>
      </c>
      <c r="D437" s="1474">
        <v>69.900000000000006</v>
      </c>
      <c r="L437"/>
    </row>
    <row r="438" spans="2:12" ht="15.75">
      <c r="B438" s="627">
        <v>34608</v>
      </c>
      <c r="C438" s="1258">
        <v>73.968000000000004</v>
      </c>
      <c r="D438" s="1474">
        <v>69.8</v>
      </c>
      <c r="L438"/>
    </row>
    <row r="439" spans="2:12" ht="15.75">
      <c r="B439" s="627">
        <v>34639</v>
      </c>
      <c r="C439" s="1258">
        <v>74.061999999999998</v>
      </c>
      <c r="D439" s="1474">
        <v>69.900000000000006</v>
      </c>
      <c r="L439"/>
    </row>
    <row r="440" spans="2:12" ht="15.75">
      <c r="B440" s="627">
        <v>34669</v>
      </c>
      <c r="C440" s="1258">
        <v>74.248000000000005</v>
      </c>
      <c r="D440" s="1474">
        <v>70.099999999999994</v>
      </c>
      <c r="L440"/>
    </row>
    <row r="441" spans="2:12" ht="15.75">
      <c r="B441" s="627">
        <v>34700</v>
      </c>
      <c r="C441" s="1258">
        <v>74.528000000000006</v>
      </c>
      <c r="D441" s="1474">
        <v>70.400000000000006</v>
      </c>
      <c r="L441"/>
    </row>
    <row r="442" spans="2:12" ht="15.75">
      <c r="B442" s="627">
        <v>34731</v>
      </c>
      <c r="C442" s="1258">
        <v>74.900999999999996</v>
      </c>
      <c r="D442" s="1474">
        <v>70.8</v>
      </c>
      <c r="L442"/>
    </row>
    <row r="443" spans="2:12" ht="15.75">
      <c r="B443" s="627">
        <v>34759</v>
      </c>
      <c r="C443" s="1258">
        <v>74.900999999999996</v>
      </c>
      <c r="D443" s="1474">
        <v>70.8</v>
      </c>
      <c r="L443"/>
    </row>
    <row r="444" spans="2:12" ht="15.75">
      <c r="B444" s="627">
        <v>34790</v>
      </c>
      <c r="C444" s="1258">
        <v>74.994</v>
      </c>
      <c r="D444" s="1474">
        <v>70.900000000000006</v>
      </c>
      <c r="L444"/>
    </row>
    <row r="445" spans="2:12" ht="15.75">
      <c r="B445" s="627">
        <v>34820</v>
      </c>
      <c r="C445" s="1258">
        <v>74.994</v>
      </c>
      <c r="D445" s="1474">
        <v>70.900000000000006</v>
      </c>
      <c r="L445"/>
    </row>
    <row r="446" spans="2:12" ht="15.75">
      <c r="B446" s="627">
        <v>34851</v>
      </c>
      <c r="C446" s="1258">
        <v>75.087999999999994</v>
      </c>
      <c r="D446" s="1474">
        <v>71</v>
      </c>
      <c r="L446"/>
    </row>
    <row r="447" spans="2:12" ht="15.75">
      <c r="B447" s="627">
        <v>34881</v>
      </c>
      <c r="C447" s="1258">
        <v>75.274000000000001</v>
      </c>
      <c r="D447" s="1474">
        <v>71.2</v>
      </c>
      <c r="L447"/>
    </row>
    <row r="448" spans="2:12" ht="15.75">
      <c r="B448" s="627">
        <v>34912</v>
      </c>
      <c r="C448" s="1258">
        <v>75.274000000000001</v>
      </c>
      <c r="D448" s="1474">
        <v>71.2</v>
      </c>
      <c r="L448"/>
    </row>
    <row r="449" spans="2:12" ht="15.75">
      <c r="B449" s="627">
        <v>34943</v>
      </c>
      <c r="C449" s="1258">
        <v>75.274000000000001</v>
      </c>
      <c r="D449" s="1474">
        <v>71.2</v>
      </c>
      <c r="L449"/>
    </row>
    <row r="450" spans="2:12" ht="15.75">
      <c r="B450" s="627">
        <v>34973</v>
      </c>
      <c r="C450" s="1258">
        <v>75.087999999999994</v>
      </c>
      <c r="D450" s="1474">
        <v>71</v>
      </c>
      <c r="L450"/>
    </row>
    <row r="451" spans="2:12" ht="15.75">
      <c r="B451" s="627">
        <v>35004</v>
      </c>
      <c r="C451" s="1258">
        <v>75.087999999999994</v>
      </c>
      <c r="D451" s="1474">
        <v>71</v>
      </c>
      <c r="L451"/>
    </row>
    <row r="452" spans="2:12" ht="15.75">
      <c r="B452" s="627">
        <v>35034</v>
      </c>
      <c r="C452" s="1258">
        <v>75.367000000000004</v>
      </c>
      <c r="D452" s="1474">
        <v>71.2</v>
      </c>
      <c r="L452"/>
    </row>
    <row r="453" spans="2:12" ht="15.75">
      <c r="B453" s="627">
        <v>35065</v>
      </c>
      <c r="C453" s="1258">
        <v>75.554000000000002</v>
      </c>
      <c r="D453" s="1474">
        <v>71.400000000000006</v>
      </c>
      <c r="L453"/>
    </row>
    <row r="454" spans="2:12" ht="15.75">
      <c r="B454" s="627">
        <v>35096</v>
      </c>
      <c r="C454" s="1258">
        <v>76.02</v>
      </c>
      <c r="D454" s="1474">
        <v>71.8</v>
      </c>
      <c r="L454"/>
    </row>
    <row r="455" spans="2:12" ht="15.75">
      <c r="B455" s="627">
        <v>35125</v>
      </c>
      <c r="C455" s="1258">
        <v>76.02</v>
      </c>
      <c r="D455" s="1474">
        <v>71.8</v>
      </c>
      <c r="L455"/>
    </row>
    <row r="456" spans="2:12" ht="15.75">
      <c r="B456" s="627">
        <v>35156</v>
      </c>
      <c r="C456" s="1258">
        <v>76.02</v>
      </c>
      <c r="D456" s="1474">
        <v>71.8</v>
      </c>
      <c r="L456"/>
    </row>
    <row r="457" spans="2:12" ht="15.75">
      <c r="B457" s="627">
        <v>35186</v>
      </c>
      <c r="C457" s="1258">
        <v>76.114000000000004</v>
      </c>
      <c r="D457" s="1474">
        <v>71.900000000000006</v>
      </c>
      <c r="L457"/>
    </row>
    <row r="458" spans="2:12" ht="15.75">
      <c r="B458" s="627">
        <v>35217</v>
      </c>
      <c r="C458" s="1258">
        <v>76.206999999999994</v>
      </c>
      <c r="D458" s="1474">
        <v>72</v>
      </c>
      <c r="L458"/>
    </row>
    <row r="459" spans="2:12" ht="15.75">
      <c r="B459" s="627">
        <v>35247</v>
      </c>
      <c r="C459" s="1258">
        <v>76.3</v>
      </c>
      <c r="D459" s="1474">
        <v>72.099999999999994</v>
      </c>
      <c r="L459"/>
    </row>
    <row r="460" spans="2:12" ht="15.75">
      <c r="B460" s="627">
        <v>35278</v>
      </c>
      <c r="C460" s="1258">
        <v>76.3</v>
      </c>
      <c r="D460" s="1474">
        <v>72.099999999999994</v>
      </c>
      <c r="L460"/>
    </row>
    <row r="461" spans="2:12" ht="15.75">
      <c r="B461" s="627">
        <v>35309</v>
      </c>
      <c r="C461" s="1258">
        <v>76.3</v>
      </c>
      <c r="D461" s="1474">
        <v>72.099999999999994</v>
      </c>
      <c r="L461"/>
    </row>
    <row r="462" spans="2:12" ht="15.75">
      <c r="B462" s="627">
        <v>35339</v>
      </c>
      <c r="C462" s="1258">
        <v>76.3</v>
      </c>
      <c r="D462" s="1474">
        <v>72.099999999999994</v>
      </c>
      <c r="L462"/>
    </row>
    <row r="463" spans="2:12" ht="15.75">
      <c r="B463" s="627">
        <v>35370</v>
      </c>
      <c r="C463" s="1258">
        <v>76.206999999999994</v>
      </c>
      <c r="D463" s="1474">
        <v>72</v>
      </c>
      <c r="L463"/>
    </row>
    <row r="464" spans="2:12" ht="15.75">
      <c r="B464" s="627">
        <v>35400</v>
      </c>
      <c r="C464" s="1258">
        <v>76.486999999999995</v>
      </c>
      <c r="D464" s="1474">
        <v>72.3</v>
      </c>
      <c r="L464"/>
    </row>
    <row r="465" spans="2:12" ht="15.75">
      <c r="B465" s="627">
        <v>35431</v>
      </c>
      <c r="C465" s="1258">
        <v>77.14</v>
      </c>
      <c r="D465" s="1474">
        <v>72.900000000000006</v>
      </c>
      <c r="L465"/>
    </row>
    <row r="466" spans="2:12" ht="15.75">
      <c r="B466" s="627">
        <v>35462</v>
      </c>
      <c r="C466" s="1258">
        <v>77.233000000000004</v>
      </c>
      <c r="D466" s="1474">
        <v>73</v>
      </c>
      <c r="L466"/>
    </row>
    <row r="467" spans="2:12" ht="15.75">
      <c r="B467" s="627">
        <v>35490</v>
      </c>
      <c r="C467" s="1258">
        <v>77.233000000000004</v>
      </c>
      <c r="D467" s="1474">
        <v>73</v>
      </c>
      <c r="L467"/>
    </row>
    <row r="468" spans="2:12" ht="15.75">
      <c r="B468" s="627">
        <v>35521</v>
      </c>
      <c r="C468" s="1258">
        <v>77.14</v>
      </c>
      <c r="D468" s="1474">
        <v>72.900000000000006</v>
      </c>
      <c r="L468"/>
    </row>
    <row r="469" spans="2:12" ht="15.75">
      <c r="B469" s="627">
        <v>35551</v>
      </c>
      <c r="C469" s="1258">
        <v>77.325999999999993</v>
      </c>
      <c r="D469" s="1474">
        <v>73.099999999999994</v>
      </c>
      <c r="L469"/>
    </row>
    <row r="470" spans="2:12" ht="15.75">
      <c r="B470" s="627">
        <v>35582</v>
      </c>
      <c r="C470" s="1258">
        <v>77.42</v>
      </c>
      <c r="D470" s="1474">
        <v>73.099999999999994</v>
      </c>
      <c r="L470"/>
    </row>
    <row r="471" spans="2:12" ht="15.75">
      <c r="B471" s="627">
        <v>35612</v>
      </c>
      <c r="C471" s="1258">
        <v>78.072000000000003</v>
      </c>
      <c r="D471" s="1474">
        <v>73.8</v>
      </c>
      <c r="L471"/>
    </row>
    <row r="472" spans="2:12" ht="15.75">
      <c r="B472" s="627">
        <v>35643</v>
      </c>
      <c r="C472" s="1258">
        <v>78.165999999999997</v>
      </c>
      <c r="D472" s="1474">
        <v>73.8</v>
      </c>
      <c r="L472"/>
    </row>
    <row r="473" spans="2:12" ht="15.75">
      <c r="B473" s="627">
        <v>35674</v>
      </c>
      <c r="C473" s="1258">
        <v>77.978999999999999</v>
      </c>
      <c r="D473" s="1474">
        <v>73.7</v>
      </c>
      <c r="L473"/>
    </row>
    <row r="474" spans="2:12" ht="15.75">
      <c r="B474" s="627">
        <v>35704</v>
      </c>
      <c r="C474" s="1258">
        <v>77.885999999999996</v>
      </c>
      <c r="D474" s="1474">
        <v>73.599999999999994</v>
      </c>
      <c r="L474"/>
    </row>
    <row r="475" spans="2:12" ht="15.75">
      <c r="B475" s="627">
        <v>35735</v>
      </c>
      <c r="C475" s="1258">
        <v>77.885999999999996</v>
      </c>
      <c r="D475" s="1474">
        <v>73.599999999999994</v>
      </c>
      <c r="L475"/>
    </row>
    <row r="476" spans="2:12" ht="15.75">
      <c r="B476" s="627">
        <v>35765</v>
      </c>
      <c r="C476" s="1258">
        <v>78.072000000000003</v>
      </c>
      <c r="D476" s="1474">
        <v>73.8</v>
      </c>
      <c r="L476"/>
    </row>
    <row r="477" spans="2:12" ht="15.75">
      <c r="B477" s="627">
        <v>35796</v>
      </c>
      <c r="C477" s="1258">
        <v>78.072000000000003</v>
      </c>
      <c r="D477" s="1474">
        <v>73.8</v>
      </c>
      <c r="L477"/>
    </row>
    <row r="478" spans="2:12" ht="15.75">
      <c r="B478" s="627">
        <v>35827</v>
      </c>
      <c r="C478" s="1258">
        <v>78.259</v>
      </c>
      <c r="D478" s="1474">
        <v>73.900000000000006</v>
      </c>
      <c r="L478"/>
    </row>
    <row r="479" spans="2:12" ht="15.75">
      <c r="B479" s="627">
        <v>35855</v>
      </c>
      <c r="C479" s="1258">
        <v>78.165999999999997</v>
      </c>
      <c r="D479" s="1474">
        <v>73.8</v>
      </c>
      <c r="L479"/>
    </row>
    <row r="480" spans="2:12" ht="15.75">
      <c r="B480" s="627">
        <v>35886</v>
      </c>
      <c r="C480" s="1258">
        <v>78.259</v>
      </c>
      <c r="D480" s="1474">
        <v>73.900000000000006</v>
      </c>
      <c r="L480"/>
    </row>
    <row r="481" spans="2:12" ht="15.75">
      <c r="B481" s="627">
        <v>35916</v>
      </c>
      <c r="C481" s="1258">
        <v>78.352000000000004</v>
      </c>
      <c r="D481" s="1474">
        <v>74</v>
      </c>
      <c r="L481"/>
    </row>
    <row r="482" spans="2:12" ht="15.75">
      <c r="B482" s="627">
        <v>35947</v>
      </c>
      <c r="C482" s="1258">
        <v>78.445999999999998</v>
      </c>
      <c r="D482" s="1474">
        <v>74.099999999999994</v>
      </c>
      <c r="L482"/>
    </row>
    <row r="483" spans="2:12" ht="15.75">
      <c r="B483" s="627">
        <v>35977</v>
      </c>
      <c r="C483" s="1258">
        <v>78.724999999999994</v>
      </c>
      <c r="D483" s="1474">
        <v>74.400000000000006</v>
      </c>
      <c r="L483"/>
    </row>
    <row r="484" spans="2:12" ht="15.75">
      <c r="B484" s="627">
        <v>36008</v>
      </c>
      <c r="C484" s="1258">
        <v>78.539000000000001</v>
      </c>
      <c r="D484" s="1474">
        <v>74.2</v>
      </c>
      <c r="L484"/>
    </row>
    <row r="485" spans="2:12" ht="15.75">
      <c r="B485" s="627">
        <v>36039</v>
      </c>
      <c r="C485" s="1258">
        <v>78.352000000000004</v>
      </c>
      <c r="D485" s="1474">
        <v>74</v>
      </c>
      <c r="L485"/>
    </row>
    <row r="486" spans="2:12" ht="15.75">
      <c r="B486" s="627">
        <v>36069</v>
      </c>
      <c r="C486" s="1258">
        <v>78.259</v>
      </c>
      <c r="D486" s="1474">
        <v>73.900000000000006</v>
      </c>
      <c r="L486"/>
    </row>
    <row r="487" spans="2:12" ht="15.75">
      <c r="B487" s="627">
        <v>36100</v>
      </c>
      <c r="C487" s="1258">
        <v>78.259</v>
      </c>
      <c r="D487" s="1474">
        <v>73.900000000000006</v>
      </c>
      <c r="L487"/>
    </row>
    <row r="488" spans="2:12" ht="15.75">
      <c r="B488" s="627">
        <v>36130</v>
      </c>
      <c r="C488" s="1258">
        <v>78.352000000000004</v>
      </c>
      <c r="D488" s="1474">
        <v>74</v>
      </c>
      <c r="L488"/>
    </row>
    <row r="489" spans="2:12" ht="15.75">
      <c r="B489" s="627">
        <v>36161</v>
      </c>
      <c r="C489" s="1258">
        <v>78.259</v>
      </c>
      <c r="D489" s="1474">
        <v>73.900000000000006</v>
      </c>
      <c r="L489"/>
    </row>
    <row r="490" spans="2:12" ht="15.75">
      <c r="B490" s="627">
        <v>36192</v>
      </c>
      <c r="C490" s="1258">
        <v>78.352000000000004</v>
      </c>
      <c r="D490" s="1474">
        <v>74</v>
      </c>
      <c r="L490"/>
    </row>
    <row r="491" spans="2:12" ht="15.75">
      <c r="B491" s="627">
        <v>36220</v>
      </c>
      <c r="C491" s="1258">
        <v>78.352000000000004</v>
      </c>
      <c r="D491" s="1474">
        <v>74</v>
      </c>
      <c r="L491"/>
    </row>
    <row r="492" spans="2:12" ht="15.75">
      <c r="B492" s="627">
        <v>36251</v>
      </c>
      <c r="C492" s="1258">
        <v>78.724999999999994</v>
      </c>
      <c r="D492" s="1474">
        <v>74.400000000000006</v>
      </c>
      <c r="L492"/>
    </row>
    <row r="493" spans="2:12" ht="15.75">
      <c r="B493" s="627">
        <v>36281</v>
      </c>
      <c r="C493" s="1258">
        <v>78.724999999999994</v>
      </c>
      <c r="D493" s="1474">
        <v>74.400000000000006</v>
      </c>
      <c r="L493"/>
    </row>
    <row r="494" spans="2:12" ht="15.75">
      <c r="B494" s="627">
        <v>36312</v>
      </c>
      <c r="C494" s="1258">
        <v>78.819000000000003</v>
      </c>
      <c r="D494" s="1474">
        <v>74.5</v>
      </c>
      <c r="L494"/>
    </row>
    <row r="495" spans="2:12" ht="15.75">
      <c r="B495" s="627">
        <v>36342</v>
      </c>
      <c r="C495" s="1258">
        <v>79.191999999999993</v>
      </c>
      <c r="D495" s="1474">
        <v>74.8</v>
      </c>
      <c r="L495"/>
    </row>
    <row r="496" spans="2:12" ht="15.75">
      <c r="B496" s="627">
        <v>36373</v>
      </c>
      <c r="C496" s="1258">
        <v>79.097999999999999</v>
      </c>
      <c r="D496" s="1474">
        <v>74.8</v>
      </c>
      <c r="L496"/>
    </row>
    <row r="497" spans="2:12" ht="15.75">
      <c r="B497" s="627">
        <v>36404</v>
      </c>
      <c r="C497" s="1258">
        <v>78.912000000000006</v>
      </c>
      <c r="D497" s="1474">
        <v>74.599999999999994</v>
      </c>
      <c r="L497"/>
    </row>
    <row r="498" spans="2:12" ht="15.75">
      <c r="B498" s="627">
        <v>36434</v>
      </c>
      <c r="C498" s="1258">
        <v>78.819000000000003</v>
      </c>
      <c r="D498" s="1474">
        <v>74.5</v>
      </c>
      <c r="L498"/>
    </row>
    <row r="499" spans="2:12" ht="15.75">
      <c r="B499" s="627">
        <v>36465</v>
      </c>
      <c r="C499" s="1258">
        <v>79.004999999999995</v>
      </c>
      <c r="D499" s="1474">
        <v>74.7</v>
      </c>
      <c r="L499"/>
    </row>
    <row r="500" spans="2:12" ht="15.75">
      <c r="B500" s="627">
        <v>36495</v>
      </c>
      <c r="C500" s="1258">
        <v>79.284999999999997</v>
      </c>
      <c r="D500" s="1474">
        <v>74.900000000000006</v>
      </c>
      <c r="L500"/>
    </row>
    <row r="501" spans="2:12" ht="15.75">
      <c r="B501" s="627">
        <v>36526</v>
      </c>
      <c r="C501" s="1258">
        <v>79.471999999999994</v>
      </c>
      <c r="D501" s="1474">
        <v>75.099999999999994</v>
      </c>
      <c r="L501"/>
    </row>
    <row r="502" spans="2:12" ht="15.75">
      <c r="B502" s="627">
        <v>36557</v>
      </c>
      <c r="C502" s="1258">
        <v>79.564999999999998</v>
      </c>
      <c r="D502" s="1474">
        <v>75.099999999999994</v>
      </c>
      <c r="L502"/>
    </row>
    <row r="503" spans="2:12" ht="15.75">
      <c r="B503" s="627">
        <v>36586</v>
      </c>
      <c r="C503" s="1258">
        <v>79.564999999999998</v>
      </c>
      <c r="D503" s="1474">
        <v>75.099999999999994</v>
      </c>
      <c r="L503"/>
    </row>
    <row r="504" spans="2:12" ht="15.75">
      <c r="B504" s="627">
        <v>36617</v>
      </c>
      <c r="C504" s="1258">
        <v>79.564999999999998</v>
      </c>
      <c r="D504" s="1474">
        <v>75.099999999999994</v>
      </c>
      <c r="L504"/>
    </row>
    <row r="505" spans="2:12" ht="15.75">
      <c r="B505" s="627">
        <v>36647</v>
      </c>
      <c r="C505" s="1258">
        <v>79.471999999999994</v>
      </c>
      <c r="D505" s="1474">
        <v>75.099999999999994</v>
      </c>
      <c r="L505"/>
    </row>
    <row r="506" spans="2:12" ht="15.75">
      <c r="B506" s="627">
        <v>36678</v>
      </c>
      <c r="C506" s="1258">
        <v>79.844999999999999</v>
      </c>
      <c r="D506" s="1474">
        <v>75.400000000000006</v>
      </c>
      <c r="L506"/>
    </row>
    <row r="507" spans="2:12" ht="15.75">
      <c r="B507" s="627">
        <v>36708</v>
      </c>
      <c r="C507" s="1258">
        <v>80.218000000000004</v>
      </c>
      <c r="D507" s="1474">
        <v>75.8</v>
      </c>
      <c r="L507"/>
    </row>
    <row r="508" spans="2:12" ht="15.75">
      <c r="B508" s="627">
        <v>36739</v>
      </c>
      <c r="C508" s="1258">
        <v>80.031000000000006</v>
      </c>
      <c r="D508" s="1474">
        <v>75.599999999999994</v>
      </c>
      <c r="L508"/>
    </row>
    <row r="509" spans="2:12" ht="15.75">
      <c r="B509" s="627">
        <v>36770</v>
      </c>
      <c r="C509" s="1258">
        <v>80.218000000000004</v>
      </c>
      <c r="D509" s="1474">
        <v>75.8</v>
      </c>
      <c r="L509"/>
    </row>
    <row r="510" spans="2:12" ht="15.75">
      <c r="B510" s="627">
        <v>36800</v>
      </c>
      <c r="C510" s="1258">
        <v>80.125</v>
      </c>
      <c r="D510" s="1474">
        <v>75.7</v>
      </c>
      <c r="L510"/>
    </row>
    <row r="511" spans="2:12" ht="15.75">
      <c r="B511" s="627">
        <v>36831</v>
      </c>
      <c r="C511" s="1258">
        <v>80.218000000000004</v>
      </c>
      <c r="D511" s="1474">
        <v>75.8</v>
      </c>
      <c r="L511"/>
    </row>
    <row r="512" spans="2:12" ht="15.75">
      <c r="B512" s="627">
        <v>36861</v>
      </c>
      <c r="C512" s="1258">
        <v>80.870999999999995</v>
      </c>
      <c r="D512" s="1474">
        <v>76.400000000000006</v>
      </c>
      <c r="L512"/>
    </row>
    <row r="513" spans="2:12" ht="15.75">
      <c r="B513" s="627">
        <v>36892</v>
      </c>
      <c r="C513" s="1258">
        <v>80.590999999999994</v>
      </c>
      <c r="D513" s="1474">
        <v>76.2</v>
      </c>
      <c r="L513"/>
    </row>
    <row r="514" spans="2:12" ht="15.75">
      <c r="B514" s="627">
        <v>36923</v>
      </c>
      <c r="C514" s="1258">
        <v>81.057000000000002</v>
      </c>
      <c r="D514" s="1474">
        <v>76.599999999999994</v>
      </c>
      <c r="L514"/>
    </row>
    <row r="515" spans="2:12" ht="15.75">
      <c r="B515" s="627">
        <v>36951</v>
      </c>
      <c r="C515" s="1258">
        <v>81.057000000000002</v>
      </c>
      <c r="D515" s="1474">
        <v>76.599999999999994</v>
      </c>
      <c r="L515"/>
    </row>
    <row r="516" spans="2:12" ht="15.75">
      <c r="B516" s="627">
        <v>36982</v>
      </c>
      <c r="C516" s="1258">
        <v>81.430000000000007</v>
      </c>
      <c r="D516" s="1474">
        <v>76.900000000000006</v>
      </c>
      <c r="L516"/>
    </row>
    <row r="517" spans="2:12" ht="15.75">
      <c r="B517" s="627">
        <v>37012</v>
      </c>
      <c r="C517" s="1258">
        <v>81.709999999999994</v>
      </c>
      <c r="D517" s="1474">
        <v>77.2</v>
      </c>
      <c r="L517"/>
    </row>
    <row r="518" spans="2:12" ht="15.75">
      <c r="B518" s="627">
        <v>37043</v>
      </c>
      <c r="C518" s="1258">
        <v>81.804000000000002</v>
      </c>
      <c r="D518" s="1474">
        <v>77.3</v>
      </c>
      <c r="L518"/>
    </row>
    <row r="519" spans="2:12" ht="15.75">
      <c r="B519" s="627">
        <v>37073</v>
      </c>
      <c r="C519" s="1258">
        <v>81.897000000000006</v>
      </c>
      <c r="D519" s="1474">
        <v>77.400000000000006</v>
      </c>
      <c r="L519"/>
    </row>
    <row r="520" spans="2:12" ht="15.75">
      <c r="B520" s="627">
        <v>37104</v>
      </c>
      <c r="C520" s="1258">
        <v>81.709999999999994</v>
      </c>
      <c r="D520" s="1474">
        <v>77.2</v>
      </c>
      <c r="L520"/>
    </row>
    <row r="521" spans="2:12" ht="15.75">
      <c r="B521" s="627">
        <v>37135</v>
      </c>
      <c r="C521" s="1258">
        <v>81.709999999999994</v>
      </c>
      <c r="D521" s="1474">
        <v>77.2</v>
      </c>
      <c r="L521"/>
    </row>
    <row r="522" spans="2:12" ht="15.75">
      <c r="B522" s="627">
        <v>37165</v>
      </c>
      <c r="C522" s="1258">
        <v>81.617000000000004</v>
      </c>
      <c r="D522" s="1474">
        <v>77.099999999999994</v>
      </c>
      <c r="L522"/>
    </row>
    <row r="523" spans="2:12" ht="15.75">
      <c r="B523" s="627">
        <v>37196</v>
      </c>
      <c r="C523" s="1258">
        <v>81.430000000000007</v>
      </c>
      <c r="D523" s="1474">
        <v>76.900000000000006</v>
      </c>
      <c r="L523"/>
    </row>
    <row r="524" spans="2:12" ht="15.75">
      <c r="B524" s="627">
        <v>37226</v>
      </c>
      <c r="C524" s="1258">
        <v>82.177000000000007</v>
      </c>
      <c r="D524" s="1474">
        <v>77.7</v>
      </c>
      <c r="L524"/>
    </row>
    <row r="525" spans="2:12" ht="15.75">
      <c r="B525" s="627">
        <v>37257</v>
      </c>
      <c r="C525" s="1258">
        <v>82.27</v>
      </c>
      <c r="D525" s="1474">
        <v>77.7</v>
      </c>
      <c r="L525"/>
    </row>
    <row r="526" spans="2:12" ht="15.75">
      <c r="B526" s="627">
        <v>37288</v>
      </c>
      <c r="C526" s="1258">
        <v>82.55</v>
      </c>
      <c r="D526" s="1474">
        <v>78</v>
      </c>
      <c r="L526"/>
    </row>
    <row r="527" spans="2:12" ht="15.75">
      <c r="B527" s="627">
        <v>37316</v>
      </c>
      <c r="C527" s="1258">
        <v>82.736000000000004</v>
      </c>
      <c r="D527" s="1474">
        <v>78.2</v>
      </c>
      <c r="L527"/>
    </row>
    <row r="528" spans="2:12" ht="15.75">
      <c r="B528" s="627">
        <v>37347</v>
      </c>
      <c r="C528" s="1258">
        <v>82.643000000000001</v>
      </c>
      <c r="D528" s="1474">
        <v>78.099999999999994</v>
      </c>
      <c r="L528"/>
    </row>
    <row r="529" spans="2:12" ht="15.75">
      <c r="B529" s="627">
        <v>37377</v>
      </c>
      <c r="C529" s="1258">
        <v>82.736000000000004</v>
      </c>
      <c r="D529" s="1474">
        <v>78.2</v>
      </c>
      <c r="L529"/>
    </row>
    <row r="530" spans="2:12" ht="15.75">
      <c r="B530" s="627">
        <v>37408</v>
      </c>
      <c r="C530" s="1258">
        <v>82.736000000000004</v>
      </c>
      <c r="D530" s="1474">
        <v>78.2</v>
      </c>
      <c r="L530"/>
    </row>
    <row r="531" spans="2:12" ht="15.75">
      <c r="B531" s="627">
        <v>37438</v>
      </c>
      <c r="C531" s="1258">
        <v>82.83</v>
      </c>
      <c r="D531" s="1474">
        <v>78.3</v>
      </c>
      <c r="L531"/>
    </row>
    <row r="532" spans="2:12" ht="15.75">
      <c r="B532" s="627">
        <v>37469</v>
      </c>
      <c r="C532" s="1258">
        <v>82.736000000000004</v>
      </c>
      <c r="D532" s="1474">
        <v>78.2</v>
      </c>
      <c r="L532"/>
    </row>
    <row r="533" spans="2:12" ht="15.75">
      <c r="B533" s="627">
        <v>37500</v>
      </c>
      <c r="C533" s="1258">
        <v>82.736000000000004</v>
      </c>
      <c r="D533" s="1474">
        <v>78.2</v>
      </c>
      <c r="L533"/>
    </row>
    <row r="534" spans="2:12" ht="15.75">
      <c r="B534" s="627">
        <v>37530</v>
      </c>
      <c r="C534" s="1258">
        <v>82.643000000000001</v>
      </c>
      <c r="D534" s="1474">
        <v>78.099999999999994</v>
      </c>
      <c r="L534"/>
    </row>
    <row r="535" spans="2:12" ht="15.75">
      <c r="B535" s="627">
        <v>37561</v>
      </c>
      <c r="C535" s="1258">
        <v>82.363</v>
      </c>
      <c r="D535" s="1474">
        <v>77.8</v>
      </c>
      <c r="L535"/>
    </row>
    <row r="536" spans="2:12" ht="15.75">
      <c r="B536" s="627">
        <v>37591</v>
      </c>
      <c r="C536" s="1258">
        <v>83.108999999999995</v>
      </c>
      <c r="D536" s="1474">
        <v>78.5</v>
      </c>
      <c r="L536"/>
    </row>
    <row r="537" spans="2:12" ht="15.75">
      <c r="B537" s="627">
        <v>37622</v>
      </c>
      <c r="C537" s="1258">
        <v>83.108999999999995</v>
      </c>
      <c r="D537" s="1474">
        <v>78.5</v>
      </c>
      <c r="L537"/>
    </row>
    <row r="538" spans="2:12" ht="15.75">
      <c r="B538" s="627">
        <v>37653</v>
      </c>
      <c r="C538" s="1258">
        <v>83.575999999999993</v>
      </c>
      <c r="D538" s="1474">
        <v>79</v>
      </c>
      <c r="L538"/>
    </row>
    <row r="539" spans="2:12" ht="15.75">
      <c r="B539" s="627">
        <v>37681</v>
      </c>
      <c r="C539" s="1258">
        <v>83.668999999999997</v>
      </c>
      <c r="D539" s="1474">
        <v>79</v>
      </c>
      <c r="L539"/>
    </row>
    <row r="540" spans="2:12" ht="15.75">
      <c r="B540" s="627">
        <v>37712</v>
      </c>
      <c r="C540" s="1258">
        <v>83.388999999999996</v>
      </c>
      <c r="D540" s="1474">
        <v>78.8</v>
      </c>
      <c r="L540"/>
    </row>
    <row r="541" spans="2:12" ht="15.75">
      <c r="B541" s="627">
        <v>37742</v>
      </c>
      <c r="C541" s="1258">
        <v>83.203000000000003</v>
      </c>
      <c r="D541" s="1474">
        <v>78.599999999999994</v>
      </c>
      <c r="L541"/>
    </row>
    <row r="542" spans="2:12" ht="15.75">
      <c r="B542" s="627">
        <v>37773</v>
      </c>
      <c r="C542" s="1258">
        <v>83.481999999999999</v>
      </c>
      <c r="D542" s="1474">
        <v>78.900000000000006</v>
      </c>
      <c r="L542"/>
    </row>
    <row r="543" spans="2:12" ht="15.75">
      <c r="B543" s="627">
        <v>37803</v>
      </c>
      <c r="C543" s="1258">
        <v>83.668999999999997</v>
      </c>
      <c r="D543" s="1474">
        <v>79</v>
      </c>
      <c r="L543"/>
    </row>
    <row r="544" spans="2:12" ht="15.75">
      <c r="B544" s="627">
        <v>37834</v>
      </c>
      <c r="C544" s="1258">
        <v>83.668999999999997</v>
      </c>
      <c r="D544" s="1474">
        <v>79</v>
      </c>
      <c r="L544"/>
    </row>
    <row r="545" spans="2:12" ht="15.75">
      <c r="B545" s="627">
        <v>37865</v>
      </c>
      <c r="C545" s="1258">
        <v>83.575999999999993</v>
      </c>
      <c r="D545" s="1474">
        <v>79</v>
      </c>
      <c r="L545"/>
    </row>
    <row r="546" spans="2:12" ht="15.75">
      <c r="B546" s="627">
        <v>37895</v>
      </c>
      <c r="C546" s="1258">
        <v>83.575999999999993</v>
      </c>
      <c r="D546" s="1474">
        <v>79</v>
      </c>
      <c r="L546"/>
    </row>
    <row r="547" spans="2:12" ht="15.75">
      <c r="B547" s="627">
        <v>37926</v>
      </c>
      <c r="C547" s="1258">
        <v>83.388999999999996</v>
      </c>
      <c r="D547" s="1474">
        <v>78.8</v>
      </c>
      <c r="L547"/>
    </row>
    <row r="548" spans="2:12" ht="15.75">
      <c r="B548" s="627">
        <v>37956</v>
      </c>
      <c r="C548" s="1258">
        <v>84.042000000000002</v>
      </c>
      <c r="D548" s="1474">
        <v>79.400000000000006</v>
      </c>
      <c r="L548"/>
    </row>
    <row r="549" spans="2:12" ht="15.75">
      <c r="B549" s="627">
        <v>37987</v>
      </c>
      <c r="C549" s="1258">
        <v>84.042000000000002</v>
      </c>
      <c r="D549" s="1474">
        <v>79.400000000000006</v>
      </c>
      <c r="L549"/>
    </row>
    <row r="550" spans="2:12" ht="15.75">
      <c r="B550" s="627">
        <v>38018</v>
      </c>
      <c r="C550" s="1258">
        <v>84.228999999999999</v>
      </c>
      <c r="D550" s="1474">
        <v>79.599999999999994</v>
      </c>
      <c r="L550"/>
    </row>
    <row r="551" spans="2:12" ht="15.75">
      <c r="B551" s="627">
        <v>38047</v>
      </c>
      <c r="C551" s="1258">
        <v>84.509</v>
      </c>
      <c r="D551" s="1474">
        <v>79.900000000000006</v>
      </c>
      <c r="L551"/>
    </row>
    <row r="552" spans="2:12" ht="15.75">
      <c r="B552" s="627">
        <v>38078</v>
      </c>
      <c r="C552" s="1258">
        <v>84.787999999999997</v>
      </c>
      <c r="D552" s="1474">
        <v>80.099999999999994</v>
      </c>
      <c r="L552"/>
    </row>
    <row r="553" spans="2:12" ht="15.75">
      <c r="B553" s="627">
        <v>38108</v>
      </c>
      <c r="C553" s="1258">
        <v>84.974999999999994</v>
      </c>
      <c r="D553" s="1474">
        <v>80.3</v>
      </c>
      <c r="L553"/>
    </row>
    <row r="554" spans="2:12" ht="15.75">
      <c r="B554" s="627">
        <v>38139</v>
      </c>
      <c r="C554" s="1258">
        <v>84.974999999999994</v>
      </c>
      <c r="D554" s="1474">
        <v>80.3</v>
      </c>
      <c r="L554"/>
    </row>
    <row r="555" spans="2:12" ht="15.75">
      <c r="B555" s="627">
        <v>38169</v>
      </c>
      <c r="C555" s="1258">
        <v>85.161000000000001</v>
      </c>
      <c r="D555" s="1474">
        <v>80.400000000000006</v>
      </c>
      <c r="L555"/>
    </row>
    <row r="556" spans="2:12" ht="15.75">
      <c r="B556" s="627">
        <v>38200</v>
      </c>
      <c r="C556" s="1258">
        <v>85.254999999999995</v>
      </c>
      <c r="D556" s="1474">
        <v>80.5</v>
      </c>
      <c r="L556"/>
    </row>
    <row r="557" spans="2:12" ht="15.75">
      <c r="B557" s="627">
        <v>38231</v>
      </c>
      <c r="C557" s="1258">
        <v>85.067999999999998</v>
      </c>
      <c r="D557" s="1474">
        <v>80.3</v>
      </c>
      <c r="L557"/>
    </row>
    <row r="558" spans="2:12" ht="15.75">
      <c r="B558" s="627">
        <v>38261</v>
      </c>
      <c r="C558" s="1258">
        <v>85.161000000000001</v>
      </c>
      <c r="D558" s="1474">
        <v>80.400000000000006</v>
      </c>
      <c r="L558"/>
    </row>
    <row r="559" spans="2:12" ht="15.75">
      <c r="B559" s="627">
        <v>38292</v>
      </c>
      <c r="C559" s="1258">
        <v>84.974999999999994</v>
      </c>
      <c r="D559" s="1474">
        <v>80.3</v>
      </c>
      <c r="L559"/>
    </row>
    <row r="560" spans="2:12" ht="15.75">
      <c r="B560" s="627">
        <v>38322</v>
      </c>
      <c r="C560" s="1258">
        <v>85.908000000000001</v>
      </c>
      <c r="D560" s="1474">
        <v>81.2</v>
      </c>
      <c r="L560"/>
    </row>
    <row r="561" spans="2:12" ht="15.75">
      <c r="B561" s="627">
        <v>38353</v>
      </c>
      <c r="C561" s="1258">
        <v>85.254999999999995</v>
      </c>
      <c r="D561" s="1474">
        <v>80.599999999999994</v>
      </c>
      <c r="L561"/>
    </row>
    <row r="562" spans="2:12" ht="15.75">
      <c r="B562" s="627">
        <v>38384</v>
      </c>
      <c r="C562" s="1258">
        <v>85.628</v>
      </c>
      <c r="D562" s="1474">
        <v>80.900000000000006</v>
      </c>
      <c r="L562"/>
    </row>
    <row r="563" spans="2:12" ht="15.75">
      <c r="B563" s="627">
        <v>38412</v>
      </c>
      <c r="C563" s="1258">
        <v>86.001000000000005</v>
      </c>
      <c r="D563" s="1474">
        <v>81.3</v>
      </c>
      <c r="L563"/>
    </row>
    <row r="564" spans="2:12" ht="15.75">
      <c r="B564" s="627">
        <v>38443</v>
      </c>
      <c r="C564" s="1258">
        <v>85.813999999999993</v>
      </c>
      <c r="D564" s="1474">
        <v>81</v>
      </c>
      <c r="L564"/>
    </row>
    <row r="565" spans="2:12" ht="15.75">
      <c r="B565" s="627">
        <v>38473</v>
      </c>
      <c r="C565" s="1258">
        <v>86.001000000000005</v>
      </c>
      <c r="D565" s="1474">
        <v>81.2</v>
      </c>
      <c r="L565"/>
    </row>
    <row r="566" spans="2:12" ht="15.75">
      <c r="B566" s="627">
        <v>38504</v>
      </c>
      <c r="C566" s="1258">
        <v>86.093999999999994</v>
      </c>
      <c r="D566" s="1474">
        <v>81.3</v>
      </c>
      <c r="L566"/>
    </row>
    <row r="567" spans="2:12" ht="15.75">
      <c r="B567" s="627">
        <v>38534</v>
      </c>
      <c r="C567" s="1258">
        <v>86.466999999999999</v>
      </c>
      <c r="D567" s="1474">
        <v>81.7</v>
      </c>
      <c r="L567"/>
    </row>
    <row r="568" spans="2:12" ht="15.75">
      <c r="B568" s="627">
        <v>38565</v>
      </c>
      <c r="C568" s="1258">
        <v>86.561000000000007</v>
      </c>
      <c r="D568" s="1474">
        <v>81.8</v>
      </c>
      <c r="L568"/>
    </row>
    <row r="569" spans="2:12" ht="15.75">
      <c r="B569" s="627">
        <v>38596</v>
      </c>
      <c r="C569" s="1258">
        <v>86.653999999999996</v>
      </c>
      <c r="D569" s="1474">
        <v>81.900000000000006</v>
      </c>
      <c r="L569"/>
    </row>
    <row r="570" spans="2:12" ht="15.75">
      <c r="B570" s="627">
        <v>38626</v>
      </c>
      <c r="C570" s="1258">
        <v>86.747</v>
      </c>
      <c r="D570" s="1474">
        <v>81.900000000000006</v>
      </c>
      <c r="L570"/>
    </row>
    <row r="571" spans="2:12" ht="15.75">
      <c r="B571" s="627">
        <v>38657</v>
      </c>
      <c r="C571" s="1258">
        <v>86.466999999999999</v>
      </c>
      <c r="D571" s="1474">
        <v>81.7</v>
      </c>
      <c r="L571"/>
    </row>
    <row r="572" spans="2:12" ht="15.75">
      <c r="B572" s="627">
        <v>38687</v>
      </c>
      <c r="C572" s="1258">
        <v>87.12</v>
      </c>
      <c r="D572" s="1474">
        <v>82.3</v>
      </c>
      <c r="L572"/>
    </row>
    <row r="573" spans="2:12" ht="15.75">
      <c r="B573" s="627">
        <v>38718</v>
      </c>
      <c r="C573" s="1258">
        <v>86.84</v>
      </c>
      <c r="D573" s="1474">
        <v>82</v>
      </c>
      <c r="L573"/>
    </row>
    <row r="574" spans="2:12" ht="15.75">
      <c r="B574" s="627">
        <v>38749</v>
      </c>
      <c r="C574" s="1258">
        <v>87.213999999999999</v>
      </c>
      <c r="D574" s="1474">
        <v>82.4</v>
      </c>
      <c r="L574"/>
    </row>
    <row r="575" spans="2:12" ht="15.75">
      <c r="B575" s="627">
        <v>38777</v>
      </c>
      <c r="C575" s="1258">
        <v>87.213999999999999</v>
      </c>
      <c r="D575" s="1474">
        <v>82.4</v>
      </c>
      <c r="L575"/>
    </row>
    <row r="576" spans="2:12" ht="15.75">
      <c r="B576" s="627">
        <v>38808</v>
      </c>
      <c r="C576" s="1258">
        <v>87.492999999999995</v>
      </c>
      <c r="D576" s="1474">
        <v>82.7</v>
      </c>
      <c r="L576"/>
    </row>
    <row r="577" spans="2:12" ht="15.75">
      <c r="B577" s="627">
        <v>38838</v>
      </c>
      <c r="C577" s="1258">
        <v>87.492999999999995</v>
      </c>
      <c r="D577" s="1474">
        <v>82.7</v>
      </c>
      <c r="L577"/>
    </row>
    <row r="578" spans="2:12" ht="15.75">
      <c r="B578" s="627">
        <v>38869</v>
      </c>
      <c r="C578" s="1258">
        <v>87.68</v>
      </c>
      <c r="D578" s="1474">
        <v>82.9</v>
      </c>
      <c r="L578"/>
    </row>
    <row r="579" spans="2:12" ht="15.75">
      <c r="B579" s="627">
        <v>38899</v>
      </c>
      <c r="C579" s="1258">
        <v>88.052999999999997</v>
      </c>
      <c r="D579" s="1474">
        <v>83.2</v>
      </c>
      <c r="L579"/>
    </row>
    <row r="580" spans="2:12" ht="15.75">
      <c r="B580" s="627">
        <v>38930</v>
      </c>
      <c r="C580" s="1258">
        <v>87.866</v>
      </c>
      <c r="D580" s="1474">
        <v>83</v>
      </c>
      <c r="L580"/>
    </row>
    <row r="581" spans="2:12" ht="15.75">
      <c r="B581" s="627">
        <v>38961</v>
      </c>
      <c r="C581" s="1258">
        <v>87.587000000000003</v>
      </c>
      <c r="D581" s="1474">
        <v>82.7</v>
      </c>
      <c r="L581"/>
    </row>
    <row r="582" spans="2:12" ht="15.75">
      <c r="B582" s="627">
        <v>38991</v>
      </c>
      <c r="C582" s="1258">
        <v>87.68</v>
      </c>
      <c r="D582" s="1474">
        <v>82.8</v>
      </c>
      <c r="L582"/>
    </row>
    <row r="583" spans="2:12" ht="15.75">
      <c r="B583" s="627">
        <v>39022</v>
      </c>
      <c r="C583" s="1258">
        <v>87.68</v>
      </c>
      <c r="D583" s="1474">
        <v>82.8</v>
      </c>
      <c r="L583"/>
    </row>
    <row r="584" spans="2:12" ht="15.75">
      <c r="B584" s="627">
        <v>39052</v>
      </c>
      <c r="C584" s="1258">
        <v>88.332999999999998</v>
      </c>
      <c r="D584" s="1474">
        <v>83.5</v>
      </c>
      <c r="L584"/>
    </row>
    <row r="585" spans="2:12" ht="15.75">
      <c r="B585" s="627">
        <v>39083</v>
      </c>
      <c r="C585" s="1258">
        <v>88.332999999999998</v>
      </c>
      <c r="D585" s="1474">
        <v>83.5</v>
      </c>
      <c r="L585"/>
    </row>
    <row r="586" spans="2:12" ht="15.75">
      <c r="B586" s="627">
        <v>39114</v>
      </c>
      <c r="C586" s="1258">
        <v>88.706000000000003</v>
      </c>
      <c r="D586" s="1474">
        <v>83.8</v>
      </c>
      <c r="L586"/>
    </row>
    <row r="587" spans="2:12" ht="15.75">
      <c r="B587" s="627">
        <v>39142</v>
      </c>
      <c r="C587" s="1258">
        <v>88.893000000000001</v>
      </c>
      <c r="D587" s="1474">
        <v>84</v>
      </c>
      <c r="L587"/>
    </row>
    <row r="588" spans="2:12" ht="15.75">
      <c r="B588" s="627">
        <v>39173</v>
      </c>
      <c r="C588" s="1258">
        <v>89.358999999999995</v>
      </c>
      <c r="D588" s="1474">
        <v>84.4</v>
      </c>
      <c r="L588"/>
    </row>
    <row r="589" spans="2:12" ht="15.75">
      <c r="B589" s="627">
        <v>39203</v>
      </c>
      <c r="C589" s="1258">
        <v>89.358999999999995</v>
      </c>
      <c r="D589" s="1474">
        <v>84.4</v>
      </c>
      <c r="L589"/>
    </row>
    <row r="590" spans="2:12" ht="15.75">
      <c r="B590" s="627">
        <v>39234</v>
      </c>
      <c r="C590" s="1258">
        <v>89.358999999999995</v>
      </c>
      <c r="D590" s="1474">
        <v>84.5</v>
      </c>
      <c r="L590"/>
    </row>
    <row r="591" spans="2:12" ht="15.75">
      <c r="B591" s="627">
        <v>39264</v>
      </c>
      <c r="C591" s="1258">
        <v>89.825000000000003</v>
      </c>
      <c r="D591" s="1474">
        <v>84.9</v>
      </c>
      <c r="L591"/>
    </row>
    <row r="592" spans="2:12" ht="15.75">
      <c r="B592" s="627">
        <v>39295</v>
      </c>
      <c r="C592" s="1258">
        <v>89.731999999999999</v>
      </c>
      <c r="D592" s="1474">
        <v>84.8</v>
      </c>
      <c r="L592"/>
    </row>
    <row r="593" spans="2:12" ht="15.75">
      <c r="B593" s="627">
        <v>39326</v>
      </c>
      <c r="C593" s="1258">
        <v>89.918999999999997</v>
      </c>
      <c r="D593" s="1474">
        <v>84.9</v>
      </c>
      <c r="L593"/>
    </row>
    <row r="594" spans="2:12" ht="15.75">
      <c r="B594" s="627">
        <v>39356</v>
      </c>
      <c r="C594" s="1258">
        <v>90.105000000000004</v>
      </c>
      <c r="D594" s="1474">
        <v>85.1</v>
      </c>
      <c r="L594"/>
    </row>
    <row r="595" spans="2:12" ht="15.75">
      <c r="B595" s="627">
        <v>39387</v>
      </c>
      <c r="C595" s="1258">
        <v>90.570999999999998</v>
      </c>
      <c r="D595" s="1474">
        <v>85.6</v>
      </c>
      <c r="L595"/>
    </row>
    <row r="596" spans="2:12" ht="15.75">
      <c r="B596" s="627">
        <v>39417</v>
      </c>
      <c r="C596" s="1258">
        <v>91.131</v>
      </c>
      <c r="D596" s="1474">
        <v>86.1</v>
      </c>
      <c r="L596"/>
    </row>
    <row r="597" spans="2:12" ht="15.75">
      <c r="B597" s="627">
        <v>39448</v>
      </c>
      <c r="C597" s="1258">
        <v>90.850999999999999</v>
      </c>
      <c r="D597" s="1474">
        <v>85.8</v>
      </c>
      <c r="L597"/>
    </row>
    <row r="598" spans="2:12" ht="15.75">
      <c r="B598" s="627">
        <v>39479</v>
      </c>
      <c r="C598" s="1258">
        <v>91.224000000000004</v>
      </c>
      <c r="D598" s="1474">
        <v>86.2</v>
      </c>
      <c r="L598"/>
    </row>
    <row r="599" spans="2:12" ht="15.75">
      <c r="B599" s="627">
        <v>39508</v>
      </c>
      <c r="C599" s="1258">
        <v>91.691000000000003</v>
      </c>
      <c r="D599" s="1474">
        <v>86.6</v>
      </c>
      <c r="L599"/>
    </row>
    <row r="600" spans="2:12" ht="15.75">
      <c r="B600" s="627">
        <v>39539</v>
      </c>
      <c r="C600" s="1258">
        <v>91.504000000000005</v>
      </c>
      <c r="D600" s="1474">
        <v>86.4</v>
      </c>
      <c r="L600"/>
    </row>
    <row r="601" spans="2:12" ht="15.75">
      <c r="B601" s="627">
        <v>39569</v>
      </c>
      <c r="C601" s="1258">
        <v>92.063999999999993</v>
      </c>
      <c r="D601" s="1474">
        <v>86.9</v>
      </c>
      <c r="L601"/>
    </row>
    <row r="602" spans="2:12" ht="15.75">
      <c r="B602" s="627">
        <v>39600</v>
      </c>
      <c r="C602" s="1258">
        <v>92.25</v>
      </c>
      <c r="D602" s="1474">
        <v>87.2</v>
      </c>
      <c r="L602"/>
    </row>
    <row r="603" spans="2:12" ht="15.75">
      <c r="B603" s="627">
        <v>39630</v>
      </c>
      <c r="C603" s="1258">
        <v>92.81</v>
      </c>
      <c r="D603" s="1474">
        <v>87.7</v>
      </c>
      <c r="L603"/>
    </row>
    <row r="604" spans="2:12" ht="15.75">
      <c r="B604" s="627">
        <v>39661</v>
      </c>
      <c r="C604" s="1258">
        <v>92.53</v>
      </c>
      <c r="D604" s="1474">
        <v>87.4</v>
      </c>
      <c r="L604"/>
    </row>
    <row r="605" spans="2:12" ht="15.75">
      <c r="B605" s="627">
        <v>39692</v>
      </c>
      <c r="C605" s="1258">
        <v>92.436999999999998</v>
      </c>
      <c r="D605" s="1474">
        <v>87.4</v>
      </c>
      <c r="L605"/>
    </row>
    <row r="606" spans="2:12" ht="15.75">
      <c r="B606" s="627">
        <v>39722</v>
      </c>
      <c r="C606" s="1258">
        <v>92.25</v>
      </c>
      <c r="D606" s="1474">
        <v>87.2</v>
      </c>
      <c r="L606"/>
    </row>
    <row r="607" spans="2:12" ht="15.75">
      <c r="B607" s="627">
        <v>39753</v>
      </c>
      <c r="C607" s="1258">
        <v>91.784000000000006</v>
      </c>
      <c r="D607" s="1474">
        <v>86.8</v>
      </c>
      <c r="L607"/>
    </row>
    <row r="608" spans="2:12" ht="15.75">
      <c r="B608" s="627">
        <v>39783</v>
      </c>
      <c r="C608" s="1258">
        <v>92.156999999999996</v>
      </c>
      <c r="D608" s="1474">
        <v>87</v>
      </c>
      <c r="L608"/>
    </row>
    <row r="609" spans="2:12" ht="15.75">
      <c r="B609" s="627">
        <v>39814</v>
      </c>
      <c r="C609" s="1258">
        <v>91.691000000000003</v>
      </c>
      <c r="D609" s="1474">
        <v>86.6</v>
      </c>
      <c r="L609"/>
    </row>
    <row r="610" spans="2:12" ht="15.75">
      <c r="B610" s="627">
        <v>39845</v>
      </c>
      <c r="C610" s="1258">
        <v>92.25</v>
      </c>
      <c r="D610" s="1474">
        <v>87.1</v>
      </c>
      <c r="L610"/>
    </row>
    <row r="611" spans="2:12" ht="15.75">
      <c r="B611" s="627">
        <v>39873</v>
      </c>
      <c r="C611" s="1258">
        <v>92.063999999999993</v>
      </c>
      <c r="D611" s="1474">
        <v>87</v>
      </c>
      <c r="L611"/>
    </row>
    <row r="612" spans="2:12" ht="15.75">
      <c r="B612" s="627">
        <v>39904</v>
      </c>
      <c r="C612" s="1258">
        <v>92.156999999999996</v>
      </c>
      <c r="D612" s="1474">
        <v>87</v>
      </c>
      <c r="L612"/>
    </row>
    <row r="613" spans="2:12" ht="15.75">
      <c r="B613" s="627">
        <v>39934</v>
      </c>
      <c r="C613" s="1258">
        <v>92.063999999999993</v>
      </c>
      <c r="D613" s="1474">
        <v>87</v>
      </c>
      <c r="L613"/>
    </row>
    <row r="614" spans="2:12" ht="15.75">
      <c r="B614" s="627">
        <v>39965</v>
      </c>
      <c r="C614" s="1258">
        <v>92.343999999999994</v>
      </c>
      <c r="D614" s="1474">
        <v>87.3</v>
      </c>
      <c r="L614"/>
    </row>
    <row r="615" spans="2:12" ht="15.75">
      <c r="B615" s="627">
        <v>39995</v>
      </c>
      <c r="C615" s="1258">
        <v>92.343999999999994</v>
      </c>
      <c r="D615" s="1474">
        <v>87.3</v>
      </c>
      <c r="L615"/>
    </row>
    <row r="616" spans="2:12" ht="15.75">
      <c r="B616" s="627">
        <v>40026</v>
      </c>
      <c r="C616" s="1258">
        <v>92.53</v>
      </c>
      <c r="D616" s="1474">
        <v>87.5</v>
      </c>
      <c r="L616"/>
    </row>
    <row r="617" spans="2:12" ht="15.75">
      <c r="B617" s="627">
        <v>40057</v>
      </c>
      <c r="C617" s="1258">
        <v>92.25</v>
      </c>
      <c r="D617" s="1474">
        <v>87.1</v>
      </c>
      <c r="L617"/>
    </row>
    <row r="618" spans="2:12" ht="15.75">
      <c r="B618" s="627">
        <v>40087</v>
      </c>
      <c r="C618" s="1258">
        <v>92.25</v>
      </c>
      <c r="D618" s="1474">
        <v>87.2</v>
      </c>
      <c r="L618"/>
    </row>
    <row r="619" spans="2:12" ht="15.75">
      <c r="B619" s="627">
        <v>40118</v>
      </c>
      <c r="C619" s="1258">
        <v>92.156999999999996</v>
      </c>
      <c r="D619" s="1474">
        <v>87.1</v>
      </c>
      <c r="L619"/>
    </row>
    <row r="620" spans="2:12" ht="15.75">
      <c r="B620" s="627">
        <v>40148</v>
      </c>
      <c r="C620" s="1258">
        <v>92.903000000000006</v>
      </c>
      <c r="D620" s="1474">
        <v>87.8</v>
      </c>
      <c r="L620"/>
    </row>
    <row r="621" spans="2:12" ht="15.75">
      <c r="B621" s="627">
        <v>40179</v>
      </c>
      <c r="C621" s="1258">
        <v>92.343999999999994</v>
      </c>
      <c r="D621" s="1474">
        <v>87.3</v>
      </c>
      <c r="L621"/>
    </row>
    <row r="622" spans="2:12" ht="15.75">
      <c r="B622" s="627">
        <v>40210</v>
      </c>
      <c r="C622" s="1258">
        <v>92.716999999999999</v>
      </c>
      <c r="D622" s="1474">
        <v>87.6</v>
      </c>
      <c r="L622"/>
    </row>
    <row r="623" spans="2:12" ht="15.75">
      <c r="B623" s="627">
        <v>40238</v>
      </c>
      <c r="C623" s="1258">
        <v>93.183000000000007</v>
      </c>
      <c r="D623" s="1474">
        <v>88.1</v>
      </c>
      <c r="L623"/>
    </row>
    <row r="624" spans="2:12" ht="15.75">
      <c r="B624" s="627">
        <v>40269</v>
      </c>
      <c r="C624" s="1258">
        <v>93.277000000000001</v>
      </c>
      <c r="D624" s="1474">
        <v>88.1</v>
      </c>
      <c r="L624"/>
    </row>
    <row r="625" spans="2:12" ht="15.75">
      <c r="B625" s="627">
        <v>40299</v>
      </c>
      <c r="C625" s="1258">
        <v>93.183000000000007</v>
      </c>
      <c r="D625" s="1474">
        <v>88.1</v>
      </c>
      <c r="L625"/>
    </row>
    <row r="626" spans="2:12" ht="15.75">
      <c r="B626" s="627">
        <v>40330</v>
      </c>
      <c r="C626" s="1258">
        <v>93.183000000000007</v>
      </c>
      <c r="D626" s="1474">
        <v>88.1</v>
      </c>
      <c r="L626"/>
    </row>
    <row r="627" spans="2:12" ht="15.75">
      <c r="B627" s="627">
        <v>40360</v>
      </c>
      <c r="C627" s="1258">
        <v>93.37</v>
      </c>
      <c r="D627" s="1474">
        <v>88.2</v>
      </c>
      <c r="L627"/>
    </row>
    <row r="628" spans="2:12" ht="15.75">
      <c r="B628" s="627">
        <v>40391</v>
      </c>
      <c r="C628" s="1258">
        <v>93.462999999999994</v>
      </c>
      <c r="D628" s="1474">
        <v>88.3</v>
      </c>
      <c r="L628"/>
    </row>
    <row r="629" spans="2:12" ht="15.75">
      <c r="B629" s="627">
        <v>40422</v>
      </c>
      <c r="C629" s="1258">
        <v>93.37</v>
      </c>
      <c r="D629" s="1474">
        <v>88.2</v>
      </c>
      <c r="L629"/>
    </row>
    <row r="630" spans="2:12" ht="15.75">
      <c r="B630" s="627">
        <v>40452</v>
      </c>
      <c r="C630" s="1258">
        <v>93.462999999999994</v>
      </c>
      <c r="D630" s="1474">
        <v>88.3</v>
      </c>
      <c r="L630"/>
    </row>
    <row r="631" spans="2:12" ht="15.75">
      <c r="B631" s="627">
        <v>40483</v>
      </c>
      <c r="C631" s="1258">
        <v>93.555999999999997</v>
      </c>
      <c r="D631" s="1474">
        <v>88.4</v>
      </c>
      <c r="L631"/>
    </row>
    <row r="632" spans="2:12" ht="15.75">
      <c r="B632" s="627">
        <v>40513</v>
      </c>
      <c r="C632" s="1258">
        <v>94.116</v>
      </c>
      <c r="D632" s="1474">
        <v>89</v>
      </c>
      <c r="L632"/>
    </row>
    <row r="633" spans="2:12" ht="15.75">
      <c r="B633" s="627">
        <v>40544</v>
      </c>
      <c r="C633" s="1258">
        <v>93.929000000000002</v>
      </c>
      <c r="D633" s="1474">
        <v>88.7</v>
      </c>
      <c r="L633"/>
    </row>
    <row r="634" spans="2:12" ht="15.75">
      <c r="B634" s="627">
        <v>40575</v>
      </c>
      <c r="C634" s="1258">
        <v>94.489000000000004</v>
      </c>
      <c r="D634" s="1474">
        <v>89.3</v>
      </c>
      <c r="L634"/>
    </row>
    <row r="635" spans="2:12" ht="15.75">
      <c r="B635" s="627">
        <v>40603</v>
      </c>
      <c r="C635" s="1258">
        <v>95.049000000000007</v>
      </c>
      <c r="D635" s="1474">
        <v>89.8</v>
      </c>
      <c r="L635"/>
    </row>
    <row r="636" spans="2:12" ht="15.75">
      <c r="B636" s="627">
        <v>40634</v>
      </c>
      <c r="C636" s="1258">
        <v>95.049000000000007</v>
      </c>
      <c r="D636" s="1474">
        <v>89.8</v>
      </c>
      <c r="L636"/>
    </row>
    <row r="637" spans="2:12" ht="15.75">
      <c r="B637" s="627">
        <v>40664</v>
      </c>
      <c r="C637" s="1258">
        <v>95.049000000000007</v>
      </c>
      <c r="D637" s="1474">
        <v>89.8</v>
      </c>
      <c r="L637"/>
    </row>
    <row r="638" spans="2:12" ht="15.75">
      <c r="B638" s="627">
        <v>40695</v>
      </c>
      <c r="C638" s="1258">
        <v>95.141999999999996</v>
      </c>
      <c r="D638" s="1474">
        <v>89.9</v>
      </c>
      <c r="L638"/>
    </row>
    <row r="639" spans="2:12" ht="15.75">
      <c r="B639" s="627">
        <v>40725</v>
      </c>
      <c r="C639" s="1258">
        <v>95.328999999999994</v>
      </c>
      <c r="D639" s="1474">
        <v>90.1</v>
      </c>
      <c r="L639"/>
    </row>
    <row r="640" spans="2:12" ht="15.75">
      <c r="B640" s="627">
        <v>40756</v>
      </c>
      <c r="C640" s="1258">
        <v>95.421999999999997</v>
      </c>
      <c r="D640" s="1474">
        <v>90.2</v>
      </c>
      <c r="L640"/>
    </row>
    <row r="641" spans="2:12" ht="15.75">
      <c r="B641" s="627">
        <v>40787</v>
      </c>
      <c r="C641" s="1258">
        <v>95.608000000000004</v>
      </c>
      <c r="D641" s="1474">
        <v>90.3</v>
      </c>
      <c r="L641"/>
    </row>
    <row r="642" spans="2:12" ht="15.75">
      <c r="B642" s="627">
        <v>40817</v>
      </c>
      <c r="C642" s="1258">
        <v>95.608000000000004</v>
      </c>
      <c r="D642" s="1474">
        <v>90.4</v>
      </c>
      <c r="L642"/>
    </row>
    <row r="643" spans="2:12" ht="15.75">
      <c r="B643" s="627">
        <v>40848</v>
      </c>
      <c r="C643" s="1258">
        <v>95.795000000000002</v>
      </c>
      <c r="D643" s="1474">
        <v>90.5</v>
      </c>
      <c r="L643"/>
    </row>
    <row r="644" spans="2:12" ht="15.75">
      <c r="B644" s="627">
        <v>40878</v>
      </c>
      <c r="C644" s="1258">
        <v>95.981999999999999</v>
      </c>
      <c r="D644" s="1474">
        <v>90.7</v>
      </c>
      <c r="L644"/>
    </row>
    <row r="645" spans="2:12" ht="15.75">
      <c r="B645" s="627">
        <v>40909</v>
      </c>
      <c r="C645" s="1258">
        <v>95.888000000000005</v>
      </c>
      <c r="D645" s="1474">
        <v>90.6</v>
      </c>
      <c r="L645"/>
    </row>
    <row r="646" spans="2:12" ht="15.75">
      <c r="B646" s="627">
        <v>40940</v>
      </c>
      <c r="C646" s="1258">
        <v>96.540999999999997</v>
      </c>
      <c r="D646" s="1474">
        <v>91.2</v>
      </c>
      <c r="L646"/>
    </row>
    <row r="647" spans="2:12" ht="15.75">
      <c r="B647" s="627">
        <v>40969</v>
      </c>
      <c r="C647" s="1258">
        <v>97.100999999999999</v>
      </c>
      <c r="D647" s="1474">
        <v>91.7</v>
      </c>
      <c r="L647"/>
    </row>
    <row r="648" spans="2:12" ht="15.75">
      <c r="B648" s="627">
        <v>41000</v>
      </c>
      <c r="C648" s="1258">
        <v>96.914000000000001</v>
      </c>
      <c r="D648" s="1474">
        <v>91.6</v>
      </c>
      <c r="L648"/>
    </row>
    <row r="649" spans="2:12" ht="15.75">
      <c r="B649" s="627">
        <v>41030</v>
      </c>
      <c r="C649" s="1258">
        <v>96.914000000000001</v>
      </c>
      <c r="D649" s="1474">
        <v>91.5</v>
      </c>
      <c r="L649"/>
    </row>
    <row r="650" spans="2:12" ht="15.75">
      <c r="B650" s="627">
        <v>41061</v>
      </c>
      <c r="C650" s="1258">
        <v>96.727999999999994</v>
      </c>
      <c r="D650" s="1474">
        <v>91.4</v>
      </c>
      <c r="L650"/>
    </row>
    <row r="651" spans="2:12" ht="15.75">
      <c r="B651" s="627">
        <v>41091</v>
      </c>
      <c r="C651" s="1258">
        <v>97.100999999999999</v>
      </c>
      <c r="D651" s="1474">
        <v>91.7</v>
      </c>
      <c r="L651"/>
    </row>
    <row r="652" spans="2:12" ht="15.75">
      <c r="B652" s="627">
        <v>41122</v>
      </c>
      <c r="C652" s="1258">
        <v>97.474000000000004</v>
      </c>
      <c r="D652" s="1474">
        <v>92.1</v>
      </c>
      <c r="L652"/>
    </row>
    <row r="653" spans="2:12" ht="15.75">
      <c r="B653" s="627">
        <v>41153</v>
      </c>
      <c r="C653" s="1258">
        <v>97.566999999999993</v>
      </c>
      <c r="D653" s="1474">
        <v>92.2</v>
      </c>
      <c r="L653"/>
    </row>
    <row r="654" spans="2:12" ht="15.75">
      <c r="B654" s="627">
        <v>41183</v>
      </c>
      <c r="C654" s="1258">
        <v>97.566999999999993</v>
      </c>
      <c r="D654" s="1474">
        <v>92.2</v>
      </c>
      <c r="L654"/>
    </row>
    <row r="655" spans="2:12" ht="15.75">
      <c r="B655" s="627">
        <v>41214</v>
      </c>
      <c r="C655" s="1258">
        <v>97.661000000000001</v>
      </c>
      <c r="D655" s="1474">
        <v>92.2</v>
      </c>
      <c r="L655"/>
    </row>
    <row r="656" spans="2:12" ht="15.75">
      <c r="B656" s="627">
        <v>41244</v>
      </c>
      <c r="C656" s="1258">
        <v>97.94</v>
      </c>
      <c r="D656" s="1474">
        <v>92.5</v>
      </c>
      <c r="L656"/>
    </row>
    <row r="657" spans="2:12" ht="15.75">
      <c r="B657" s="627">
        <v>41275</v>
      </c>
      <c r="C657" s="1258">
        <v>97.474000000000004</v>
      </c>
      <c r="D657" s="1474">
        <v>92.1</v>
      </c>
      <c r="L657"/>
    </row>
    <row r="658" spans="2:12" ht="15.75">
      <c r="B658" s="627">
        <v>41306</v>
      </c>
      <c r="C658" s="1258">
        <v>98.034000000000006</v>
      </c>
      <c r="D658" s="1474">
        <v>92.6</v>
      </c>
      <c r="L658"/>
    </row>
    <row r="659" spans="2:12" ht="15.75">
      <c r="B659" s="627">
        <v>41334</v>
      </c>
      <c r="C659" s="1258">
        <v>98.5</v>
      </c>
      <c r="D659" s="1474">
        <v>93</v>
      </c>
      <c r="L659"/>
    </row>
    <row r="660" spans="2:12" ht="15.75">
      <c r="B660" s="627">
        <v>41365</v>
      </c>
      <c r="C660" s="1258">
        <v>98.034000000000006</v>
      </c>
      <c r="D660" s="1474">
        <v>92.6</v>
      </c>
      <c r="L660"/>
    </row>
    <row r="661" spans="2:12" ht="15.75">
      <c r="B661" s="627">
        <v>41395</v>
      </c>
      <c r="C661" s="1258">
        <v>98.406999999999996</v>
      </c>
      <c r="D661" s="1474">
        <v>93</v>
      </c>
      <c r="L661"/>
    </row>
    <row r="662" spans="2:12" ht="15.75">
      <c r="B662" s="627">
        <v>41426</v>
      </c>
      <c r="C662" s="1258">
        <v>98.5</v>
      </c>
      <c r="D662" s="1474">
        <v>93.1</v>
      </c>
      <c r="L662"/>
    </row>
    <row r="663" spans="2:12" ht="15.75">
      <c r="B663" s="627">
        <v>41456</v>
      </c>
      <c r="C663" s="1258">
        <v>98.965999999999994</v>
      </c>
      <c r="D663" s="1474">
        <v>93.5</v>
      </c>
      <c r="L663"/>
    </row>
    <row r="664" spans="2:12" ht="15.75">
      <c r="B664" s="627">
        <v>41487</v>
      </c>
      <c r="C664" s="1258">
        <v>98.965999999999994</v>
      </c>
      <c r="D664" s="1474">
        <v>93.5</v>
      </c>
      <c r="L664"/>
    </row>
    <row r="665" spans="2:12" ht="15.75">
      <c r="B665" s="627">
        <v>41518</v>
      </c>
      <c r="C665" s="1258">
        <v>98.965999999999994</v>
      </c>
      <c r="D665" s="1474">
        <v>93.5</v>
      </c>
      <c r="L665"/>
    </row>
    <row r="666" spans="2:12" ht="15.75">
      <c r="B666" s="627">
        <v>41548</v>
      </c>
      <c r="C666" s="1258">
        <v>98.78</v>
      </c>
      <c r="D666" s="1474">
        <v>93.3</v>
      </c>
      <c r="L666"/>
    </row>
    <row r="667" spans="2:12" ht="15.75">
      <c r="B667" s="627">
        <v>41579</v>
      </c>
      <c r="C667" s="1258">
        <v>98.965999999999994</v>
      </c>
      <c r="D667" s="1474">
        <v>93.5</v>
      </c>
      <c r="L667"/>
    </row>
    <row r="668" spans="2:12" ht="15.75">
      <c r="B668" s="627">
        <v>41609</v>
      </c>
      <c r="C668" s="1258">
        <v>99.338999999999999</v>
      </c>
      <c r="D668" s="1474">
        <v>93.9</v>
      </c>
      <c r="L668"/>
    </row>
    <row r="669" spans="2:12" ht="15.75">
      <c r="B669" s="627">
        <v>41640</v>
      </c>
      <c r="C669" s="1258">
        <v>98.78</v>
      </c>
      <c r="D669" s="1474">
        <v>93.3</v>
      </c>
      <c r="L669"/>
    </row>
    <row r="670" spans="2:12" ht="15.75">
      <c r="B670" s="627">
        <v>41671</v>
      </c>
      <c r="C670" s="1258">
        <v>99.245999999999995</v>
      </c>
      <c r="D670" s="1474">
        <v>93.8</v>
      </c>
      <c r="L670"/>
    </row>
    <row r="671" spans="2:12" ht="15.75">
      <c r="B671" s="627">
        <v>41699</v>
      </c>
      <c r="C671" s="1258">
        <v>99.525999999999996</v>
      </c>
      <c r="D671" s="1474">
        <v>94</v>
      </c>
      <c r="L671"/>
    </row>
    <row r="672" spans="2:12" ht="15.75">
      <c r="B672" s="627">
        <v>41730</v>
      </c>
      <c r="C672" s="1258">
        <v>99.338999999999999</v>
      </c>
      <c r="D672" s="1474">
        <v>93.9</v>
      </c>
      <c r="L672"/>
    </row>
    <row r="673" spans="2:12" ht="15.75">
      <c r="B673" s="627">
        <v>41760</v>
      </c>
      <c r="C673" s="1258">
        <v>99.245999999999995</v>
      </c>
      <c r="D673" s="1474">
        <v>93.8</v>
      </c>
      <c r="L673"/>
    </row>
    <row r="674" spans="2:12" ht="15.75">
      <c r="B674" s="627">
        <v>41791</v>
      </c>
      <c r="C674" s="1258">
        <v>99.525999999999996</v>
      </c>
      <c r="D674" s="1474">
        <v>94</v>
      </c>
      <c r="L674"/>
    </row>
    <row r="675" spans="2:12" ht="15.75">
      <c r="B675" s="627">
        <v>41821</v>
      </c>
      <c r="C675" s="1258">
        <v>99.805999999999997</v>
      </c>
      <c r="D675" s="1474">
        <v>94.3</v>
      </c>
      <c r="L675"/>
    </row>
    <row r="676" spans="2:12" ht="15.75">
      <c r="B676" s="627">
        <v>41852</v>
      </c>
      <c r="C676" s="1258">
        <v>99.805999999999997</v>
      </c>
      <c r="D676" s="1474">
        <v>94.3</v>
      </c>
      <c r="L676"/>
    </row>
    <row r="677" spans="2:12" ht="15.75">
      <c r="B677" s="627">
        <v>41883</v>
      </c>
      <c r="C677" s="1258">
        <v>99.805999999999997</v>
      </c>
      <c r="D677" s="1474">
        <v>94.3</v>
      </c>
      <c r="L677"/>
    </row>
    <row r="678" spans="2:12" ht="15.75">
      <c r="B678" s="627">
        <v>41913</v>
      </c>
      <c r="C678" s="1258">
        <v>99.525999999999996</v>
      </c>
      <c r="D678" s="1474">
        <v>94.1</v>
      </c>
      <c r="L678"/>
    </row>
    <row r="679" spans="2:12" ht="15.75">
      <c r="B679" s="627">
        <v>41944</v>
      </c>
      <c r="C679" s="1258">
        <v>99.525999999999996</v>
      </c>
      <c r="D679" s="1474">
        <v>94.1</v>
      </c>
      <c r="L679"/>
    </row>
    <row r="680" spans="2:12" ht="15.75">
      <c r="B680" s="627">
        <v>41974</v>
      </c>
      <c r="C680" s="1258">
        <v>99.525999999999996</v>
      </c>
      <c r="D680" s="1474">
        <v>94</v>
      </c>
      <c r="L680"/>
    </row>
    <row r="681" spans="2:12" ht="15.75">
      <c r="B681" s="627">
        <v>42005</v>
      </c>
      <c r="C681" s="1258">
        <v>98.5</v>
      </c>
      <c r="D681" s="1474">
        <v>93.1</v>
      </c>
      <c r="L681"/>
    </row>
    <row r="682" spans="2:12" ht="15.75">
      <c r="B682" s="627">
        <v>42036</v>
      </c>
      <c r="C682" s="1258">
        <v>99.2</v>
      </c>
      <c r="D682" s="1474">
        <v>93.8</v>
      </c>
      <c r="L682"/>
    </row>
    <row r="683" spans="2:12" ht="15.75">
      <c r="B683" s="627">
        <v>42064</v>
      </c>
      <c r="C683" s="1258">
        <v>99.7</v>
      </c>
      <c r="D683" s="1474">
        <v>94.3</v>
      </c>
      <c r="L683"/>
    </row>
    <row r="684" spans="2:12" ht="15.75">
      <c r="B684" s="627">
        <v>42095</v>
      </c>
      <c r="C684" s="1258">
        <v>100.2</v>
      </c>
      <c r="D684" s="1474">
        <v>94.7</v>
      </c>
      <c r="L684"/>
    </row>
    <row r="685" spans="2:12" ht="15.75">
      <c r="B685" s="627">
        <v>42125</v>
      </c>
      <c r="C685" s="1258">
        <v>100.4</v>
      </c>
      <c r="D685" s="1474">
        <v>94.9</v>
      </c>
      <c r="L685"/>
    </row>
    <row r="686" spans="2:12" ht="15.75">
      <c r="B686" s="627">
        <v>42156</v>
      </c>
      <c r="C686" s="1258">
        <v>100.4</v>
      </c>
      <c r="D686" s="1474">
        <v>94.9</v>
      </c>
      <c r="L686"/>
    </row>
    <row r="687" spans="2:12" ht="15.75">
      <c r="B687" s="627">
        <v>42186</v>
      </c>
      <c r="C687" s="1258">
        <v>100.6</v>
      </c>
      <c r="D687" s="1474">
        <v>95.1</v>
      </c>
      <c r="L687"/>
    </row>
    <row r="688" spans="2:12" ht="15.75">
      <c r="B688" s="627">
        <v>42217</v>
      </c>
      <c r="C688" s="1258">
        <v>100.6</v>
      </c>
      <c r="D688" s="1474">
        <v>95</v>
      </c>
      <c r="L688"/>
    </row>
    <row r="689" spans="2:12" ht="15.75">
      <c r="B689" s="627">
        <v>42248</v>
      </c>
      <c r="C689" s="1258">
        <v>100.4</v>
      </c>
      <c r="D689" s="1474">
        <v>94.9</v>
      </c>
      <c r="L689"/>
    </row>
    <row r="690" spans="2:12" ht="15.75">
      <c r="B690" s="627">
        <v>42278</v>
      </c>
      <c r="C690" s="1258">
        <v>100.4</v>
      </c>
      <c r="D690" s="1474">
        <v>94.9</v>
      </c>
      <c r="L690"/>
    </row>
    <row r="691" spans="2:12" ht="15.75">
      <c r="B691" s="627">
        <v>42309</v>
      </c>
      <c r="C691" s="1258">
        <v>99.7</v>
      </c>
      <c r="D691" s="1474">
        <v>94.3</v>
      </c>
      <c r="L691"/>
    </row>
    <row r="692" spans="2:12" ht="15.75">
      <c r="B692" s="627">
        <v>42339</v>
      </c>
      <c r="C692" s="1258">
        <v>99.7</v>
      </c>
      <c r="D692" s="1474">
        <v>94.3</v>
      </c>
      <c r="L692"/>
    </row>
    <row r="693" spans="2:12" ht="15.75">
      <c r="B693" s="627">
        <v>42370</v>
      </c>
      <c r="C693" s="1258">
        <v>99</v>
      </c>
      <c r="D693" s="1474">
        <v>93.6</v>
      </c>
      <c r="L693"/>
    </row>
    <row r="694" spans="2:12" ht="15.75">
      <c r="B694" s="627">
        <v>42401</v>
      </c>
      <c r="C694" s="1258">
        <v>99.3</v>
      </c>
      <c r="D694" s="1474">
        <v>93.9</v>
      </c>
      <c r="L694"/>
    </row>
    <row r="695" spans="2:12" ht="15.75">
      <c r="B695" s="627">
        <v>42430</v>
      </c>
      <c r="C695" s="1258">
        <v>100</v>
      </c>
      <c r="D695" s="1474">
        <v>94.5</v>
      </c>
      <c r="L695"/>
    </row>
    <row r="696" spans="2:12" ht="15.75">
      <c r="B696" s="627">
        <v>42461</v>
      </c>
      <c r="C696" s="1258">
        <v>100.1</v>
      </c>
      <c r="D696" s="1474">
        <v>94.6</v>
      </c>
      <c r="L696"/>
    </row>
    <row r="697" spans="2:12" ht="15.75">
      <c r="B697" s="627">
        <v>42491</v>
      </c>
      <c r="C697" s="1258">
        <v>100.6</v>
      </c>
      <c r="D697" s="1474">
        <v>95.1</v>
      </c>
      <c r="L697"/>
    </row>
    <row r="698" spans="2:12" ht="15.75">
      <c r="B698" s="627">
        <v>42522</v>
      </c>
      <c r="C698" s="1258">
        <v>100.7</v>
      </c>
      <c r="D698" s="1474">
        <v>95.2</v>
      </c>
      <c r="L698"/>
    </row>
    <row r="699" spans="2:12" ht="15.75">
      <c r="B699" s="627">
        <v>42552</v>
      </c>
      <c r="C699" s="1258">
        <v>101.1</v>
      </c>
      <c r="D699" s="1474">
        <v>95.5</v>
      </c>
      <c r="L699"/>
    </row>
    <row r="700" spans="2:12" ht="15.75">
      <c r="B700" s="627">
        <v>42583</v>
      </c>
      <c r="C700" s="1258">
        <v>101</v>
      </c>
      <c r="D700" s="1474">
        <v>95.4</v>
      </c>
      <c r="L700"/>
    </row>
    <row r="701" spans="2:12" ht="15.75">
      <c r="B701" s="627">
        <v>42614</v>
      </c>
      <c r="C701" s="1258">
        <v>101</v>
      </c>
      <c r="D701" s="1474">
        <v>95.5</v>
      </c>
      <c r="L701"/>
    </row>
    <row r="702" spans="2:12" ht="15.75">
      <c r="B702" s="627">
        <v>42644</v>
      </c>
      <c r="C702" s="1258">
        <v>101.2</v>
      </c>
      <c r="D702" s="1474">
        <v>95.6</v>
      </c>
      <c r="L702"/>
    </row>
    <row r="703" spans="2:12" ht="15.75">
      <c r="B703" s="627">
        <v>42675</v>
      </c>
      <c r="C703" s="1258">
        <v>100.5</v>
      </c>
      <c r="D703" s="1474">
        <v>95</v>
      </c>
      <c r="L703"/>
    </row>
    <row r="704" spans="2:12" ht="15.75">
      <c r="B704" s="627">
        <v>42705</v>
      </c>
      <c r="C704" s="1258">
        <v>101.2</v>
      </c>
      <c r="D704" s="1474">
        <v>95.6</v>
      </c>
      <c r="L704"/>
    </row>
    <row r="705" spans="2:12" ht="15.75">
      <c r="B705" s="627">
        <v>42736</v>
      </c>
      <c r="C705" s="1258">
        <v>100.6</v>
      </c>
      <c r="D705" s="1474">
        <v>95.1</v>
      </c>
      <c r="L705"/>
    </row>
    <row r="706" spans="2:12" ht="15.75">
      <c r="B706" s="627">
        <v>42767</v>
      </c>
      <c r="C706" s="1258">
        <v>101.2</v>
      </c>
      <c r="D706" s="1474">
        <v>95.6</v>
      </c>
      <c r="L706"/>
    </row>
    <row r="707" spans="2:12" ht="15.75">
      <c r="B707" s="627">
        <v>42795</v>
      </c>
      <c r="C707" s="1258">
        <v>101.4</v>
      </c>
      <c r="D707" s="1474">
        <v>95.8</v>
      </c>
      <c r="L707"/>
    </row>
    <row r="708" spans="2:12" ht="15.75">
      <c r="B708" s="627">
        <v>42826</v>
      </c>
      <c r="C708" s="1258">
        <v>101.8</v>
      </c>
      <c r="D708" s="1474">
        <v>96.2</v>
      </c>
      <c r="L708"/>
    </row>
    <row r="709" spans="2:12" ht="15.75">
      <c r="B709" s="627">
        <v>42856</v>
      </c>
      <c r="C709" s="1258">
        <v>101.8</v>
      </c>
      <c r="D709" s="1474">
        <v>96.2</v>
      </c>
      <c r="L709"/>
    </row>
    <row r="710" spans="2:12" ht="15.75">
      <c r="B710" s="627">
        <v>42887</v>
      </c>
      <c r="C710" s="1258">
        <v>102.1</v>
      </c>
      <c r="D710" s="1474">
        <v>96.5</v>
      </c>
      <c r="L710"/>
    </row>
    <row r="711" spans="2:12" ht="15.75">
      <c r="B711" s="627">
        <v>42917</v>
      </c>
      <c r="C711" s="1258">
        <v>102.5</v>
      </c>
      <c r="D711" s="1474">
        <v>96.9</v>
      </c>
      <c r="L711"/>
    </row>
    <row r="712" spans="2:12" ht="15.75">
      <c r="B712" s="627">
        <v>42948</v>
      </c>
      <c r="C712" s="1258">
        <v>102.6</v>
      </c>
      <c r="D712" s="1474">
        <v>97</v>
      </c>
      <c r="L712"/>
    </row>
    <row r="713" spans="2:12" ht="15.75">
      <c r="B713" s="627">
        <v>42979</v>
      </c>
      <c r="C713" s="1258">
        <v>102.7</v>
      </c>
      <c r="D713" s="1474">
        <v>97</v>
      </c>
      <c r="L713"/>
    </row>
    <row r="714" spans="2:12" ht="15.75">
      <c r="B714" s="627">
        <v>43009</v>
      </c>
      <c r="C714" s="1258">
        <v>102.5</v>
      </c>
      <c r="D714" s="1474">
        <v>96.9</v>
      </c>
      <c r="L714"/>
    </row>
    <row r="715" spans="2:12" ht="15.75">
      <c r="B715" s="627">
        <v>43040</v>
      </c>
      <c r="C715" s="1258">
        <v>102.1</v>
      </c>
      <c r="D715" s="1474">
        <v>96.5</v>
      </c>
      <c r="L715"/>
    </row>
    <row r="716" spans="2:12" ht="15.75">
      <c r="B716" s="627">
        <v>43070</v>
      </c>
      <c r="C716" s="1258">
        <v>102.6</v>
      </c>
      <c r="D716" s="1474">
        <v>96.9</v>
      </c>
      <c r="L716"/>
    </row>
    <row r="717" spans="2:12" ht="15.75">
      <c r="B717" s="627">
        <v>43101</v>
      </c>
      <c r="C717" s="1258">
        <v>102</v>
      </c>
      <c r="D717" s="1474">
        <v>96.4</v>
      </c>
      <c r="L717"/>
    </row>
    <row r="718" spans="2:12" ht="15.75">
      <c r="B718" s="627">
        <v>43132</v>
      </c>
      <c r="C718" s="1258">
        <v>102.3</v>
      </c>
      <c r="D718" s="1474">
        <v>96.7</v>
      </c>
      <c r="L718"/>
    </row>
    <row r="719" spans="2:12" ht="15.75">
      <c r="B719" s="627">
        <v>43160</v>
      </c>
      <c r="C719" s="1258">
        <v>102.9</v>
      </c>
      <c r="D719" s="1474">
        <v>97.2</v>
      </c>
      <c r="L719"/>
    </row>
    <row r="720" spans="2:12" ht="15.75">
      <c r="B720" s="627">
        <v>43191</v>
      </c>
      <c r="C720" s="1258">
        <v>103.1</v>
      </c>
      <c r="D720" s="1474">
        <v>97.5</v>
      </c>
      <c r="L720"/>
    </row>
    <row r="721" spans="2:21" ht="15.75">
      <c r="B721" s="627">
        <v>43221</v>
      </c>
      <c r="C721" s="1258">
        <v>103.9</v>
      </c>
      <c r="D721" s="1474">
        <v>98.2</v>
      </c>
      <c r="L721"/>
    </row>
    <row r="722" spans="2:21" ht="15.75">
      <c r="B722" s="627">
        <v>43252</v>
      </c>
      <c r="C722" s="1258">
        <v>104</v>
      </c>
      <c r="D722" s="1474">
        <v>98.3</v>
      </c>
      <c r="L722"/>
    </row>
    <row r="723" spans="2:21" ht="15.75">
      <c r="B723" s="627">
        <v>43282</v>
      </c>
      <c r="C723" s="1258">
        <v>104.4</v>
      </c>
      <c r="D723" s="1474">
        <v>98.7</v>
      </c>
      <c r="L723"/>
    </row>
    <row r="724" spans="2:21" ht="15.75">
      <c r="B724" s="627">
        <v>43313</v>
      </c>
      <c r="C724" s="1258">
        <v>104.5</v>
      </c>
      <c r="D724" s="1474">
        <v>98.8</v>
      </c>
      <c r="L724"/>
    </row>
    <row r="725" spans="2:21" ht="15.75">
      <c r="B725" s="627">
        <v>43344</v>
      </c>
      <c r="C725" s="1258">
        <v>104.7</v>
      </c>
      <c r="D725" s="1474">
        <v>99</v>
      </c>
      <c r="L725"/>
    </row>
    <row r="726" spans="2:21" ht="15.75">
      <c r="B726" s="627">
        <v>43374</v>
      </c>
      <c r="C726" s="1258">
        <v>104.9</v>
      </c>
      <c r="D726" s="1474">
        <v>99.1</v>
      </c>
      <c r="L726"/>
    </row>
    <row r="727" spans="2:21" ht="15.75">
      <c r="B727" s="627">
        <v>43405</v>
      </c>
      <c r="C727" s="1258">
        <v>104.2</v>
      </c>
      <c r="D727" s="1474">
        <v>98.5</v>
      </c>
      <c r="L727"/>
    </row>
    <row r="728" spans="2:21" ht="15.75">
      <c r="B728" s="627">
        <v>43435</v>
      </c>
      <c r="C728" s="1258">
        <v>104.2</v>
      </c>
      <c r="D728" s="1474">
        <v>98.5</v>
      </c>
      <c r="L728"/>
    </row>
    <row r="729" spans="2:21" ht="15.75">
      <c r="B729" s="627">
        <v>43466</v>
      </c>
      <c r="C729" s="1258">
        <v>103.4</v>
      </c>
      <c r="D729" s="1474">
        <v>97.7</v>
      </c>
      <c r="L729"/>
    </row>
    <row r="730" spans="2:21" ht="15.75">
      <c r="B730" s="627">
        <v>43497</v>
      </c>
      <c r="C730" s="1259">
        <v>103.8</v>
      </c>
      <c r="D730" s="1474">
        <v>98.1</v>
      </c>
      <c r="L730"/>
      <c r="P730" s="2273"/>
      <c r="Q730" s="2273"/>
      <c r="R730" s="2273"/>
      <c r="S730" s="2273"/>
      <c r="T730" s="2273"/>
      <c r="U730" s="2273"/>
    </row>
    <row r="731" spans="2:21" ht="15.75">
      <c r="B731" s="627">
        <v>43525</v>
      </c>
      <c r="C731" s="1259">
        <v>104.2</v>
      </c>
      <c r="D731" s="1474">
        <v>98.5</v>
      </c>
      <c r="L731"/>
    </row>
    <row r="732" spans="2:21" ht="15.75">
      <c r="B732" s="627">
        <v>43556</v>
      </c>
      <c r="C732" s="1259">
        <v>105.2</v>
      </c>
      <c r="D732" s="1474">
        <v>99.4</v>
      </c>
      <c r="L732"/>
      <c r="P732" s="58"/>
      <c r="S732" s="58"/>
    </row>
    <row r="733" spans="2:21" ht="15.75">
      <c r="B733" s="627">
        <v>43586</v>
      </c>
      <c r="C733" s="1259">
        <v>105.4</v>
      </c>
      <c r="D733" s="1474">
        <v>99.6</v>
      </c>
      <c r="L733"/>
      <c r="P733" s="58"/>
      <c r="S733" s="58"/>
    </row>
    <row r="734" spans="2:21" ht="15.75">
      <c r="B734" s="627">
        <v>43617</v>
      </c>
      <c r="C734" s="1260">
        <v>105.7</v>
      </c>
      <c r="D734" s="1474">
        <v>99.9</v>
      </c>
      <c r="L734"/>
      <c r="P734" s="58"/>
      <c r="S734" s="58"/>
    </row>
    <row r="735" spans="2:21" ht="15.75">
      <c r="B735" s="627">
        <v>43647</v>
      </c>
      <c r="C735" s="1260">
        <v>106.2</v>
      </c>
      <c r="D735" s="1474">
        <v>100.3</v>
      </c>
      <c r="L735"/>
      <c r="P735" s="58"/>
      <c r="S735" s="58"/>
    </row>
    <row r="736" spans="2:21" ht="15.75">
      <c r="B736" s="627">
        <v>43678</v>
      </c>
      <c r="C736" s="1260">
        <v>106</v>
      </c>
      <c r="D736" s="1474">
        <v>100.2</v>
      </c>
      <c r="L736"/>
      <c r="P736" s="58"/>
      <c r="S736" s="58"/>
    </row>
    <row r="737" spans="2:19" ht="15.75">
      <c r="B737" s="627">
        <v>43709</v>
      </c>
      <c r="C737" s="1260">
        <v>106</v>
      </c>
      <c r="D737" s="1474">
        <v>100.2</v>
      </c>
      <c r="L737"/>
      <c r="P737" s="58"/>
      <c r="S737" s="58"/>
    </row>
    <row r="738" spans="2:19" ht="15.75">
      <c r="B738" s="627">
        <v>43739</v>
      </c>
      <c r="C738" s="1260">
        <v>106.1</v>
      </c>
      <c r="D738" s="1474">
        <v>100.2</v>
      </c>
      <c r="L738"/>
      <c r="P738" s="58"/>
      <c r="S738" s="58"/>
    </row>
    <row r="739" spans="2:19" ht="15.75">
      <c r="B739" s="627">
        <v>43770</v>
      </c>
      <c r="C739" s="1260">
        <v>105.3</v>
      </c>
      <c r="D739" s="1474">
        <v>99.5</v>
      </c>
      <c r="L739"/>
      <c r="P739" s="58"/>
      <c r="S739" s="58"/>
    </row>
    <row r="740" spans="2:19" ht="16.5" thickBot="1">
      <c r="B740" s="627">
        <v>43800</v>
      </c>
      <c r="C740" s="1260">
        <v>105.8</v>
      </c>
      <c r="D740" s="1474">
        <v>100</v>
      </c>
      <c r="L740"/>
      <c r="P740" s="58"/>
      <c r="S740" s="58"/>
    </row>
    <row r="741" spans="2:19" ht="16.5" thickBot="1">
      <c r="B741" s="627">
        <v>43831</v>
      </c>
      <c r="C741" s="1260">
        <v>105.2</v>
      </c>
      <c r="D741" s="1474">
        <v>99.8</v>
      </c>
      <c r="E741" s="1250">
        <v>43831</v>
      </c>
      <c r="F741" s="1251">
        <v>99.8</v>
      </c>
      <c r="G741" s="1252" t="s">
        <v>1457</v>
      </c>
      <c r="H741" s="1233" t="s">
        <v>1457</v>
      </c>
      <c r="L741"/>
      <c r="P741" s="58"/>
      <c r="S741" s="58"/>
    </row>
    <row r="742" spans="2:19" ht="16.5" thickBot="1">
      <c r="B742" s="627">
        <v>43862</v>
      </c>
      <c r="C742" s="1260">
        <v>105.6</v>
      </c>
      <c r="D742" s="1474">
        <v>100.1</v>
      </c>
      <c r="E742" s="1250">
        <v>43862</v>
      </c>
      <c r="F742" s="1251">
        <v>100.1</v>
      </c>
      <c r="G742" s="1252" t="s">
        <v>1457</v>
      </c>
      <c r="H742" s="1233">
        <v>0.3</v>
      </c>
      <c r="L742"/>
      <c r="P742" s="58"/>
      <c r="S742" s="58"/>
    </row>
    <row r="743" spans="2:19" ht="16.5" thickBot="1">
      <c r="B743" s="627">
        <v>43891</v>
      </c>
      <c r="C743" s="1260">
        <v>105.7</v>
      </c>
      <c r="D743" s="1474">
        <v>100.3</v>
      </c>
      <c r="E743" s="1250">
        <v>43891</v>
      </c>
      <c r="F743" s="1251">
        <v>100.3</v>
      </c>
      <c r="G743" s="1252" t="s">
        <v>1457</v>
      </c>
      <c r="H743" s="1233">
        <v>0.2</v>
      </c>
      <c r="L743"/>
      <c r="P743" s="58"/>
      <c r="S743" s="58"/>
    </row>
    <row r="744" spans="2:19" ht="16.5" thickBot="1">
      <c r="B744" s="627">
        <v>43922</v>
      </c>
      <c r="C744" s="1260">
        <v>106.1</v>
      </c>
      <c r="D744" s="1474">
        <v>100.4</v>
      </c>
      <c r="E744" s="1250">
        <v>43922</v>
      </c>
      <c r="F744" s="1251">
        <v>100.4</v>
      </c>
      <c r="G744" s="1252" t="s">
        <v>1457</v>
      </c>
      <c r="H744" s="1233">
        <v>0.1</v>
      </c>
      <c r="L744"/>
      <c r="P744" s="58"/>
      <c r="S744" s="58"/>
    </row>
    <row r="745" spans="2:19" ht="16.5" thickBot="1">
      <c r="B745" s="627">
        <v>43952</v>
      </c>
      <c r="C745" s="1260">
        <v>106</v>
      </c>
      <c r="D745" s="1474">
        <v>100.4</v>
      </c>
      <c r="E745" s="1250">
        <v>43952</v>
      </c>
      <c r="F745" s="1251">
        <v>100.4</v>
      </c>
      <c r="G745" s="1252" t="s">
        <v>1457</v>
      </c>
      <c r="H745" s="1233" t="s">
        <v>1458</v>
      </c>
      <c r="L745"/>
      <c r="P745" s="58"/>
      <c r="S745" s="58"/>
    </row>
    <row r="746" spans="2:19" ht="16.5" thickBot="1">
      <c r="B746" s="627">
        <v>43983</v>
      </c>
      <c r="C746" s="1260">
        <v>106.6</v>
      </c>
      <c r="D746" s="1474">
        <v>100.5</v>
      </c>
      <c r="E746" s="1250">
        <v>43983</v>
      </c>
      <c r="F746" s="1251">
        <v>100.5</v>
      </c>
      <c r="G746" s="1252" t="s">
        <v>1457</v>
      </c>
      <c r="H746" s="1233">
        <v>0.1</v>
      </c>
      <c r="L746"/>
      <c r="P746" s="58"/>
      <c r="S746" s="58"/>
    </row>
    <row r="747" spans="2:19" ht="16.5" thickBot="1">
      <c r="B747" s="627">
        <v>44013</v>
      </c>
      <c r="C747" s="1260">
        <v>106.1</v>
      </c>
      <c r="D747" s="1474">
        <v>99.7</v>
      </c>
      <c r="E747" s="1250">
        <v>44013</v>
      </c>
      <c r="F747" s="1251">
        <v>99.7</v>
      </c>
      <c r="G747" s="1252" t="s">
        <v>1457</v>
      </c>
      <c r="H747" s="1233">
        <v>-0.8</v>
      </c>
      <c r="L747"/>
      <c r="P747" s="58"/>
      <c r="S747" s="58"/>
    </row>
    <row r="748" spans="2:19" ht="16.5" thickBot="1">
      <c r="B748" s="627">
        <v>44044</v>
      </c>
      <c r="C748" s="1260">
        <v>106</v>
      </c>
      <c r="D748" s="1474">
        <v>99.7</v>
      </c>
      <c r="E748" s="1250">
        <v>44044</v>
      </c>
      <c r="F748" s="1251">
        <v>99.7</v>
      </c>
      <c r="G748" s="1252" t="s">
        <v>1457</v>
      </c>
      <c r="H748" s="1233" t="s">
        <v>1458</v>
      </c>
      <c r="L748"/>
      <c r="P748" s="58"/>
      <c r="S748" s="58"/>
    </row>
    <row r="749" spans="2:19" ht="16.5" thickBot="1">
      <c r="B749" s="627">
        <v>44075</v>
      </c>
      <c r="C749" s="1260">
        <v>105.8</v>
      </c>
      <c r="D749" s="1474">
        <v>99.7</v>
      </c>
      <c r="E749" s="1250">
        <v>44075</v>
      </c>
      <c r="F749" s="1251">
        <v>99.7</v>
      </c>
      <c r="G749" s="1252" t="s">
        <v>1457</v>
      </c>
      <c r="H749" s="1233" t="s">
        <v>1458</v>
      </c>
      <c r="L749"/>
      <c r="P749" s="58"/>
      <c r="S749" s="58"/>
    </row>
    <row r="750" spans="2:19" ht="16.5" thickBot="1">
      <c r="B750" s="627">
        <v>44105</v>
      </c>
      <c r="C750" s="1260">
        <v>105.9</v>
      </c>
      <c r="D750" s="1474">
        <v>99.9</v>
      </c>
      <c r="E750" s="1250">
        <v>44105</v>
      </c>
      <c r="F750" s="1251">
        <v>99.9</v>
      </c>
      <c r="G750" s="1252" t="s">
        <v>1457</v>
      </c>
      <c r="H750" s="1233">
        <v>0.2</v>
      </c>
      <c r="L750"/>
      <c r="P750" s="58"/>
      <c r="S750" s="58"/>
    </row>
    <row r="751" spans="2:19" ht="16.5" thickBot="1">
      <c r="B751" s="627">
        <v>44136</v>
      </c>
      <c r="C751" s="1260">
        <v>105</v>
      </c>
      <c r="D751" s="1474">
        <v>99.7</v>
      </c>
      <c r="E751" s="1250">
        <v>44136</v>
      </c>
      <c r="F751" s="1251">
        <v>99.7</v>
      </c>
      <c r="G751" s="1252" t="s">
        <v>1457</v>
      </c>
      <c r="H751" s="1233">
        <v>-0.2</v>
      </c>
      <c r="L751"/>
      <c r="P751" s="58"/>
      <c r="S751" s="58"/>
    </row>
    <row r="752" spans="2:19" ht="16.5" thickBot="1">
      <c r="B752" s="627">
        <v>44166</v>
      </c>
      <c r="C752" s="1261">
        <v>105.5</v>
      </c>
      <c r="D752" s="1474">
        <v>99.8</v>
      </c>
      <c r="E752" s="1250">
        <v>44166</v>
      </c>
      <c r="F752" s="1251">
        <v>99.8</v>
      </c>
      <c r="G752" s="1252" t="s">
        <v>1457</v>
      </c>
      <c r="H752" s="1233">
        <v>0.1</v>
      </c>
      <c r="L752"/>
      <c r="P752" s="58"/>
      <c r="S752" s="58"/>
    </row>
    <row r="753" spans="2:19" ht="16.5" thickBot="1">
      <c r="B753" s="627">
        <v>44197</v>
      </c>
      <c r="C753" s="1261">
        <v>106.3</v>
      </c>
      <c r="D753" s="1474">
        <v>101</v>
      </c>
      <c r="E753" s="1250">
        <v>44197</v>
      </c>
      <c r="F753" s="1251">
        <v>101</v>
      </c>
      <c r="G753" s="1252">
        <v>1.2</v>
      </c>
      <c r="H753" s="1233">
        <v>1.2</v>
      </c>
      <c r="L753"/>
      <c r="P753" s="58"/>
      <c r="S753" s="58"/>
    </row>
    <row r="754" spans="2:19" ht="16.5" thickBot="1">
      <c r="B754" s="627">
        <v>44228</v>
      </c>
      <c r="C754" s="1261">
        <v>107</v>
      </c>
      <c r="D754" s="1474">
        <v>101.6</v>
      </c>
      <c r="E754" s="1250">
        <v>44228</v>
      </c>
      <c r="F754" s="1251">
        <v>101.6</v>
      </c>
      <c r="G754" s="1252">
        <v>1.5</v>
      </c>
      <c r="H754" s="1233">
        <v>0.6</v>
      </c>
      <c r="L754"/>
      <c r="P754" s="58"/>
      <c r="S754" s="58"/>
    </row>
    <row r="755" spans="2:19" ht="16.5" thickBot="1">
      <c r="B755" s="627">
        <v>44256</v>
      </c>
      <c r="C755" s="1261">
        <v>107.5</v>
      </c>
      <c r="D755" s="1474">
        <v>102.1</v>
      </c>
      <c r="E755" s="1250">
        <v>44256</v>
      </c>
      <c r="F755" s="1251">
        <v>102.1</v>
      </c>
      <c r="G755" s="1252">
        <v>1.8</v>
      </c>
      <c r="H755" s="1233">
        <v>0.5</v>
      </c>
      <c r="L755"/>
      <c r="P755" s="58"/>
      <c r="S755" s="58"/>
    </row>
    <row r="756" spans="2:19" ht="16.5" thickBot="1">
      <c r="B756" s="627">
        <v>44287</v>
      </c>
      <c r="C756" s="1261">
        <v>108.2</v>
      </c>
      <c r="D756" s="1474">
        <v>102.4</v>
      </c>
      <c r="E756" s="1250">
        <v>44287</v>
      </c>
      <c r="F756" s="1251">
        <v>102.4</v>
      </c>
      <c r="G756" s="1252">
        <v>2</v>
      </c>
      <c r="H756" s="1233">
        <v>0.3</v>
      </c>
      <c r="L756"/>
      <c r="P756" s="58"/>
      <c r="S756" s="58"/>
    </row>
    <row r="757" spans="2:19" ht="16.5" thickBot="1">
      <c r="B757" s="627">
        <v>44317</v>
      </c>
      <c r="C757" s="1261">
        <v>108.7</v>
      </c>
      <c r="D757" s="1474">
        <v>102.6</v>
      </c>
      <c r="E757" s="1250">
        <v>44317</v>
      </c>
      <c r="F757" s="1251">
        <v>102.6</v>
      </c>
      <c r="G757" s="1252">
        <v>2.2000000000000002</v>
      </c>
      <c r="H757" s="1233">
        <v>0.2</v>
      </c>
      <c r="L757"/>
      <c r="P757" s="58"/>
      <c r="S757" s="58"/>
    </row>
    <row r="758" spans="2:19" ht="16.5" thickBot="1">
      <c r="B758" s="627">
        <v>44348</v>
      </c>
      <c r="C758" s="1261">
        <v>109.1</v>
      </c>
      <c r="D758" s="1474">
        <v>102.9</v>
      </c>
      <c r="E758" s="1250">
        <v>44348</v>
      </c>
      <c r="F758" s="1251">
        <v>102.9</v>
      </c>
      <c r="G758" s="1252">
        <v>2.4</v>
      </c>
      <c r="H758" s="1233">
        <v>0.3</v>
      </c>
      <c r="L758"/>
      <c r="P758" s="58"/>
      <c r="S758" s="58"/>
    </row>
    <row r="759" spans="2:19" ht="16.5" thickBot="1">
      <c r="B759" s="627">
        <v>44378</v>
      </c>
      <c r="C759" s="1261">
        <v>110.1</v>
      </c>
      <c r="D759" s="1474">
        <v>103.4</v>
      </c>
      <c r="E759" s="1250">
        <v>44378</v>
      </c>
      <c r="F759" s="1251">
        <v>103.4</v>
      </c>
      <c r="G759" s="1252">
        <v>3.7</v>
      </c>
      <c r="H759" s="1233">
        <v>0.5</v>
      </c>
      <c r="L759"/>
      <c r="P759" s="58"/>
      <c r="S759" s="58"/>
    </row>
    <row r="760" spans="2:19" ht="16.5" thickBot="1">
      <c r="B760" s="627">
        <v>44409</v>
      </c>
      <c r="C760" s="1261">
        <v>110.1</v>
      </c>
      <c r="D760" s="1474">
        <v>103.5</v>
      </c>
      <c r="E760" s="1250">
        <v>44409</v>
      </c>
      <c r="F760" s="1251">
        <v>103.5</v>
      </c>
      <c r="G760" s="1252">
        <v>3.8</v>
      </c>
      <c r="H760" s="1233">
        <v>0.1</v>
      </c>
      <c r="L760"/>
      <c r="P760" s="58"/>
      <c r="S760" s="58"/>
    </row>
    <row r="761" spans="2:19" ht="16.5" thickBot="1">
      <c r="B761" s="627">
        <v>44440</v>
      </c>
      <c r="C761" s="1261">
        <v>110.1</v>
      </c>
      <c r="D761" s="1474">
        <v>103.8</v>
      </c>
      <c r="E761" s="1250">
        <v>44440</v>
      </c>
      <c r="F761" s="1251">
        <v>103.8</v>
      </c>
      <c r="G761" s="1252">
        <v>4.0999999999999996</v>
      </c>
      <c r="H761" s="1233">
        <v>0.3</v>
      </c>
      <c r="L761"/>
      <c r="P761" s="58"/>
      <c r="S761" s="58"/>
    </row>
    <row r="762" spans="2:19" ht="16.5" thickBot="1">
      <c r="B762" s="627">
        <v>44470</v>
      </c>
      <c r="C762" s="1261">
        <v>110.7</v>
      </c>
      <c r="D762" s="1474">
        <v>104.3</v>
      </c>
      <c r="E762" s="1250">
        <v>44470</v>
      </c>
      <c r="F762" s="1251">
        <v>104.3</v>
      </c>
      <c r="G762" s="1252">
        <v>4.4000000000000004</v>
      </c>
      <c r="H762" s="1233">
        <v>0.5</v>
      </c>
      <c r="L762"/>
      <c r="P762" s="58"/>
      <c r="S762" s="58"/>
    </row>
    <row r="763" spans="2:19" ht="16.5" thickBot="1">
      <c r="B763" s="627">
        <v>44501</v>
      </c>
      <c r="C763" s="1261">
        <v>110.5</v>
      </c>
      <c r="D763" s="1474">
        <v>104.5</v>
      </c>
      <c r="E763" s="1250">
        <v>44501</v>
      </c>
      <c r="F763" s="1251">
        <v>104.5</v>
      </c>
      <c r="G763" s="1252">
        <v>4.8</v>
      </c>
      <c r="H763" s="1233">
        <v>0.2</v>
      </c>
      <c r="L763"/>
      <c r="P763" s="58"/>
      <c r="S763" s="58"/>
    </row>
    <row r="764" spans="2:19" ht="16.5" thickBot="1">
      <c r="B764" s="627">
        <v>44531</v>
      </c>
      <c r="C764" s="1261">
        <v>111.1</v>
      </c>
      <c r="D764" s="1474">
        <v>104.7</v>
      </c>
      <c r="E764" s="1250">
        <v>44531</v>
      </c>
      <c r="F764" s="1251">
        <v>104.7</v>
      </c>
      <c r="G764" s="1252">
        <v>4.9000000000000004</v>
      </c>
      <c r="H764" s="1233">
        <v>0.2</v>
      </c>
      <c r="L764" s="68"/>
      <c r="M764">
        <v>100</v>
      </c>
      <c r="P764" s="58"/>
      <c r="S764" s="58"/>
    </row>
    <row r="765" spans="2:19" ht="16.5" thickBot="1">
      <c r="B765" s="627">
        <v>44562</v>
      </c>
      <c r="C765" s="1261">
        <v>111.5</v>
      </c>
      <c r="D765" s="1474">
        <v>105.2</v>
      </c>
      <c r="E765" s="1250">
        <v>44562</v>
      </c>
      <c r="F765" s="1251">
        <v>105.2</v>
      </c>
      <c r="G765" s="1252">
        <v>4.2</v>
      </c>
      <c r="H765" s="1233">
        <v>0.5</v>
      </c>
      <c r="K765">
        <v>1</v>
      </c>
      <c r="L765" s="146">
        <v>0.06</v>
      </c>
      <c r="M765" s="91">
        <f>+M764*(1-L765)</f>
        <v>94</v>
      </c>
      <c r="P765" s="58"/>
      <c r="S765" s="58"/>
    </row>
    <row r="766" spans="2:19" ht="16.5" thickBot="1">
      <c r="B766" s="627">
        <v>44593</v>
      </c>
      <c r="C766" s="1261">
        <v>112.5</v>
      </c>
      <c r="D766" s="1474">
        <v>106</v>
      </c>
      <c r="E766" s="1250">
        <v>44593</v>
      </c>
      <c r="F766" s="1251">
        <v>106</v>
      </c>
      <c r="G766" s="1252">
        <v>4.3</v>
      </c>
      <c r="H766" s="1233">
        <v>0.8</v>
      </c>
      <c r="K766">
        <v>2</v>
      </c>
      <c r="L766" s="146">
        <v>0.05</v>
      </c>
      <c r="M766" s="91">
        <f t="shared" ref="M766:M802" si="26">+M765*(1-L766)</f>
        <v>89.3</v>
      </c>
      <c r="P766" s="58"/>
      <c r="S766" s="58"/>
    </row>
    <row r="767" spans="2:19" ht="16.5" thickBot="1">
      <c r="B767" s="627">
        <v>44621</v>
      </c>
      <c r="C767" s="1261">
        <v>115.3</v>
      </c>
      <c r="D767" s="1474">
        <v>108.1</v>
      </c>
      <c r="E767" s="1250">
        <v>44621</v>
      </c>
      <c r="F767" s="1251">
        <v>108.1</v>
      </c>
      <c r="G767" s="1252">
        <v>5.9</v>
      </c>
      <c r="H767" s="1233">
        <v>2</v>
      </c>
      <c r="K767">
        <v>3</v>
      </c>
      <c r="L767" s="146">
        <v>0.06</v>
      </c>
      <c r="M767" s="91">
        <f t="shared" si="26"/>
        <v>83.941999999999993</v>
      </c>
      <c r="P767" s="58"/>
      <c r="S767" s="58"/>
    </row>
    <row r="768" spans="2:19" ht="16.5" thickBot="1">
      <c r="B768" s="627">
        <v>44652</v>
      </c>
      <c r="C768" s="1261">
        <v>116.2</v>
      </c>
      <c r="D768" s="1474">
        <v>108.8</v>
      </c>
      <c r="E768" s="1250">
        <v>44652</v>
      </c>
      <c r="F768" s="1251">
        <v>108.8</v>
      </c>
      <c r="G768" s="1252">
        <v>6.3</v>
      </c>
      <c r="H768" s="1233">
        <v>0.6</v>
      </c>
      <c r="K768">
        <v>4</v>
      </c>
      <c r="L768" s="146">
        <v>0.03</v>
      </c>
      <c r="M768" s="91">
        <f t="shared" si="26"/>
        <v>81.423739999999995</v>
      </c>
      <c r="P768" s="58"/>
      <c r="S768" s="58"/>
    </row>
    <row r="769" spans="1:19" ht="16.5" thickBot="1">
      <c r="B769" s="627">
        <v>44682</v>
      </c>
      <c r="C769" s="1261">
        <v>117.3</v>
      </c>
      <c r="D769" s="1474">
        <v>109.8</v>
      </c>
      <c r="E769" s="1250">
        <v>44682</v>
      </c>
      <c r="F769" s="1251">
        <v>109.8</v>
      </c>
      <c r="G769" s="1252">
        <v>7</v>
      </c>
      <c r="H769" s="1233">
        <v>0.9</v>
      </c>
      <c r="K769">
        <v>5</v>
      </c>
      <c r="L769" s="146">
        <v>2.5000000000000001E-2</v>
      </c>
      <c r="M769" s="91">
        <f t="shared" si="26"/>
        <v>79.388146499999991</v>
      </c>
      <c r="P769" s="58"/>
      <c r="S769" s="58"/>
    </row>
    <row r="770" spans="1:19" ht="16.5" thickBot="1">
      <c r="B770" s="627">
        <v>44713</v>
      </c>
      <c r="C770" s="1261">
        <v>117.4</v>
      </c>
      <c r="D770" s="1474">
        <v>109.8</v>
      </c>
      <c r="E770" s="1250">
        <v>44713</v>
      </c>
      <c r="F770" s="1251">
        <v>109.8</v>
      </c>
      <c r="G770" s="1252">
        <v>6.7</v>
      </c>
      <c r="H770" s="1233" t="s">
        <v>1458</v>
      </c>
      <c r="K770">
        <v>6</v>
      </c>
      <c r="L770" s="146">
        <v>2.5000000000000001E-2</v>
      </c>
      <c r="M770" s="91">
        <f t="shared" si="26"/>
        <v>77.403442837499995</v>
      </c>
      <c r="P770" s="58"/>
      <c r="S770" s="58"/>
    </row>
    <row r="771" spans="1:19" ht="16.5" thickBot="1">
      <c r="B771" s="627">
        <v>44743</v>
      </c>
      <c r="C771" s="1261">
        <v>118.4</v>
      </c>
      <c r="D771" s="1474">
        <v>110.3</v>
      </c>
      <c r="E771" s="1250">
        <v>44743</v>
      </c>
      <c r="F771" s="1251">
        <v>110.3</v>
      </c>
      <c r="G771" s="1252">
        <v>6.7</v>
      </c>
      <c r="H771" s="1233">
        <v>0.5</v>
      </c>
      <c r="K771">
        <v>7</v>
      </c>
      <c r="L771" s="146">
        <v>2.5000000000000001E-2</v>
      </c>
      <c r="M771" s="91">
        <f t="shared" si="26"/>
        <v>75.468356766562493</v>
      </c>
      <c r="P771" s="58"/>
      <c r="S771" s="58"/>
    </row>
    <row r="772" spans="1:19" ht="16.5" thickBot="1">
      <c r="B772" s="627">
        <v>44774</v>
      </c>
      <c r="C772" s="1261">
        <v>118.8</v>
      </c>
      <c r="D772" s="1474">
        <v>110.7</v>
      </c>
      <c r="E772" s="1250">
        <v>44774</v>
      </c>
      <c r="F772" s="1251">
        <v>110.7</v>
      </c>
      <c r="G772" s="1252">
        <v>7</v>
      </c>
      <c r="H772" s="1233">
        <v>0.4</v>
      </c>
      <c r="K772">
        <v>8</v>
      </c>
      <c r="L772" s="146">
        <v>2.3E-2</v>
      </c>
      <c r="M772" s="91">
        <f t="shared" si="26"/>
        <v>73.732584560931556</v>
      </c>
      <c r="P772" s="58"/>
      <c r="S772" s="58"/>
    </row>
    <row r="773" spans="1:19" ht="16.5" thickBot="1">
      <c r="B773" s="627">
        <v>44805</v>
      </c>
      <c r="C773" s="1261">
        <v>121.1</v>
      </c>
      <c r="D773" s="1474">
        <v>112.7</v>
      </c>
      <c r="E773" s="1250">
        <v>44805</v>
      </c>
      <c r="F773" s="1251">
        <v>112.7</v>
      </c>
      <c r="G773" s="1252">
        <v>8.6</v>
      </c>
      <c r="H773" s="1233">
        <v>1.8</v>
      </c>
      <c r="K773">
        <v>9</v>
      </c>
      <c r="L773" s="146">
        <v>2.1999999999999999E-2</v>
      </c>
      <c r="M773" s="91">
        <f t="shared" si="26"/>
        <v>72.110467700591059</v>
      </c>
      <c r="P773" s="58"/>
      <c r="S773" s="58"/>
    </row>
    <row r="774" spans="1:19" ht="16.5" thickBot="1">
      <c r="B774" s="627">
        <v>44835</v>
      </c>
      <c r="C774" s="1261">
        <v>122.2</v>
      </c>
      <c r="D774" s="1474">
        <v>113.5</v>
      </c>
      <c r="E774" s="1250">
        <v>44835</v>
      </c>
      <c r="F774" s="1251">
        <v>113.5</v>
      </c>
      <c r="G774" s="1252">
        <v>8.8000000000000007</v>
      </c>
      <c r="H774" s="1233">
        <v>0.7</v>
      </c>
      <c r="K774">
        <v>10</v>
      </c>
      <c r="L774" s="146">
        <v>2.1999999999999999E-2</v>
      </c>
      <c r="M774" s="91">
        <f t="shared" si="26"/>
        <v>70.524037411178057</v>
      </c>
      <c r="P774" s="58"/>
      <c r="S774" s="58"/>
    </row>
    <row r="775" spans="1:19" ht="16.5" thickBot="1">
      <c r="B775" s="627">
        <v>44866</v>
      </c>
      <c r="C775" s="1261">
        <v>121.6</v>
      </c>
      <c r="D775" s="1474">
        <v>113.7</v>
      </c>
      <c r="E775" s="1250">
        <v>44866</v>
      </c>
      <c r="F775" s="1251">
        <v>113.7</v>
      </c>
      <c r="G775" s="1252">
        <v>8.8000000000000007</v>
      </c>
      <c r="H775" s="1233">
        <v>0.2</v>
      </c>
      <c r="K775">
        <v>11</v>
      </c>
      <c r="L775" s="146">
        <v>2.1999999999999999E-2</v>
      </c>
      <c r="M775" s="91">
        <f t="shared" si="26"/>
        <v>68.972508588132143</v>
      </c>
      <c r="P775" s="58"/>
      <c r="S775" s="58"/>
    </row>
    <row r="776" spans="1:19" ht="16.5" thickBot="1">
      <c r="B776" s="627">
        <v>44896</v>
      </c>
      <c r="C776" s="1261">
        <v>120.6</v>
      </c>
      <c r="D776" s="1474">
        <v>113.2</v>
      </c>
      <c r="E776" s="1250">
        <v>44896</v>
      </c>
      <c r="F776" s="1251">
        <v>113.2</v>
      </c>
      <c r="G776" s="1252">
        <v>8.1</v>
      </c>
      <c r="H776" s="1233">
        <v>-0.4</v>
      </c>
      <c r="J776" s="146">
        <f>_xlfn.RRI(37,C321,C776)</f>
        <v>1.9777705672038293E-2</v>
      </c>
      <c r="K776">
        <v>12</v>
      </c>
      <c r="L776" s="146">
        <v>2.1999999999999999E-2</v>
      </c>
      <c r="M776" s="91">
        <f t="shared" si="26"/>
        <v>67.455113399193237</v>
      </c>
      <c r="P776" s="58"/>
      <c r="S776" s="58"/>
    </row>
    <row r="777" spans="1:19" ht="16.5" thickBot="1">
      <c r="A777" s="34"/>
      <c r="B777" s="1464">
        <v>44927</v>
      </c>
      <c r="C777" s="1465">
        <f>ROUND(C776*D777/D776,2)</f>
        <v>121.77</v>
      </c>
      <c r="D777" s="1474">
        <v>114.3</v>
      </c>
      <c r="E777" s="1250">
        <v>44927</v>
      </c>
      <c r="F777" s="1253">
        <v>114.3</v>
      </c>
      <c r="G777" s="1254"/>
      <c r="H777" s="1234"/>
      <c r="K777">
        <v>13</v>
      </c>
      <c r="L777" s="146">
        <v>2.1999999999999999E-2</v>
      </c>
      <c r="M777" s="91">
        <f t="shared" si="26"/>
        <v>65.971100904410989</v>
      </c>
      <c r="P777" s="58"/>
      <c r="S777" s="58"/>
    </row>
    <row r="778" spans="1:19" ht="15.75">
      <c r="B778" s="627">
        <v>44958</v>
      </c>
      <c r="C778" s="1465">
        <f t="shared" ref="C778:C800" si="27">ROUND(C777*D778/D777,2)</f>
        <v>122.73</v>
      </c>
      <c r="D778" s="1474">
        <v>115.2</v>
      </c>
      <c r="K778">
        <v>14</v>
      </c>
      <c r="L778" s="146">
        <v>2.1999999999999999E-2</v>
      </c>
      <c r="M778" s="91">
        <f t="shared" si="26"/>
        <v>64.519736684513944</v>
      </c>
      <c r="P778" s="58"/>
      <c r="S778" s="58"/>
    </row>
    <row r="779" spans="1:19" ht="15.75">
      <c r="B779" s="627">
        <v>44986</v>
      </c>
      <c r="C779" s="1465">
        <f t="shared" si="27"/>
        <v>123.69</v>
      </c>
      <c r="D779" s="1474">
        <v>116.1</v>
      </c>
      <c r="K779">
        <v>15</v>
      </c>
      <c r="L779" s="146">
        <v>2.1999999999999999E-2</v>
      </c>
      <c r="M779" s="91">
        <f t="shared" si="26"/>
        <v>63.100302477454633</v>
      </c>
      <c r="P779" s="58"/>
      <c r="S779" s="58"/>
    </row>
    <row r="780" spans="1:19" ht="15.75">
      <c r="B780" s="627">
        <v>45017</v>
      </c>
      <c r="C780" s="1465">
        <f t="shared" si="27"/>
        <v>124.22</v>
      </c>
      <c r="D780" s="1474">
        <v>116.6</v>
      </c>
      <c r="K780">
        <v>16</v>
      </c>
      <c r="L780" s="146">
        <v>2.1999999999999999E-2</v>
      </c>
      <c r="M780" s="91">
        <f t="shared" si="26"/>
        <v>61.71209582295063</v>
      </c>
      <c r="P780" s="58"/>
      <c r="S780" s="58"/>
    </row>
    <row r="781" spans="1:19" ht="15.75">
      <c r="B781" s="627">
        <v>45047</v>
      </c>
      <c r="C781" s="1465">
        <f t="shared" si="27"/>
        <v>124.11</v>
      </c>
      <c r="D781" s="1474">
        <v>116.5</v>
      </c>
      <c r="K781">
        <v>17</v>
      </c>
      <c r="L781" s="146">
        <v>2.1999999999999999E-2</v>
      </c>
      <c r="M781" s="91">
        <f t="shared" si="26"/>
        <v>60.354429714845715</v>
      </c>
      <c r="P781" s="58"/>
      <c r="S781" s="58"/>
    </row>
    <row r="782" spans="1:19" ht="15.75">
      <c r="B782" s="627">
        <v>45078</v>
      </c>
      <c r="C782" s="1465">
        <f t="shared" si="27"/>
        <v>124.43</v>
      </c>
      <c r="D782" s="1474">
        <v>116.8</v>
      </c>
      <c r="K782">
        <v>18</v>
      </c>
      <c r="L782" s="146">
        <v>2.1999999999999999E-2</v>
      </c>
      <c r="M782" s="91">
        <f t="shared" si="26"/>
        <v>59.026632261119104</v>
      </c>
      <c r="P782" s="58"/>
      <c r="S782" s="58"/>
    </row>
    <row r="783" spans="1:19" ht="15.75">
      <c r="B783" s="627">
        <v>45108</v>
      </c>
      <c r="C783" s="1465">
        <f t="shared" si="27"/>
        <v>124.75</v>
      </c>
      <c r="D783" s="1474">
        <v>117.1</v>
      </c>
      <c r="K783">
        <v>19</v>
      </c>
      <c r="L783" s="146">
        <v>2.1999999999999999E-2</v>
      </c>
      <c r="M783" s="91">
        <f t="shared" si="26"/>
        <v>57.728046351374481</v>
      </c>
      <c r="P783" s="58"/>
      <c r="S783" s="58"/>
    </row>
    <row r="784" spans="1:19" ht="15.75">
      <c r="B784" s="627">
        <v>45139</v>
      </c>
      <c r="C784" s="1465">
        <f t="shared" si="27"/>
        <v>125.18</v>
      </c>
      <c r="D784" s="1474">
        <v>117.5</v>
      </c>
      <c r="K784">
        <v>20</v>
      </c>
      <c r="L784" s="146">
        <v>2.1999999999999999E-2</v>
      </c>
      <c r="M784" s="91">
        <f t="shared" si="26"/>
        <v>56.458029331644241</v>
      </c>
      <c r="P784" s="58"/>
      <c r="R784" s="263"/>
      <c r="S784" s="58"/>
    </row>
    <row r="785" spans="2:19" ht="15.75">
      <c r="B785" s="627">
        <v>45170</v>
      </c>
      <c r="C785" s="1465">
        <f t="shared" si="27"/>
        <v>125.5</v>
      </c>
      <c r="D785" s="1474">
        <v>117.8</v>
      </c>
      <c r="K785">
        <v>21</v>
      </c>
      <c r="L785" s="146">
        <v>2.1999999999999999E-2</v>
      </c>
      <c r="M785" s="91">
        <f t="shared" si="26"/>
        <v>55.215952686348068</v>
      </c>
      <c r="P785" s="58"/>
      <c r="S785" s="58"/>
    </row>
    <row r="786" spans="2:19" ht="15.75">
      <c r="B786" s="627">
        <v>45200</v>
      </c>
      <c r="C786" s="1465">
        <f t="shared" si="27"/>
        <v>125.5</v>
      </c>
      <c r="D786" s="1474">
        <v>117.8</v>
      </c>
      <c r="K786">
        <v>22</v>
      </c>
      <c r="L786" s="146">
        <v>2.1999999999999999E-2</v>
      </c>
      <c r="M786" s="91">
        <f t="shared" si="26"/>
        <v>54.001201727248407</v>
      </c>
      <c r="P786" s="58"/>
      <c r="S786" s="58"/>
    </row>
    <row r="787" spans="2:19" ht="15.75">
      <c r="B787" s="627">
        <v>45231</v>
      </c>
      <c r="C787" s="1465">
        <f t="shared" si="27"/>
        <v>124.97</v>
      </c>
      <c r="D787" s="1474">
        <v>117.3</v>
      </c>
      <c r="K787">
        <v>23</v>
      </c>
      <c r="L787" s="146">
        <v>2.1999999999999999E-2</v>
      </c>
      <c r="M787" s="91">
        <f t="shared" si="26"/>
        <v>52.813175289248939</v>
      </c>
      <c r="P787" s="58"/>
      <c r="S787" s="58"/>
    </row>
    <row r="788" spans="2:19" ht="15.75">
      <c r="B788" s="627">
        <v>45261</v>
      </c>
      <c r="C788" s="1465">
        <f t="shared" si="27"/>
        <v>125.08</v>
      </c>
      <c r="D788" s="1474">
        <v>117.4</v>
      </c>
      <c r="K788">
        <v>24</v>
      </c>
      <c r="L788" s="146">
        <v>2.1999999999999999E-2</v>
      </c>
      <c r="M788" s="91">
        <f t="shared" si="26"/>
        <v>51.651285432885459</v>
      </c>
      <c r="P788" s="58"/>
      <c r="S788" s="58"/>
    </row>
    <row r="789" spans="2:19" ht="15.75">
      <c r="B789" s="627">
        <v>45292</v>
      </c>
      <c r="C789" s="1465">
        <f t="shared" si="27"/>
        <v>125.29</v>
      </c>
      <c r="D789" s="1474">
        <v>117.6</v>
      </c>
      <c r="K789">
        <v>25</v>
      </c>
      <c r="L789" s="146">
        <v>2.1999999999999999E-2</v>
      </c>
      <c r="M789" s="91">
        <f t="shared" si="26"/>
        <v>50.514957153361976</v>
      </c>
      <c r="P789" s="58"/>
      <c r="S789" s="58"/>
    </row>
    <row r="790" spans="2:19" ht="15.75">
      <c r="B790" s="627">
        <v>45323</v>
      </c>
      <c r="C790" s="1465">
        <f t="shared" si="27"/>
        <v>125.82</v>
      </c>
      <c r="D790" s="1474">
        <v>118.1</v>
      </c>
      <c r="K790">
        <v>26</v>
      </c>
      <c r="L790" s="146">
        <v>2.1999999999999999E-2</v>
      </c>
      <c r="M790" s="91">
        <f t="shared" si="26"/>
        <v>49.403628095988012</v>
      </c>
      <c r="P790" s="58"/>
      <c r="S790" s="58"/>
    </row>
    <row r="791" spans="2:19" ht="15.75">
      <c r="B791" s="627">
        <v>45352</v>
      </c>
      <c r="C791" s="1465">
        <f t="shared" si="27"/>
        <v>126.35</v>
      </c>
      <c r="D791" s="1474">
        <v>118.6</v>
      </c>
      <c r="K791">
        <v>27</v>
      </c>
      <c r="L791" s="146">
        <v>2.1999999999999999E-2</v>
      </c>
      <c r="M791" s="91">
        <f t="shared" si="26"/>
        <v>48.316748277876272</v>
      </c>
      <c r="P791" s="58"/>
      <c r="S791" s="58"/>
    </row>
    <row r="792" spans="2:19" ht="15.75">
      <c r="B792" s="627">
        <v>45383</v>
      </c>
      <c r="C792" s="1465">
        <f t="shared" si="27"/>
        <v>126.99</v>
      </c>
      <c r="D792" s="1474">
        <v>119.2</v>
      </c>
      <c r="K792">
        <v>28</v>
      </c>
      <c r="L792" s="146">
        <v>2.1999999999999999E-2</v>
      </c>
      <c r="M792" s="91">
        <f t="shared" si="26"/>
        <v>47.253779815762989</v>
      </c>
      <c r="P792" s="58"/>
      <c r="S792" s="58"/>
    </row>
    <row r="793" spans="2:19" ht="15.75">
      <c r="B793" s="627">
        <v>45413</v>
      </c>
      <c r="C793" s="1465">
        <f t="shared" si="27"/>
        <v>127.1</v>
      </c>
      <c r="D793" s="1474">
        <v>119.3</v>
      </c>
      <c r="K793">
        <v>29</v>
      </c>
      <c r="L793" s="146">
        <v>2.1999999999999999E-2</v>
      </c>
      <c r="M793" s="91">
        <f t="shared" si="26"/>
        <v>46.214196659816203</v>
      </c>
      <c r="P793" s="58"/>
      <c r="S793" s="58"/>
    </row>
    <row r="794" spans="2:19" ht="15.75">
      <c r="B794" s="627">
        <v>45444</v>
      </c>
      <c r="C794" s="1465">
        <f t="shared" si="27"/>
        <v>127.21</v>
      </c>
      <c r="D794" s="1474">
        <v>119.4</v>
      </c>
      <c r="K794">
        <v>30</v>
      </c>
      <c r="L794" s="146">
        <v>2.1999999999999999E-2</v>
      </c>
      <c r="M794" s="91">
        <f t="shared" si="26"/>
        <v>45.197484333300245</v>
      </c>
    </row>
    <row r="795" spans="2:19" ht="15.75">
      <c r="B795" s="627">
        <v>45474</v>
      </c>
      <c r="C795" s="1465">
        <f t="shared" si="27"/>
        <v>127.64</v>
      </c>
      <c r="D795" s="2168">
        <v>119.8</v>
      </c>
      <c r="K795">
        <v>31</v>
      </c>
      <c r="L795" s="146">
        <v>2.1999999999999999E-2</v>
      </c>
      <c r="M795" s="91">
        <f t="shared" si="26"/>
        <v>44.203139677967641</v>
      </c>
    </row>
    <row r="796" spans="2:19" ht="15.75">
      <c r="B796" s="627">
        <v>45505</v>
      </c>
      <c r="C796" s="1465">
        <f t="shared" si="27"/>
        <v>127.53</v>
      </c>
      <c r="D796" s="2168">
        <v>119.7</v>
      </c>
      <c r="K796">
        <v>32</v>
      </c>
      <c r="L796" s="146">
        <v>2.1999999999999999E-2</v>
      </c>
      <c r="M796" s="91">
        <f t="shared" si="26"/>
        <v>43.230670605052353</v>
      </c>
    </row>
    <row r="797" spans="2:19" ht="15.75">
      <c r="B797" s="627">
        <v>45536</v>
      </c>
      <c r="C797" s="1465">
        <f t="shared" si="27"/>
        <v>127.53</v>
      </c>
      <c r="D797" s="2168">
        <v>119.7</v>
      </c>
      <c r="K797">
        <v>33</v>
      </c>
      <c r="L797" s="146">
        <v>2.1999999999999999E-2</v>
      </c>
      <c r="M797" s="91">
        <f t="shared" si="26"/>
        <v>42.279595851741199</v>
      </c>
    </row>
    <row r="798" spans="2:19" ht="15.75">
      <c r="B798" s="627">
        <v>45566</v>
      </c>
      <c r="C798" s="1465">
        <f t="shared" si="27"/>
        <v>128.06</v>
      </c>
      <c r="D798" s="1474">
        <v>120.2</v>
      </c>
      <c r="K798">
        <v>34</v>
      </c>
      <c r="L798" s="146">
        <v>2.1999999999999999E-2</v>
      </c>
      <c r="M798" s="91">
        <f t="shared" si="26"/>
        <v>41.349444743002891</v>
      </c>
    </row>
    <row r="799" spans="2:19" ht="15.75">
      <c r="B799" s="627">
        <v>45597</v>
      </c>
      <c r="C799" s="1465">
        <f t="shared" si="27"/>
        <v>127.74</v>
      </c>
      <c r="D799" s="1474">
        <v>119.9</v>
      </c>
      <c r="K799">
        <v>35</v>
      </c>
      <c r="L799" s="146">
        <v>2.1999999999999999E-2</v>
      </c>
      <c r="M799" s="91">
        <f t="shared" si="26"/>
        <v>40.43975695865683</v>
      </c>
    </row>
    <row r="800" spans="2:19" ht="15.75">
      <c r="B800" s="627">
        <v>45627</v>
      </c>
      <c r="C800" s="1465">
        <f t="shared" si="27"/>
        <v>0</v>
      </c>
      <c r="D800" s="1474"/>
      <c r="K800">
        <v>36</v>
      </c>
      <c r="L800" s="146">
        <v>2.1999999999999999E-2</v>
      </c>
      <c r="M800" s="91">
        <f t="shared" si="26"/>
        <v>39.550082305566377</v>
      </c>
    </row>
    <row r="801" spans="2:14" ht="15.75">
      <c r="B801" s="627">
        <v>45658</v>
      </c>
      <c r="C801" s="1261"/>
      <c r="D801" s="1474"/>
      <c r="K801">
        <v>37</v>
      </c>
      <c r="L801" s="146">
        <v>2.1999999999999999E-2</v>
      </c>
      <c r="M801" s="91">
        <f t="shared" si="26"/>
        <v>38.679980494843917</v>
      </c>
    </row>
    <row r="802" spans="2:14" ht="15.75">
      <c r="B802" s="627">
        <v>45689</v>
      </c>
      <c r="C802" s="1261"/>
      <c r="D802" s="1474"/>
      <c r="K802">
        <v>38</v>
      </c>
      <c r="L802" s="146">
        <v>2.1999999999999999E-2</v>
      </c>
      <c r="M802" s="91">
        <f t="shared" si="26"/>
        <v>37.829020923957351</v>
      </c>
      <c r="N802" s="146">
        <f>_xlfn.RRI(K802,M764,M802)</f>
        <v>-2.5256979341022001E-2</v>
      </c>
    </row>
    <row r="803" spans="2:14" ht="15.75">
      <c r="B803" s="627">
        <v>45717</v>
      </c>
      <c r="C803" s="1261"/>
      <c r="K803">
        <v>39</v>
      </c>
    </row>
    <row r="804" spans="2:14" ht="15.75">
      <c r="B804" s="627">
        <v>45748</v>
      </c>
      <c r="C804" s="1261"/>
      <c r="K804">
        <v>40</v>
      </c>
    </row>
    <row r="805" spans="2:14" ht="15.75">
      <c r="B805" s="627">
        <v>45778</v>
      </c>
      <c r="C805" s="1261"/>
      <c r="K805">
        <v>41</v>
      </c>
    </row>
    <row r="806" spans="2:14" ht="15.75">
      <c r="B806" s="627">
        <v>45809</v>
      </c>
      <c r="C806" s="1261"/>
      <c r="K806">
        <v>42</v>
      </c>
    </row>
    <row r="807" spans="2:14" ht="15.75">
      <c r="B807" s="627">
        <v>45839</v>
      </c>
      <c r="C807" s="1261"/>
      <c r="K807">
        <v>43</v>
      </c>
    </row>
    <row r="808" spans="2:14" ht="15.75">
      <c r="B808" s="627">
        <v>45870</v>
      </c>
      <c r="C808" s="1261"/>
      <c r="K808">
        <v>44</v>
      </c>
    </row>
    <row r="809" spans="2:14" ht="15">
      <c r="B809" s="72"/>
      <c r="C809" s="1261"/>
      <c r="K809">
        <v>45</v>
      </c>
    </row>
    <row r="810" spans="2:14" ht="15">
      <c r="B810" s="72"/>
      <c r="C810" s="1261"/>
      <c r="K810">
        <v>46</v>
      </c>
    </row>
    <row r="811" spans="2:14" ht="15">
      <c r="B811" s="72"/>
      <c r="C811" s="1261"/>
      <c r="K811">
        <v>47</v>
      </c>
    </row>
    <row r="812" spans="2:14" ht="15">
      <c r="B812" s="72"/>
      <c r="C812" s="1261"/>
      <c r="K812">
        <v>48</v>
      </c>
    </row>
    <row r="813" spans="2:14" ht="15">
      <c r="B813" s="72"/>
      <c r="C813" s="1261"/>
    </row>
    <row r="814" spans="2:14" ht="15">
      <c r="B814" s="72"/>
      <c r="C814" s="1261"/>
    </row>
    <row r="815" spans="2:14" ht="15">
      <c r="B815" s="72"/>
      <c r="C815" s="1261"/>
    </row>
    <row r="816" spans="2:14" ht="15">
      <c r="B816" s="72"/>
      <c r="C816" s="1261"/>
    </row>
    <row r="817" spans="2:3" ht="15">
      <c r="B817" s="72"/>
      <c r="C817" s="1261"/>
    </row>
    <row r="818" spans="2:3" ht="15">
      <c r="B818" s="72"/>
      <c r="C818" s="1261"/>
    </row>
    <row r="819" spans="2:3" ht="15">
      <c r="B819" s="72"/>
      <c r="C819" s="1261"/>
    </row>
    <row r="820" spans="2:3" ht="15">
      <c r="B820" s="72"/>
      <c r="C820" s="1261"/>
    </row>
    <row r="821" spans="2:3" ht="15">
      <c r="B821" s="72"/>
      <c r="C821" s="1261"/>
    </row>
    <row r="822" spans="2:3" ht="15">
      <c r="B822" s="72"/>
      <c r="C822" s="1261"/>
    </row>
    <row r="823" spans="2:3" ht="15">
      <c r="B823" s="72"/>
      <c r="C823" s="1261"/>
    </row>
    <row r="824" spans="2:3" ht="15">
      <c r="B824" s="72"/>
      <c r="C824" s="1261"/>
    </row>
    <row r="825" spans="2:3" ht="15">
      <c r="B825" s="72"/>
      <c r="C825" s="1261"/>
    </row>
    <row r="826" spans="2:3" ht="15">
      <c r="B826" s="72"/>
      <c r="C826" s="1261"/>
    </row>
    <row r="827" spans="2:3" ht="15">
      <c r="B827" s="72"/>
      <c r="C827" s="1261"/>
    </row>
    <row r="828" spans="2:3" ht="15">
      <c r="B828" s="72"/>
      <c r="C828" s="1261"/>
    </row>
    <row r="829" spans="2:3" ht="15">
      <c r="B829" s="72"/>
      <c r="C829" s="1261"/>
    </row>
    <row r="830" spans="2:3" ht="15">
      <c r="B830" s="72"/>
      <c r="C830" s="1261"/>
    </row>
    <row r="831" spans="2:3" ht="15">
      <c r="B831" s="72"/>
      <c r="C831" s="1261"/>
    </row>
    <row r="832" spans="2:3" ht="15">
      <c r="B832" s="72"/>
      <c r="C832" s="1261"/>
    </row>
    <row r="833" spans="2:3" ht="15">
      <c r="B833" s="72"/>
      <c r="C833" s="1261"/>
    </row>
    <row r="834" spans="2:3" ht="15">
      <c r="B834" s="72"/>
      <c r="C834" s="1261"/>
    </row>
    <row r="835" spans="2:3" ht="15">
      <c r="B835" s="72"/>
      <c r="C835" s="1261"/>
    </row>
    <row r="836" spans="2:3" ht="15">
      <c r="B836" s="72"/>
      <c r="C836" s="1261"/>
    </row>
    <row r="837" spans="2:3" ht="15">
      <c r="B837" s="72"/>
      <c r="C837" s="1261"/>
    </row>
    <row r="838" spans="2:3" ht="15">
      <c r="B838" s="72"/>
      <c r="C838" s="1261"/>
    </row>
    <row r="839" spans="2:3" ht="15">
      <c r="B839" s="72"/>
      <c r="C839" s="1261"/>
    </row>
    <row r="840" spans="2:3" ht="15">
      <c r="B840" s="72"/>
      <c r="C840" s="1261"/>
    </row>
    <row r="841" spans="2:3" ht="15">
      <c r="B841" s="72"/>
      <c r="C841" s="1261"/>
    </row>
    <row r="842" spans="2:3" ht="15">
      <c r="B842" s="72"/>
      <c r="C842" s="1261"/>
    </row>
    <row r="843" spans="2:3" ht="15">
      <c r="B843" s="72"/>
      <c r="C843" s="1261"/>
    </row>
    <row r="844" spans="2:3" ht="15">
      <c r="B844" s="72"/>
      <c r="C844" s="1261"/>
    </row>
    <row r="845" spans="2:3" ht="15">
      <c r="B845" s="72"/>
      <c r="C845" s="1261"/>
    </row>
    <row r="846" spans="2:3" ht="15">
      <c r="B846" s="72"/>
      <c r="C846" s="1261"/>
    </row>
    <row r="847" spans="2:3" ht="15">
      <c r="B847" s="72"/>
      <c r="C847" s="1261"/>
    </row>
    <row r="848" spans="2:3" ht="15">
      <c r="B848" s="72"/>
      <c r="C848" s="1261"/>
    </row>
    <row r="849" spans="2:3" ht="15">
      <c r="B849" s="72"/>
      <c r="C849" s="1261"/>
    </row>
    <row r="850" spans="2:3" ht="15">
      <c r="B850" s="72"/>
      <c r="C850" s="1261"/>
    </row>
    <row r="851" spans="2:3" ht="15">
      <c r="B851" s="72"/>
      <c r="C851" s="1261"/>
    </row>
    <row r="852" spans="2:3" ht="15">
      <c r="B852" s="72"/>
      <c r="C852" s="1261"/>
    </row>
    <row r="853" spans="2:3" ht="15">
      <c r="B853" s="72"/>
      <c r="C853" s="1261"/>
    </row>
    <row r="854" spans="2:3" ht="15">
      <c r="B854" s="72"/>
      <c r="C854" s="1261"/>
    </row>
    <row r="855" spans="2:3" ht="15">
      <c r="B855" s="72"/>
      <c r="C855" s="1261"/>
    </row>
    <row r="856" spans="2:3" ht="15">
      <c r="B856" s="72"/>
      <c r="C856" s="1261"/>
    </row>
    <row r="857" spans="2:3" ht="15">
      <c r="B857" s="72"/>
      <c r="C857" s="1261"/>
    </row>
    <row r="858" spans="2:3" ht="15">
      <c r="B858" s="72"/>
      <c r="C858" s="1261"/>
    </row>
    <row r="859" spans="2:3" ht="15">
      <c r="B859" s="72"/>
      <c r="C859" s="1261"/>
    </row>
    <row r="860" spans="2:3" ht="15">
      <c r="B860" s="72"/>
      <c r="C860" s="1261"/>
    </row>
    <row r="861" spans="2:3" ht="15">
      <c r="B861" s="72"/>
      <c r="C861" s="1261"/>
    </row>
    <row r="862" spans="2:3" ht="15">
      <c r="B862" s="72"/>
      <c r="C862" s="1261"/>
    </row>
    <row r="863" spans="2:3" ht="15">
      <c r="B863" s="72"/>
      <c r="C863" s="1261"/>
    </row>
    <row r="864" spans="2:3" ht="15">
      <c r="B864" s="72"/>
      <c r="C864" s="1261"/>
    </row>
    <row r="865" spans="2:3" ht="15">
      <c r="B865" s="72"/>
      <c r="C865" s="1261"/>
    </row>
    <row r="866" spans="2:3" ht="15">
      <c r="B866" s="72"/>
      <c r="C866" s="1261"/>
    </row>
    <row r="867" spans="2:3" ht="15">
      <c r="B867" s="72"/>
      <c r="C867" s="1261"/>
    </row>
  </sheetData>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Y8" sqref="Y8"/>
    </sheetView>
  </sheetViews>
  <sheetFormatPr baseColWidth="10" defaultColWidth="0.125" defaultRowHeight="14.25" zeroHeight="1" outlineLevelCol="1"/>
  <cols>
    <col min="1" max="1" width="4.625" style="215" customWidth="1"/>
    <col min="2" max="2" width="7.125" style="239" customWidth="1"/>
    <col min="3" max="6" width="15.625" style="219" customWidth="1"/>
    <col min="7" max="7" width="0" style="219" hidden="1" customWidth="1"/>
    <col min="8" max="11" width="14.5" style="219" customWidth="1"/>
    <col min="12" max="12" width="9.125" style="219" hidden="1" customWidth="1"/>
    <col min="13" max="13" width="9.125" style="219" customWidth="1"/>
    <col min="14" max="15" width="14.5" style="219" customWidth="1"/>
    <col min="16" max="16" width="14.5" style="219" customWidth="1" outlineLevel="1"/>
    <col min="17" max="17" width="14.625" style="219" customWidth="1" outlineLevel="1"/>
    <col min="18" max="18" width="14.5" style="219" customWidth="1" outlineLevel="1"/>
    <col min="19" max="19" width="3" style="219" customWidth="1"/>
    <col min="20" max="20" width="8.125" style="219" customWidth="1"/>
    <col min="21" max="21" width="12.625" style="219" customWidth="1"/>
    <col min="22" max="22" width="11.125" style="219" customWidth="1"/>
    <col min="23" max="23" width="10.125" style="219" customWidth="1"/>
    <col min="24" max="24" width="6.625" style="219" customWidth="1"/>
    <col min="25" max="25" width="10.625" style="219" customWidth="1"/>
    <col min="26" max="27" width="10.625" customWidth="1"/>
    <col min="28" max="28" width="10.625" style="219" customWidth="1"/>
    <col min="29" max="32" width="7.125" style="219" customWidth="1"/>
    <col min="33" max="204" width="3" style="219" customWidth="1"/>
    <col min="205" max="16384" width="0.125" style="219"/>
  </cols>
  <sheetData>
    <row r="1" spans="1:27" ht="29.1" customHeight="1">
      <c r="A1" s="339"/>
      <c r="B1" s="2942"/>
      <c r="C1" s="2942"/>
      <c r="D1" s="2942"/>
      <c r="E1" s="2942"/>
      <c r="F1" s="2943"/>
      <c r="G1" s="216"/>
      <c r="H1" s="332" t="s">
        <v>330</v>
      </c>
      <c r="I1" s="217" t="s">
        <v>126</v>
      </c>
      <c r="J1" s="217" t="s">
        <v>289</v>
      </c>
      <c r="K1" s="218" t="s">
        <v>290</v>
      </c>
      <c r="L1" s="340"/>
      <c r="M1" s="339"/>
      <c r="N1" s="2939" t="s">
        <v>381</v>
      </c>
      <c r="O1" s="218" t="s">
        <v>126</v>
      </c>
      <c r="P1" s="218" t="s">
        <v>569</v>
      </c>
      <c r="Q1" s="218" t="s">
        <v>570</v>
      </c>
      <c r="R1" s="218" t="s">
        <v>571</v>
      </c>
      <c r="S1" s="215"/>
      <c r="T1" s="214" t="str">
        <f>"$B$1:$O$"&amp;COUNTIF(B:B,"&gt;0")+18</f>
        <v>$B$1:$O$18</v>
      </c>
      <c r="U1" s="215" t="s">
        <v>306</v>
      </c>
      <c r="V1" s="215" t="s">
        <v>307</v>
      </c>
      <c r="W1" s="215" t="s">
        <v>308</v>
      </c>
      <c r="X1" t="s">
        <v>382</v>
      </c>
      <c r="Y1" s="219" t="s">
        <v>835</v>
      </c>
    </row>
    <row r="2" spans="1:27">
      <c r="A2" s="341"/>
      <c r="B2" s="2936" t="s">
        <v>300</v>
      </c>
      <c r="C2" s="2936"/>
      <c r="D2" s="2936"/>
      <c r="E2" s="2936"/>
      <c r="F2" s="2937"/>
      <c r="G2" s="220"/>
      <c r="H2" s="221" t="str">
        <f>+'BVerfG 1 BvL 5-18'!D8</f>
        <v/>
      </c>
      <c r="I2" s="221" t="str">
        <f>+H2</f>
        <v/>
      </c>
      <c r="J2" s="221" t="str">
        <f>+I2</f>
        <v/>
      </c>
      <c r="K2" s="221" t="str">
        <f>+J2</f>
        <v/>
      </c>
      <c r="L2" s="215"/>
      <c r="M2" s="341"/>
      <c r="N2" s="2940"/>
      <c r="O2" s="333">
        <f>IF(Adaequanz_GebDatAglBer=0,0,'BVerfG 1 BvL 5-18'!H8)</f>
        <v>0</v>
      </c>
      <c r="P2" s="333">
        <f>IF(Adaequanz_GebDatAglBer=0,0,IF(Adaequanz_Sondertaste,'BVerfG 1 BvL 5-18'!I8,0))</f>
        <v>0</v>
      </c>
      <c r="Q2" s="333">
        <f>IF(Adaequanz_GebDatAglBer=0,0,IF(Adaequanz_Sondertaste,'BVerfG 1 BvL 5-18'!J8,0))</f>
        <v>0</v>
      </c>
      <c r="R2" s="333">
        <f>IF(Adaequanz_GebDatAglBer=0,0,IF(Adaequanz_Sondertaste,'BVerfG 1 BvL 5-18'!K8,0))</f>
        <v>0</v>
      </c>
      <c r="S2" s="215"/>
      <c r="T2" s="219" t="s">
        <v>565</v>
      </c>
      <c r="U2" s="261" t="b">
        <v>1</v>
      </c>
      <c r="V2" s="261" t="b">
        <v>0</v>
      </c>
      <c r="W2" s="261" t="b">
        <v>0</v>
      </c>
      <c r="X2" s="15" t="b">
        <v>0</v>
      </c>
      <c r="Y2" s="15" t="b">
        <v>1</v>
      </c>
    </row>
    <row r="3" spans="1:27">
      <c r="A3" s="341"/>
      <c r="B3" s="2936" t="s">
        <v>815</v>
      </c>
      <c r="C3" s="2936"/>
      <c r="D3" s="2936"/>
      <c r="E3" s="2936"/>
      <c r="F3" s="2937"/>
      <c r="H3" s="221">
        <f>IFERROR(+H4+IF(H5&lt;H2,H2,H5),0)</f>
        <v>0</v>
      </c>
      <c r="I3" s="221">
        <f>IFERROR(+I4+IF(I5&lt;I2,I2,I5),0)</f>
        <v>0</v>
      </c>
      <c r="J3" s="221">
        <f>IFERROR(+J4+IF(J5&lt;J2,J2,J5),0)</f>
        <v>0</v>
      </c>
      <c r="K3" s="221">
        <f>IFERROR(+K4+IF(K5&lt;K2,K2,K5),0)</f>
        <v>0</v>
      </c>
      <c r="L3" s="215"/>
      <c r="M3" s="341"/>
      <c r="N3" s="2940"/>
      <c r="O3" s="223">
        <f>IFERROR(+O4+IF(O5&lt;'BVerfG 1 BvL 5-18'!H8,O2,O5),0)</f>
        <v>0</v>
      </c>
      <c r="P3" s="223">
        <f>IF(Adaequanz_Sondertaste,IFERROR(+P4+IF(P5&lt;'BVerfG 1 BvL 5-18'!I8,P2,P5),0),0)</f>
        <v>0</v>
      </c>
      <c r="Q3" s="223">
        <f>IF(Adaequanz_Sondertaste,IFERROR(+Q4+IF(Q5&lt;'BVerfG 1 BvL 5-18'!J8,Q2,Q5),0),0)</f>
        <v>0</v>
      </c>
      <c r="R3" s="223">
        <f>IF(Adaequanz_Sondertaste,IFERROR(+R4+IF(R5&lt;'BVerfG 1 BvL 5-18'!K8,R2,R5),0),0)</f>
        <v>0</v>
      </c>
      <c r="S3" s="215"/>
      <c r="T3" s="219">
        <f>MAX(U3:X3)</f>
        <v>1</v>
      </c>
      <c r="U3" s="219">
        <f>IF(DRVJa,1,0)</f>
        <v>1</v>
      </c>
      <c r="V3" s="219">
        <f>IF(V2,1,0)</f>
        <v>0</v>
      </c>
      <c r="W3" s="219">
        <f>IF(W2,1,0)</f>
        <v>0</v>
      </c>
      <c r="X3" s="219">
        <f>IF(X2,4,0)</f>
        <v>0</v>
      </c>
    </row>
    <row r="4" spans="1:27" ht="15">
      <c r="A4" s="341"/>
      <c r="B4" s="2936" t="s">
        <v>816</v>
      </c>
      <c r="C4" s="2936"/>
      <c r="D4" s="2936"/>
      <c r="E4" s="2936"/>
      <c r="F4" s="2937"/>
      <c r="H4" s="222">
        <f>+'BVerfG 1 BvL 5-18'!D10</f>
        <v>0</v>
      </c>
      <c r="I4" s="221">
        <f>+'BVerfG 1 BvL 5-18'!E10</f>
        <v>0</v>
      </c>
      <c r="J4" s="221">
        <f>+'BVerfG 1 BvL 5-18'!F10</f>
        <v>0</v>
      </c>
      <c r="K4" s="221">
        <f>+'BVerfG 1 BvL 5-18'!G10</f>
        <v>0</v>
      </c>
      <c r="L4" s="215"/>
      <c r="M4" s="341"/>
      <c r="N4" s="2940"/>
      <c r="O4" s="223">
        <f>IF(Adaequanz_GebDatAglBer=0,0,'BVerfG 1 BvL 5-18'!H10)</f>
        <v>0</v>
      </c>
      <c r="P4" s="223">
        <f>IF(Adaequanz_GebDatAglBer=0,0,'BVerfG 1 BvL 5-18'!I10)</f>
        <v>0</v>
      </c>
      <c r="Q4" s="223">
        <f>IF(Adaequanz_GebDatAglBer=0,0,'BVerfG 1 BvL 5-18'!J10)</f>
        <v>0</v>
      </c>
      <c r="R4" s="223">
        <f>IF(Adaequanz_GebDatAglBer=0,0,'BVerfG 1 BvL 5-18'!K10)</f>
        <v>0</v>
      </c>
      <c r="S4" s="215"/>
      <c r="U4" s="2938">
        <f>+U3+V3+W3</f>
        <v>1</v>
      </c>
      <c r="V4" s="2938"/>
      <c r="W4" s="2938"/>
    </row>
    <row r="5" spans="1:27">
      <c r="A5" s="341"/>
      <c r="B5" s="2936" t="s">
        <v>291</v>
      </c>
      <c r="C5" s="2936"/>
      <c r="D5" s="2936"/>
      <c r="E5" s="2936"/>
      <c r="F5" s="2937"/>
      <c r="H5" s="221">
        <f>+Adaequanz_ReEintrittPfl</f>
        <v>0</v>
      </c>
      <c r="I5" s="221" t="str">
        <f>+'BVerfG 1 BvL 5-18'!E9</f>
        <v/>
      </c>
      <c r="J5" s="221">
        <f>+'BVerfG 1 BvL 5-18'!F9</f>
        <v>0</v>
      </c>
      <c r="K5" s="223">
        <f>+'BVerfG 1 BvL 5-18'!G9</f>
        <v>0</v>
      </c>
      <c r="L5" s="215"/>
      <c r="M5" s="341"/>
      <c r="N5" s="2940"/>
      <c r="O5" s="204">
        <f>IF(Adaequanz_GebDatAglBer=0,0,+'BVerfG 1 BvL 5-18'!H9)</f>
        <v>0</v>
      </c>
      <c r="P5" s="204">
        <f>IF(Adaequanz_GebDatAglBer=0,0,+'BVerfG 1 BvL 5-18'!I9)</f>
        <v>0</v>
      </c>
      <c r="Q5" s="204">
        <f>IF(Adaequanz_GebDatAglBer=0,0,+'BVerfG 1 BvL 5-18'!J9)</f>
        <v>0</v>
      </c>
      <c r="R5" s="204">
        <f>IF(Adaequanz_GebDatAglBer=0,0,+'BVerfG 1 BvL 5-18'!K9)</f>
        <v>0</v>
      </c>
      <c r="S5" s="215"/>
    </row>
    <row r="6" spans="1:27">
      <c r="A6" s="341"/>
      <c r="B6" s="2936" t="s">
        <v>814</v>
      </c>
      <c r="C6" s="2936"/>
      <c r="D6" s="2936"/>
      <c r="E6" s="2936"/>
      <c r="F6" s="2937"/>
      <c r="H6" s="666">
        <f>IF(QVersJa,+Adaequanz_RentePfl,0)</f>
        <v>0</v>
      </c>
      <c r="I6" s="666">
        <f>IFERROR(IF(DRVJa,'BVerfG 1 BvL 5-18'!E12,0)/Adaequanz_Zugangsfaktor,0)</f>
        <v>0</v>
      </c>
      <c r="J6" s="666">
        <f>IF(VersAusglKJa,'BVerfG 1 BvL 5-18'!F12,0)</f>
        <v>0</v>
      </c>
      <c r="K6" s="667">
        <f>IF(VersAusglKJa,'BVerfG 1 BvL 5-18'!G12,0)</f>
        <v>0</v>
      </c>
      <c r="L6" s="215"/>
      <c r="M6" s="341"/>
      <c r="N6" s="2940"/>
      <c r="O6" s="224">
        <f>IF(Adaequanz_GebDatAglBer=0,0,'BVerfG 1 BvL 5-18'!H12)</f>
        <v>0</v>
      </c>
      <c r="P6" s="224">
        <f>IF(Adaequanz_GebDatAglBer=0,0,'BVerfG 1 BvL 5-18'!I11)</f>
        <v>0</v>
      </c>
      <c r="Q6" s="224">
        <f>IF(Adaequanz_GebDatAglBer=0,0,'BVerfG 1 BvL 5-18'!J12)</f>
        <v>0</v>
      </c>
      <c r="R6" s="224">
        <f>IF(Adaequanz_GebDatAglBer=0,0,'BVerfG 1 BvL 5-18'!K12)</f>
        <v>0</v>
      </c>
      <c r="S6" s="215"/>
      <c r="Y6" s="219" t="s">
        <v>303</v>
      </c>
      <c r="Z6" s="219" t="s">
        <v>304</v>
      </c>
      <c r="AA6" s="219" t="s">
        <v>305</v>
      </c>
    </row>
    <row r="7" spans="1:27">
      <c r="A7" s="341"/>
      <c r="B7" s="2936" t="s">
        <v>260</v>
      </c>
      <c r="C7" s="2936"/>
      <c r="D7" s="2936"/>
      <c r="E7" s="2936"/>
      <c r="F7" s="2937"/>
      <c r="H7" s="225">
        <f>+Adaequanz_ADynPfl</f>
        <v>0</v>
      </c>
      <c r="I7" s="225">
        <f>'BVerfG 1 BvL 5-18'!E13</f>
        <v>2.5999999999999999E-2</v>
      </c>
      <c r="J7" s="225">
        <f>'BVerfG 1 BvL 5-18'!F13</f>
        <v>0.01</v>
      </c>
      <c r="K7" s="226">
        <f>'BVerfG 1 BvL 5-18'!G13</f>
        <v>0</v>
      </c>
      <c r="L7" s="215"/>
      <c r="M7" s="341"/>
      <c r="N7" s="2940"/>
      <c r="O7" s="226">
        <f>+'BVerfG 1 BvL 5-18'!H13</f>
        <v>2.5999999999999999E-2</v>
      </c>
      <c r="P7" s="226">
        <f>+'BVerfG 1 BvL 5-18'!I13</f>
        <v>0</v>
      </c>
      <c r="Q7" s="226">
        <f>+'BVerfG 1 BvL 5-18'!J13</f>
        <v>0</v>
      </c>
      <c r="R7" s="226">
        <f>+'BVerfG 1 BvL 5-18'!K13</f>
        <v>0</v>
      </c>
      <c r="S7" s="215"/>
      <c r="Y7" s="219">
        <f>1-Redifferenz</f>
        <v>0.82000000000000006</v>
      </c>
      <c r="Z7" s="219"/>
      <c r="AA7" s="219"/>
    </row>
    <row r="8" spans="1:27">
      <c r="A8" s="341"/>
      <c r="B8" s="2936" t="s">
        <v>259</v>
      </c>
      <c r="C8" s="2936"/>
      <c r="D8" s="2936"/>
      <c r="E8" s="2936"/>
      <c r="F8" s="2937"/>
      <c r="H8" s="221" t="str">
        <f>+'BVerfG 1 BvL 5-18'!D11</f>
        <v/>
      </c>
      <c r="I8" s="221" t="str">
        <f>+'BVerfG 1 BvL 5-18'!E11</f>
        <v/>
      </c>
      <c r="J8" s="221" t="str">
        <f>+'BVerfG 1 BvL 5-18'!F11</f>
        <v/>
      </c>
      <c r="K8" s="223" t="str">
        <f>+'BVerfG 1 BvL 5-18'!G11</f>
        <v/>
      </c>
      <c r="L8" s="215"/>
      <c r="M8" s="341"/>
      <c r="N8" s="2940"/>
      <c r="O8" s="223" t="str">
        <f>+'BVerfG 1 BvL 5-18'!H11</f>
        <v/>
      </c>
      <c r="P8" s="223">
        <f>+'BVerfG 1 BvL 5-18'!I10</f>
        <v>0</v>
      </c>
      <c r="Q8" s="223" t="str">
        <f>+'BVerfG 1 BvL 5-18'!J11</f>
        <v/>
      </c>
      <c r="R8" s="223" t="str">
        <f>+'BVerfG 1 BvL 5-18'!K11</f>
        <v/>
      </c>
      <c r="S8" s="215"/>
      <c r="Y8" s="219">
        <f>IF(Y9*0.3%&gt;0.18,0.18,Y9*0.3%)</f>
        <v>0.18</v>
      </c>
      <c r="Z8" s="219"/>
      <c r="AA8" s="219"/>
    </row>
    <row r="9" spans="1:27">
      <c r="A9" s="341"/>
      <c r="B9" s="2936" t="s">
        <v>261</v>
      </c>
      <c r="C9" s="2936"/>
      <c r="D9" s="2936"/>
      <c r="E9" s="2936"/>
      <c r="F9" s="2937"/>
      <c r="H9" s="225">
        <f>+Adaequanz_LDynPfl</f>
        <v>0</v>
      </c>
      <c r="I9" s="225">
        <f>'BVerfG 1 BvL 5-18'!E14</f>
        <v>2.5999999999999999E-2</v>
      </c>
      <c r="J9" s="225">
        <f>'BVerfG 1 BvL 5-18'!F14</f>
        <v>0.01</v>
      </c>
      <c r="K9" s="226">
        <f>'BVerfG 1 BvL 5-18'!G14</f>
        <v>0</v>
      </c>
      <c r="L9" s="215"/>
      <c r="M9" s="341"/>
      <c r="N9" s="2940"/>
      <c r="O9" s="226">
        <f>+'BVerfG 1 BvL 5-18'!H14</f>
        <v>2.5999999999999999E-2</v>
      </c>
      <c r="P9" s="226">
        <f>+'BVerfG 1 BvL 5-18'!I14</f>
        <v>0</v>
      </c>
      <c r="Q9" s="226">
        <f>+'BVerfG 1 BvL 5-18'!J14</f>
        <v>0</v>
      </c>
      <c r="R9" s="226">
        <f>+'BVerfG 1 BvL 5-18'!K14</f>
        <v>0</v>
      </c>
      <c r="S9" s="215"/>
      <c r="T9" s="247"/>
      <c r="Y9" s="241">
        <f>(Z15-AA15)*12</f>
        <v>780</v>
      </c>
      <c r="Z9" s="219"/>
      <c r="AA9" s="219"/>
    </row>
    <row r="10" spans="1:27" ht="15">
      <c r="A10" s="341"/>
      <c r="B10" s="2936" t="s">
        <v>816</v>
      </c>
      <c r="C10" s="2936"/>
      <c r="D10" s="2936"/>
      <c r="E10" s="2936"/>
      <c r="F10" s="2937"/>
      <c r="H10" s="222">
        <f>IFERROR(ROUND(+'BVerfG 1 BvL 5-18'!D10,2),0)</f>
        <v>0</v>
      </c>
      <c r="I10" s="222">
        <f>+'BVerfG 1 BvL 5-18'!E10</f>
        <v>0</v>
      </c>
      <c r="J10" s="222">
        <f>+'BVerfG 1 BvL 5-18'!F10</f>
        <v>0</v>
      </c>
      <c r="K10" s="227">
        <f>+'BVerfG 1 BvL 5-18'!G10</f>
        <v>0</v>
      </c>
      <c r="L10" s="215"/>
      <c r="M10" s="341"/>
      <c r="N10" s="2940"/>
      <c r="O10" s="227">
        <f>+O4</f>
        <v>0</v>
      </c>
      <c r="P10" s="227">
        <f>+P4</f>
        <v>0</v>
      </c>
      <c r="Q10" s="227">
        <f>+Q4</f>
        <v>0</v>
      </c>
      <c r="R10" s="227">
        <f>+R4</f>
        <v>0</v>
      </c>
      <c r="S10" s="215"/>
      <c r="X10" s="219" t="s">
        <v>377</v>
      </c>
      <c r="Z10" s="241">
        <f>O10-INT(O10)</f>
        <v>0</v>
      </c>
    </row>
    <row r="11" spans="1:27" ht="15">
      <c r="A11" s="341"/>
      <c r="B11" s="2936" t="s">
        <v>817</v>
      </c>
      <c r="C11" s="2936"/>
      <c r="D11" s="2936"/>
      <c r="E11" s="2936"/>
      <c r="F11" s="2937"/>
      <c r="H11" s="225">
        <f>+'BVerfG 1 BvL 5-18'!D19</f>
        <v>0</v>
      </c>
      <c r="I11" s="225">
        <f>+'BVerfG 1 BvL 5-18'!E19</f>
        <v>0</v>
      </c>
      <c r="J11" s="225">
        <f>+'BVerfG 1 BvL 5-18'!F19</f>
        <v>0</v>
      </c>
      <c r="K11" s="226" t="str">
        <f>+'BVerfG 1 BvL 5-18'!G19</f>
        <v/>
      </c>
      <c r="L11" s="215"/>
      <c r="M11" s="341"/>
      <c r="N11" s="2940"/>
      <c r="O11" s="226">
        <f>IF(Adaequanz_GebDatAglBer=0,0,+'BVerfG 1 BvL 5-18'!H19)</f>
        <v>0</v>
      </c>
      <c r="P11" s="226">
        <f>IF(Adaequanz_GebDatAglBer=0,0,+'BVerfG 1 BvL 5-18'!I18)</f>
        <v>0</v>
      </c>
      <c r="Q11" s="226">
        <f>IF(Adaequanz_GebDatAglBer=0,0,+'BVerfG 1 BvL 5-18'!J19)</f>
        <v>0</v>
      </c>
      <c r="R11" s="226">
        <f>IF(Adaequanz_GebDatAglBer=0,0,+'BVerfG 1 BvL 5-18'!K19)</f>
        <v>0</v>
      </c>
      <c r="S11" s="215"/>
      <c r="U11" s="219">
        <f>(1+P$9)^(IF(M18-P$5&gt;0,M18-P$5,1))</f>
        <v>1</v>
      </c>
      <c r="X11" s="234">
        <f>ROUND(B18-1,0)</f>
        <v>-1</v>
      </c>
      <c r="Y11" s="473">
        <f>ROUND(M18-1,0)</f>
        <v>-1</v>
      </c>
      <c r="Z11" s="219"/>
      <c r="AA11" s="219"/>
    </row>
    <row r="12" spans="1:27" ht="15" thickBot="1">
      <c r="A12" s="341"/>
      <c r="B12" s="2944" t="str">
        <f>"Rente im ReAlter bzw. im EzE "&amp;IF(DifferenzfaktorDRV&lt;1,"ggfls. bei DRV Rentenabschlag wg. vorz. Bezugs, § 77 SGB VI","")</f>
        <v>Rente im ReAlter bzw. im EzE ggfls. bei DRV Rentenabschlag wg. vorz. Bezugs, § 77 SGB VI</v>
      </c>
      <c r="C12" s="2944"/>
      <c r="D12" s="2944"/>
      <c r="E12" s="2944"/>
      <c r="F12" s="2945"/>
      <c r="H12" s="228" t="str">
        <f>IF(QVersJa,'BVerfG 1 BvL 5-18'!D15,0)</f>
        <v/>
      </c>
      <c r="I12" s="228">
        <f>IFERROR(ROUND(+I6*Adaequanz_Zugangsfaktor*(1+I7)^I8,2),0)</f>
        <v>0</v>
      </c>
      <c r="J12" s="228">
        <f>IF('BVerfG 1 BvL 5-18'!F15=0,0,IF(VersAusglKJa,'BVerfG 1 BvL 5-18'!F15,0))</f>
        <v>0</v>
      </c>
      <c r="K12" s="229">
        <f>IFERROR(ROUND(IF(SonstJa,'BVerfG 1 BvL 5-18'!G15,0),2),"")</f>
        <v>0</v>
      </c>
      <c r="L12" s="215"/>
      <c r="M12" s="341"/>
      <c r="N12" s="2940"/>
      <c r="O12" s="229">
        <f>IF(Adaequanz_GebDatAglBer=0,0,'BVerfG 1 BvL 5-18'!H15)</f>
        <v>0</v>
      </c>
      <c r="P12" s="229">
        <f>IF(Adaequanz_GebDatAglBer=0,0,'BVerfG 1 BvL 5-18'!I15)</f>
        <v>0</v>
      </c>
      <c r="Q12" s="229">
        <f>IF(Adaequanz_GebDatAglBer=0,0,'BVerfG 1 BvL 5-18'!J15)</f>
        <v>0</v>
      </c>
      <c r="R12" s="229">
        <f>IF(Adaequanz_GebDatAglBer=0,0,'BVerfG 1 BvL 5-18'!K15)</f>
        <v>0</v>
      </c>
      <c r="S12" s="215"/>
      <c r="U12" s="459">
        <f>P$12*(1+P$7)^P$8</f>
        <v>0</v>
      </c>
      <c r="X12" s="334">
        <f>ROUND(M18-1,0)</f>
        <v>-1</v>
      </c>
      <c r="Y12" s="239"/>
      <c r="Z12" s="239"/>
      <c r="AA12" s="239"/>
    </row>
    <row r="13" spans="1:27" ht="38.85" customHeight="1" thickTop="1" thickBot="1">
      <c r="A13" s="341"/>
      <c r="B13" s="2941"/>
      <c r="C13" s="2941"/>
      <c r="D13" s="2941"/>
      <c r="E13" s="2941"/>
      <c r="F13" s="2941"/>
      <c r="G13" s="230"/>
      <c r="H13" s="257">
        <f>SUM(H17:H93)</f>
        <v>0</v>
      </c>
      <c r="I13" s="257" t="e">
        <f>SUM(I18:I94)</f>
        <v>#VALUE!</v>
      </c>
      <c r="J13" s="257">
        <f>SUM(J18:J94)</f>
        <v>0</v>
      </c>
      <c r="K13" s="257">
        <f>SUM(K18:K94)</f>
        <v>0</v>
      </c>
      <c r="L13" s="215"/>
      <c r="M13" s="341"/>
      <c r="N13" s="2940"/>
      <c r="O13" s="327">
        <f>SUM(O18:O93)</f>
        <v>0</v>
      </c>
      <c r="P13" s="327">
        <f>SUM(P18:P93)</f>
        <v>0</v>
      </c>
      <c r="Q13" s="327">
        <f>SUM(Q18:Q93)</f>
        <v>0</v>
      </c>
      <c r="R13" s="327">
        <f>SUM(R18:R93)</f>
        <v>0</v>
      </c>
      <c r="S13" s="215"/>
      <c r="U13" s="459">
        <f>P$12*(1+P$7)^P$8</f>
        <v>0</v>
      </c>
      <c r="X13" s="219" t="s">
        <v>292</v>
      </c>
      <c r="Y13" s="241">
        <f>H10-INT(H10)</f>
        <v>0</v>
      </c>
      <c r="Z13" s="241">
        <f>I10-INT(I10)</f>
        <v>0</v>
      </c>
      <c r="AA13" s="219"/>
    </row>
    <row r="14" spans="1:27" ht="15.75" thickBot="1">
      <c r="A14" s="341"/>
      <c r="B14" s="219"/>
      <c r="E14" s="2935" t="s">
        <v>849</v>
      </c>
      <c r="F14" s="2935"/>
      <c r="G14" s="2935"/>
      <c r="H14" s="2935"/>
      <c r="L14" s="215"/>
      <c r="M14" s="341"/>
      <c r="N14" s="2921" t="s">
        <v>380</v>
      </c>
      <c r="O14" s="2922"/>
      <c r="P14" s="670"/>
      <c r="Q14" s="670"/>
      <c r="R14" s="665"/>
      <c r="S14" s="215"/>
      <c r="U14" s="241">
        <f>(1+P$9)^(M18-P$5)</f>
        <v>1</v>
      </c>
      <c r="X14" s="219" t="s">
        <v>383</v>
      </c>
      <c r="Y14" s="241">
        <f>O10-INT(O10)</f>
        <v>0</v>
      </c>
      <c r="Z14" s="219"/>
      <c r="AA14" s="219"/>
    </row>
    <row r="15" spans="1:27" ht="31.5" customHeight="1">
      <c r="A15" s="341"/>
      <c r="B15" s="2930" t="s">
        <v>301</v>
      </c>
      <c r="C15" s="2928" t="s">
        <v>298</v>
      </c>
      <c r="D15" s="2928"/>
      <c r="E15" s="2928"/>
      <c r="F15" s="2929"/>
      <c r="G15" s="231"/>
      <c r="H15" s="2925" t="s">
        <v>299</v>
      </c>
      <c r="I15" s="2926"/>
      <c r="J15" s="2926"/>
      <c r="K15" s="2927"/>
      <c r="L15" s="215"/>
      <c r="M15" s="341"/>
      <c r="N15" s="2923"/>
      <c r="O15" s="2924"/>
      <c r="P15" s="670"/>
      <c r="Q15" s="670"/>
      <c r="R15" s="665"/>
      <c r="S15" s="215"/>
      <c r="U15" s="2920" t="s">
        <v>812</v>
      </c>
      <c r="V15" s="2920"/>
      <c r="W15" s="2920"/>
      <c r="X15" s="219" t="s">
        <v>302</v>
      </c>
      <c r="Z15" s="219">
        <f>Adaequanz_Renteneintritt</f>
        <v>65</v>
      </c>
      <c r="AA15" s="241">
        <f>IF('BVerfG 1 BvL 5-18'!E9="",0,'BVerfG 1 BvL 5-18'!E9)</f>
        <v>0</v>
      </c>
    </row>
    <row r="16" spans="1:27" ht="62.1" customHeight="1">
      <c r="A16" s="341"/>
      <c r="B16" s="2931"/>
      <c r="C16" s="408" t="str">
        <f>+'BVerfG 1 BvL 5-18'!$D$3</f>
        <v>XY-AG</v>
      </c>
      <c r="D16" s="408" t="str">
        <f>+'BVerfG 1 BvL 5-18'!$E$3</f>
        <v>DRV
 aus 0 €</v>
      </c>
      <c r="E16" s="408" t="str">
        <f>+'BVerfG 1 BvL 5-18'!$F$3</f>
        <v>VerAusglK</v>
      </c>
      <c r="F16" s="232" t="str">
        <f>+'BVerfG 1 BvL 5-18'!$G$3</f>
        <v>Sonstige Versorgung</v>
      </c>
      <c r="H16" s="233" t="str">
        <f>+C16</f>
        <v>XY-AG</v>
      </c>
      <c r="I16" s="408" t="str">
        <f>+D16</f>
        <v>DRV
 aus 0 €</v>
      </c>
      <c r="J16" s="408" t="str">
        <f>+E16</f>
        <v>VerAusglK</v>
      </c>
      <c r="K16" s="232" t="str">
        <f>+F16</f>
        <v>Sonstige Versorgung</v>
      </c>
      <c r="L16" s="215"/>
      <c r="M16" s="636" t="s">
        <v>813</v>
      </c>
      <c r="N16" s="330" t="s">
        <v>378</v>
      </c>
      <c r="O16" s="331" t="s">
        <v>379</v>
      </c>
      <c r="P16" s="2932"/>
      <c r="Q16" s="2933"/>
      <c r="R16" s="2934"/>
      <c r="S16" s="215"/>
      <c r="T16" s="219" t="s">
        <v>143</v>
      </c>
    </row>
    <row r="17" spans="1:23" s="239" customFormat="1" ht="28.35" hidden="1" customHeight="1">
      <c r="A17" s="328"/>
      <c r="B17" s="236" t="s">
        <v>7</v>
      </c>
      <c r="C17" s="237" t="s">
        <v>293</v>
      </c>
      <c r="D17" s="237" t="s">
        <v>294</v>
      </c>
      <c r="E17" s="237" t="s">
        <v>295</v>
      </c>
      <c r="F17" s="238" t="s">
        <v>296</v>
      </c>
      <c r="H17" s="411"/>
      <c r="I17" s="410"/>
      <c r="J17" s="410"/>
      <c r="K17" s="412"/>
      <c r="L17" s="235"/>
      <c r="M17" s="328">
        <f>+O2-1</f>
        <v>-1</v>
      </c>
      <c r="N17" s="328"/>
      <c r="O17" s="329"/>
      <c r="P17" s="235"/>
      <c r="Q17" s="235"/>
      <c r="R17" s="329"/>
      <c r="S17" s="235"/>
    </row>
    <row r="18" spans="1:23">
      <c r="A18" s="341"/>
      <c r="B18" s="240">
        <f>IFERROR(ROUNDDOWN(IF(H2&lt;&gt;"",H2),0),0)</f>
        <v>0</v>
      </c>
      <c r="C18" s="444">
        <f t="shared" ref="C18:C49" si="0">IFERROR(IF(QuellVersrg,IF($B18&lt;INT(H$5),0,IF($B18=INT(H$2),H$12,IF($B18&gt;INT(H$2),H$12*(1+H$9)^(IF($B18-H$5&lt;=0,0,$B18-IF(H$5&lt;H$2,H$2,H$5))),0))),0),0)</f>
        <v>0</v>
      </c>
      <c r="D18" s="444">
        <f t="shared" ref="D18:D49" si="1">IFERROR(IF(DRVPfl,IF($B18&lt;INT(I$5),0,IF($B18=INT(I$2),I$12,IF($B18&gt;INT(I$2),I$12*(1+I$9)^(IF($B18-I$5&lt;=0,0,$B18-IF(I$5&lt;I$2,I$2,I$5))),0))),0),0)</f>
        <v>0</v>
      </c>
      <c r="E18" s="444">
        <f t="shared" ref="E18:E49" si="2">IFERROR(IF(VersAusglKPfl,IF($B18&lt;INT(J$5),0,IF($B18=INT(J$2),J$12,IF($B18&gt;INT(J$2),J$12*(1+J$9)^(IF($B18-J$5&lt;=0,0,$B18-IF(J$5&lt;J$2,J$2,J$5))),0))),0),0)</f>
        <v>0</v>
      </c>
      <c r="F18" s="444">
        <f t="shared" ref="F18:F49" si="3">IFERROR(IF(SonstPfl,IF($B18&lt;INT(K$5),0,IF($B18=INT(K$2),K$12,IF($B18&gt;INT(K$2),K$12*(1+K$9)^(IF($B18-K$5&lt;=0,0,$B18-IF(K$5&lt;K$2,K$2,K$5))),0))),0),0)</f>
        <v>0</v>
      </c>
      <c r="G18" s="239"/>
      <c r="H18" s="445">
        <f t="shared" ref="H18:H49" si="4">C18*12*IF(AND(INT(H$5)=B18,H$5&gt;INT(H$5)),1-(H$5-INT(H$5)),1)</f>
        <v>0</v>
      </c>
      <c r="I18" s="445" t="e">
        <f t="shared" ref="I18:I49" si="5">D18*12*IF(AND(INT(I$5)=$B18,I$5&gt;INT(I$5)),1-(I$5-INT(I$5)),1)</f>
        <v>#VALUE!</v>
      </c>
      <c r="J18" s="445">
        <f t="shared" ref="J18:J49" si="6">E18*12*IF(AND(INT(J$5)=$B18,J$5&gt;INT(J$5)),1-(J$5-INT(J$5)),1)</f>
        <v>0</v>
      </c>
      <c r="K18" s="445">
        <f t="shared" ref="K18:K49" si="7">F18*12*IF(AND(INT(K$5)=$B18,K$5&gt;INT(K$5)),1-(K$5-INT(K$5)),1)</f>
        <v>0</v>
      </c>
      <c r="L18" s="637"/>
      <c r="M18" s="671">
        <f>IF(DRVAusglBerJa,IFERROR(ROUNDDOWN(IF(O$2&lt;&gt;"",O$2),0),0),0)</f>
        <v>0</v>
      </c>
      <c r="N18" s="445">
        <f t="shared" ref="N18:N49" si="8">IFERROR(IF(AND(VersBer,DRVAusglBerJa),IF($M18&lt;INT(O$5),0,IF($M18=INT(O$2),O$12,IF($M18&gt;INT(O$2),O$12*(1+O$9)^(IF($M18-O$5&lt;=0,0,$M18-IF(O$5&lt;O$2,O$2,O$5))),0))),0),0)</f>
        <v>0</v>
      </c>
      <c r="O18" s="445">
        <f t="shared" ref="O18:O25" si="9">N18*12*IF(AND(INT(O$5)=$M18,O$5&gt;INT(O$5)),(1-(O$5-INT(O$5))),1)</f>
        <v>0</v>
      </c>
      <c r="P18" s="445">
        <f t="shared" ref="P18:Q37" si="10">IFERROR(IF(VersBer,IF($M18&lt;INT(P$5),0,IF($M18=INT(P$2),P$12,IF($M18&gt;INT(P$2),P$12*(1+P$9)^(IF($M18-P$5&lt;=0,0,$M18-IF(P$5&lt;P$2,P$2,P$5))),0))),0),0)</f>
        <v>0</v>
      </c>
      <c r="Q18" s="445">
        <f t="shared" si="10"/>
        <v>0</v>
      </c>
      <c r="R18" s="445">
        <f>IFERROR(IF(VerBer,IF($M18&lt;INT(R$5),0,IF($M18=INT(R$2),R$12,IF($M18&gt;INT(R$2),R$12*(1+R$9)^(IF($M18-R$5&lt;=0,0,$M18-IF(R$5&lt;R$2,R$2,R$5))),0))),0),0)</f>
        <v>0</v>
      </c>
      <c r="S18" s="215"/>
      <c r="U18" s="459">
        <f t="shared" ref="U18:U28" si="11">+P18*12*IF(AND(INT(P$5)=$M18,P$5&gt;INT(P$5)),1-(P$5-INT(P$5)),1)</f>
        <v>0</v>
      </c>
      <c r="V18" s="459">
        <f>+Q18*12*IF(AND(INT(Q$5)=$M18,Q$5&gt;INT(Q$5)),1-(Q$5-INT(Q$5)),1)</f>
        <v>0</v>
      </c>
      <c r="W18" s="459">
        <f>+R18*12*IF(AND(INT(R$5)=$M18,R$5&gt;INT(R$5)),1-(R$5-INT(R$5)),1)</f>
        <v>0</v>
      </c>
    </row>
    <row r="19" spans="1:23">
      <c r="A19" s="341"/>
      <c r="B19" s="240" t="str">
        <f t="shared" ref="B19:B50" si="12">IFERROR(IF(B18+1&lt;IF(Endalter=0,EndalterDRV,Endalter),B18+1,""),"")</f>
        <v/>
      </c>
      <c r="C19" s="444">
        <f t="shared" si="0"/>
        <v>0</v>
      </c>
      <c r="D19" s="444">
        <f t="shared" si="1"/>
        <v>0</v>
      </c>
      <c r="E19" s="444">
        <f t="shared" si="2"/>
        <v>0</v>
      </c>
      <c r="F19" s="444">
        <f t="shared" si="3"/>
        <v>0</v>
      </c>
      <c r="G19" s="239"/>
      <c r="H19" s="446">
        <f t="shared" si="4"/>
        <v>0</v>
      </c>
      <c r="I19" s="446" t="e">
        <f t="shared" si="5"/>
        <v>#VALUE!</v>
      </c>
      <c r="J19" s="446">
        <f t="shared" si="6"/>
        <v>0</v>
      </c>
      <c r="K19" s="446">
        <f t="shared" si="7"/>
        <v>0</v>
      </c>
      <c r="L19" s="638"/>
      <c r="M19" s="673" t="str">
        <f>IFERROR(IF(M18+1&lt;O$3,M18+1,""),"")</f>
        <v/>
      </c>
      <c r="N19" s="446">
        <f t="shared" si="8"/>
        <v>0</v>
      </c>
      <c r="O19" s="446">
        <f t="shared" si="9"/>
        <v>0</v>
      </c>
      <c r="P19" s="446">
        <f t="shared" si="10"/>
        <v>0</v>
      </c>
      <c r="Q19" s="446">
        <f t="shared" si="10"/>
        <v>0</v>
      </c>
      <c r="R19" s="446">
        <f>IFERROR(IF(VerBer,IF($M19&lt;INT(R$5),0,IF($M19=INT(R$2),R$12,IF($M19&gt;INT(R$2),R$12*(1+R$9)^(IF($M19-R$5&lt;=0,0,$M19-IF(R$5&lt;R$2,R$2,R$5))),0))),0),0)</f>
        <v>0</v>
      </c>
      <c r="S19" s="215"/>
      <c r="U19" s="459">
        <f t="shared" si="11"/>
        <v>0</v>
      </c>
      <c r="V19" s="459">
        <f t="shared" ref="V19:V82" si="13">+Q19*12*IF(AND(INT(Q$5)=$M19,Q$5&gt;INT(Q$5)),1-(Q$5-INT(Q$5)),1)</f>
        <v>0</v>
      </c>
      <c r="W19" s="459">
        <f t="shared" ref="W19:W82" si="14">+R19*12*IF(AND(INT(R$5)=$M19,R$5&gt;INT(R$5)),1-(R$5-INT(R$5)),1)</f>
        <v>0</v>
      </c>
    </row>
    <row r="20" spans="1:23">
      <c r="A20" s="341"/>
      <c r="B20" s="240" t="str">
        <f t="shared" si="12"/>
        <v/>
      </c>
      <c r="C20" s="444">
        <f t="shared" si="0"/>
        <v>0</v>
      </c>
      <c r="D20" s="444">
        <f t="shared" si="1"/>
        <v>0</v>
      </c>
      <c r="E20" s="444">
        <f t="shared" si="2"/>
        <v>0</v>
      </c>
      <c r="F20" s="444">
        <f t="shared" si="3"/>
        <v>0</v>
      </c>
      <c r="G20" s="239"/>
      <c r="H20" s="445">
        <f t="shared" si="4"/>
        <v>0</v>
      </c>
      <c r="I20" s="445" t="e">
        <f t="shared" si="5"/>
        <v>#VALUE!</v>
      </c>
      <c r="J20" s="445">
        <f t="shared" si="6"/>
        <v>0</v>
      </c>
      <c r="K20" s="445">
        <f t="shared" si="7"/>
        <v>0</v>
      </c>
      <c r="L20" s="637"/>
      <c r="M20" s="671" t="str">
        <f t="shared" ref="M20:M83" si="15">IFERROR(IF(M19+1&lt;O$3,M19+1,""),"")</f>
        <v/>
      </c>
      <c r="N20" s="445">
        <f t="shared" si="8"/>
        <v>0</v>
      </c>
      <c r="O20" s="445">
        <f t="shared" si="9"/>
        <v>0</v>
      </c>
      <c r="P20" s="445">
        <f t="shared" si="10"/>
        <v>0</v>
      </c>
      <c r="Q20" s="445">
        <f t="shared" si="10"/>
        <v>0</v>
      </c>
      <c r="R20" s="445">
        <f>IFERROR(IF(VerBer,IF($M20&lt;INT(R$5),0,IF($M20=INT(R$2),R$12,IF($M20&gt;INT(R$2),R$12*(1+R$9)^(IF($M20-R$5&lt;=0,0,$M20-IF(R$5&lt;R$2,R$2,R$5))),0))),0),0)</f>
        <v>0</v>
      </c>
      <c r="S20" s="215"/>
      <c r="U20" s="459">
        <f t="shared" si="11"/>
        <v>0</v>
      </c>
      <c r="V20" s="459">
        <f t="shared" si="13"/>
        <v>0</v>
      </c>
      <c r="W20" s="459">
        <f t="shared" si="14"/>
        <v>0</v>
      </c>
    </row>
    <row r="21" spans="1:23">
      <c r="A21" s="341"/>
      <c r="B21" s="240" t="str">
        <f t="shared" si="12"/>
        <v/>
      </c>
      <c r="C21" s="444">
        <f t="shared" si="0"/>
        <v>0</v>
      </c>
      <c r="D21" s="444">
        <f t="shared" si="1"/>
        <v>0</v>
      </c>
      <c r="E21" s="444">
        <f t="shared" si="2"/>
        <v>0</v>
      </c>
      <c r="F21" s="444">
        <f t="shared" si="3"/>
        <v>0</v>
      </c>
      <c r="G21" s="239"/>
      <c r="H21" s="446">
        <f t="shared" si="4"/>
        <v>0</v>
      </c>
      <c r="I21" s="446" t="e">
        <f t="shared" si="5"/>
        <v>#VALUE!</v>
      </c>
      <c r="J21" s="446">
        <f t="shared" si="6"/>
        <v>0</v>
      </c>
      <c r="K21" s="446">
        <f t="shared" si="7"/>
        <v>0</v>
      </c>
      <c r="L21" s="638"/>
      <c r="M21" s="673" t="str">
        <f t="shared" si="15"/>
        <v/>
      </c>
      <c r="N21" s="446">
        <f t="shared" si="8"/>
        <v>0</v>
      </c>
      <c r="O21" s="446">
        <f t="shared" si="9"/>
        <v>0</v>
      </c>
      <c r="P21" s="446">
        <f t="shared" si="10"/>
        <v>0</v>
      </c>
      <c r="Q21" s="446">
        <f t="shared" si="10"/>
        <v>0</v>
      </c>
      <c r="R21" s="446">
        <f>IFERROR(IF(VerBer,IF($M21&lt;INT(R$5),0,IF($M21=INT(R$2),R$12,IF($M21&gt;INT(R$2),R$12*(1+R$9)^(IF($M21-R$5&lt;=0,0,$M21-IF(R$5&lt;R$2,R$2,R$5))),0))),0),0)</f>
        <v>0</v>
      </c>
      <c r="S21" s="215"/>
      <c r="U21" s="459">
        <f t="shared" si="11"/>
        <v>0</v>
      </c>
      <c r="V21" s="459">
        <f t="shared" si="13"/>
        <v>0</v>
      </c>
      <c r="W21" s="459">
        <f t="shared" si="14"/>
        <v>0</v>
      </c>
    </row>
    <row r="22" spans="1:23">
      <c r="A22" s="341"/>
      <c r="B22" s="240" t="str">
        <f t="shared" si="12"/>
        <v/>
      </c>
      <c r="C22" s="444">
        <f t="shared" si="0"/>
        <v>0</v>
      </c>
      <c r="D22" s="444">
        <f t="shared" si="1"/>
        <v>0</v>
      </c>
      <c r="E22" s="444">
        <f t="shared" si="2"/>
        <v>0</v>
      </c>
      <c r="F22" s="444">
        <f t="shared" si="3"/>
        <v>0</v>
      </c>
      <c r="G22" s="239"/>
      <c r="H22" s="445">
        <f t="shared" si="4"/>
        <v>0</v>
      </c>
      <c r="I22" s="445" t="e">
        <f t="shared" si="5"/>
        <v>#VALUE!</v>
      </c>
      <c r="J22" s="445">
        <f t="shared" si="6"/>
        <v>0</v>
      </c>
      <c r="K22" s="445">
        <f t="shared" si="7"/>
        <v>0</v>
      </c>
      <c r="L22" s="637"/>
      <c r="M22" s="671" t="str">
        <f t="shared" si="15"/>
        <v/>
      </c>
      <c r="N22" s="445">
        <f t="shared" si="8"/>
        <v>0</v>
      </c>
      <c r="O22" s="445">
        <f t="shared" si="9"/>
        <v>0</v>
      </c>
      <c r="P22" s="445">
        <f t="shared" si="10"/>
        <v>0</v>
      </c>
      <c r="Q22" s="445">
        <f t="shared" si="10"/>
        <v>0</v>
      </c>
      <c r="R22" s="445">
        <f>IFERROR(IF(VerBer,IF($M22&lt;INT(R$5),0,IF($M22=INT(R$2),R$12,IF($M22&gt;INT(R$2),R$12*(1+R$9)^(IF($M22-R$5&lt;=0,0,$M22-IF(R$5&lt;R$2,R$2,R$5))),0))),0),0)</f>
        <v>0</v>
      </c>
      <c r="S22" s="215"/>
      <c r="U22" s="459">
        <f t="shared" si="11"/>
        <v>0</v>
      </c>
      <c r="V22" s="459">
        <f t="shared" si="13"/>
        <v>0</v>
      </c>
      <c r="W22" s="459">
        <f t="shared" si="14"/>
        <v>0</v>
      </c>
    </row>
    <row r="23" spans="1:23">
      <c r="A23" s="341"/>
      <c r="B23" s="240" t="str">
        <f t="shared" si="12"/>
        <v/>
      </c>
      <c r="C23" s="444">
        <f t="shared" si="0"/>
        <v>0</v>
      </c>
      <c r="D23" s="444">
        <f t="shared" si="1"/>
        <v>0</v>
      </c>
      <c r="E23" s="444">
        <f t="shared" si="2"/>
        <v>0</v>
      </c>
      <c r="F23" s="444">
        <f t="shared" si="3"/>
        <v>0</v>
      </c>
      <c r="G23" s="239"/>
      <c r="H23" s="446">
        <f t="shared" si="4"/>
        <v>0</v>
      </c>
      <c r="I23" s="446" t="e">
        <f t="shared" si="5"/>
        <v>#VALUE!</v>
      </c>
      <c r="J23" s="446">
        <f t="shared" si="6"/>
        <v>0</v>
      </c>
      <c r="K23" s="446">
        <f t="shared" si="7"/>
        <v>0</v>
      </c>
      <c r="L23" s="638"/>
      <c r="M23" s="673" t="str">
        <f t="shared" si="15"/>
        <v/>
      </c>
      <c r="N23" s="446">
        <f t="shared" si="8"/>
        <v>0</v>
      </c>
      <c r="O23" s="446">
        <f t="shared" si="9"/>
        <v>0</v>
      </c>
      <c r="P23" s="446">
        <f t="shared" si="10"/>
        <v>0</v>
      </c>
      <c r="Q23" s="446">
        <f t="shared" si="10"/>
        <v>0</v>
      </c>
      <c r="R23" s="446">
        <f>IFERROR(IF(VerBer,IF($M23&lt;INT(R$5),0,IF($M23=INT(R$2),R$12,IF($M23&gt;INT(R$2),R$12*(1+R$9)^(IF($M23-R$5&lt;=0,0,$M23-IF(R$5&lt;R$2,R$2,R$5))),0))),0),0)</f>
        <v>0</v>
      </c>
      <c r="S23" s="215"/>
      <c r="U23" s="459">
        <f t="shared" si="11"/>
        <v>0</v>
      </c>
      <c r="V23" s="459">
        <f t="shared" si="13"/>
        <v>0</v>
      </c>
      <c r="W23" s="459">
        <f t="shared" si="14"/>
        <v>0</v>
      </c>
    </row>
    <row r="24" spans="1:23">
      <c r="A24" s="341"/>
      <c r="B24" s="240" t="str">
        <f t="shared" si="12"/>
        <v/>
      </c>
      <c r="C24" s="444">
        <f t="shared" si="0"/>
        <v>0</v>
      </c>
      <c r="D24" s="444">
        <f t="shared" si="1"/>
        <v>0</v>
      </c>
      <c r="E24" s="444">
        <f t="shared" si="2"/>
        <v>0</v>
      </c>
      <c r="F24" s="444">
        <f t="shared" si="3"/>
        <v>0</v>
      </c>
      <c r="G24" s="239"/>
      <c r="H24" s="445">
        <f t="shared" si="4"/>
        <v>0</v>
      </c>
      <c r="I24" s="445" t="e">
        <f t="shared" si="5"/>
        <v>#VALUE!</v>
      </c>
      <c r="J24" s="445">
        <f t="shared" si="6"/>
        <v>0</v>
      </c>
      <c r="K24" s="445">
        <f t="shared" si="7"/>
        <v>0</v>
      </c>
      <c r="L24" s="637"/>
      <c r="M24" s="671" t="str">
        <f t="shared" si="15"/>
        <v/>
      </c>
      <c r="N24" s="445">
        <f t="shared" si="8"/>
        <v>0</v>
      </c>
      <c r="O24" s="445">
        <f t="shared" si="9"/>
        <v>0</v>
      </c>
      <c r="P24" s="445">
        <f t="shared" si="10"/>
        <v>0</v>
      </c>
      <c r="Q24" s="445">
        <f t="shared" si="10"/>
        <v>0</v>
      </c>
      <c r="R24" s="445">
        <f>IFERROR(IF(VerBer,IF($M24&lt;INT(R$5),0,IF($M24=INT(R$2),R$12,IF($M24&gt;INT(R$2),R$12*(1+R$9)^(IF($M24-R$5&lt;=0,0,$M24-IF(R$5&lt;R$2,R$2,R$5))),0))),0),0)</f>
        <v>0</v>
      </c>
      <c r="S24" s="215"/>
      <c r="U24" s="459">
        <f t="shared" si="11"/>
        <v>0</v>
      </c>
      <c r="V24" s="459">
        <f t="shared" si="13"/>
        <v>0</v>
      </c>
      <c r="W24" s="459">
        <f t="shared" si="14"/>
        <v>0</v>
      </c>
    </row>
    <row r="25" spans="1:23">
      <c r="A25" s="341"/>
      <c r="B25" s="240" t="str">
        <f t="shared" si="12"/>
        <v/>
      </c>
      <c r="C25" s="444">
        <f t="shared" si="0"/>
        <v>0</v>
      </c>
      <c r="D25" s="444">
        <f t="shared" si="1"/>
        <v>0</v>
      </c>
      <c r="E25" s="444">
        <f t="shared" si="2"/>
        <v>0</v>
      </c>
      <c r="F25" s="444">
        <f t="shared" si="3"/>
        <v>0</v>
      </c>
      <c r="G25" s="239"/>
      <c r="H25" s="446">
        <f t="shared" si="4"/>
        <v>0</v>
      </c>
      <c r="I25" s="446" t="e">
        <f t="shared" si="5"/>
        <v>#VALUE!</v>
      </c>
      <c r="J25" s="446">
        <f t="shared" si="6"/>
        <v>0</v>
      </c>
      <c r="K25" s="446">
        <f t="shared" si="7"/>
        <v>0</v>
      </c>
      <c r="L25" s="638"/>
      <c r="M25" s="673" t="str">
        <f t="shared" si="15"/>
        <v/>
      </c>
      <c r="N25" s="446">
        <f t="shared" si="8"/>
        <v>0</v>
      </c>
      <c r="O25" s="446">
        <f t="shared" si="9"/>
        <v>0</v>
      </c>
      <c r="P25" s="446">
        <f t="shared" si="10"/>
        <v>0</v>
      </c>
      <c r="Q25" s="446">
        <f t="shared" si="10"/>
        <v>0</v>
      </c>
      <c r="R25" s="446">
        <f>IFERROR(IF(VerBer,IF($M25&lt;INT(R$5),0,IF($M25=INT(R$2),R$12,IF($M25&gt;INT(R$2),R$12*(1+R$9)^(IF($M25-R$5&lt;=0,0,$M25-IF(R$5&lt;R$2,R$2,R$5))),0))),0),0)</f>
        <v>0</v>
      </c>
      <c r="S25" s="215"/>
      <c r="U25" s="459">
        <f t="shared" si="11"/>
        <v>0</v>
      </c>
      <c r="V25" s="459">
        <f t="shared" si="13"/>
        <v>0</v>
      </c>
      <c r="W25" s="459">
        <f t="shared" si="14"/>
        <v>0</v>
      </c>
    </row>
    <row r="26" spans="1:23">
      <c r="A26" s="341"/>
      <c r="B26" s="240" t="str">
        <f t="shared" si="12"/>
        <v/>
      </c>
      <c r="C26" s="444">
        <f t="shared" si="0"/>
        <v>0</v>
      </c>
      <c r="D26" s="444">
        <f t="shared" si="1"/>
        <v>0</v>
      </c>
      <c r="E26" s="444">
        <f t="shared" si="2"/>
        <v>0</v>
      </c>
      <c r="F26" s="444">
        <f t="shared" si="3"/>
        <v>0</v>
      </c>
      <c r="G26" s="239"/>
      <c r="H26" s="445">
        <f t="shared" si="4"/>
        <v>0</v>
      </c>
      <c r="I26" s="445" t="e">
        <f t="shared" si="5"/>
        <v>#VALUE!</v>
      </c>
      <c r="J26" s="445">
        <f t="shared" si="6"/>
        <v>0</v>
      </c>
      <c r="K26" s="445">
        <f t="shared" si="7"/>
        <v>0</v>
      </c>
      <c r="L26" s="637"/>
      <c r="M26" s="671" t="str">
        <f t="shared" si="15"/>
        <v/>
      </c>
      <c r="N26" s="445">
        <f t="shared" si="8"/>
        <v>0</v>
      </c>
      <c r="O26" s="445">
        <f>N26*12*IF(AND(INT(O$5)=$M26,O$5&gt;INT(O$5)),(1-(O$5-INT(O$5))),1)</f>
        <v>0</v>
      </c>
      <c r="P26" s="445">
        <f t="shared" si="10"/>
        <v>0</v>
      </c>
      <c r="Q26" s="445">
        <f t="shared" si="10"/>
        <v>0</v>
      </c>
      <c r="R26" s="445">
        <f>IFERROR(IF(VerBer,IF($M26&lt;INT(R$5),0,IF($M26=INT(R$2),R$12,IF($M26&gt;INT(R$2),R$12*(1+R$9)^(IF($M26-R$5&lt;=0,0,$M26-IF(R$5&lt;R$2,R$2,R$5))),0))),0),0)</f>
        <v>0</v>
      </c>
      <c r="S26" s="215"/>
      <c r="U26" s="459">
        <f t="shared" si="11"/>
        <v>0</v>
      </c>
      <c r="V26" s="459">
        <f t="shared" si="13"/>
        <v>0</v>
      </c>
      <c r="W26" s="459">
        <f t="shared" si="14"/>
        <v>0</v>
      </c>
    </row>
    <row r="27" spans="1:23">
      <c r="A27" s="341"/>
      <c r="B27" s="240" t="str">
        <f t="shared" si="12"/>
        <v/>
      </c>
      <c r="C27" s="444">
        <f t="shared" si="0"/>
        <v>0</v>
      </c>
      <c r="D27" s="444">
        <f t="shared" si="1"/>
        <v>0</v>
      </c>
      <c r="E27" s="444">
        <f t="shared" si="2"/>
        <v>0</v>
      </c>
      <c r="F27" s="444">
        <f t="shared" si="3"/>
        <v>0</v>
      </c>
      <c r="G27" s="239"/>
      <c r="H27" s="446">
        <f t="shared" si="4"/>
        <v>0</v>
      </c>
      <c r="I27" s="446" t="e">
        <f t="shared" si="5"/>
        <v>#VALUE!</v>
      </c>
      <c r="J27" s="446">
        <f t="shared" si="6"/>
        <v>0</v>
      </c>
      <c r="K27" s="446">
        <f t="shared" si="7"/>
        <v>0</v>
      </c>
      <c r="L27" s="638"/>
      <c r="M27" s="673" t="str">
        <f t="shared" si="15"/>
        <v/>
      </c>
      <c r="N27" s="446">
        <f t="shared" si="8"/>
        <v>0</v>
      </c>
      <c r="O27" s="446">
        <f t="shared" ref="O27:O90" si="16">N27*12*IF(AND(INT(O$5)=$M27,O$5&gt;INT(O$5)),(1-(O$5-INT(O$5))),1)</f>
        <v>0</v>
      </c>
      <c r="P27" s="446">
        <f t="shared" si="10"/>
        <v>0</v>
      </c>
      <c r="Q27" s="446">
        <f t="shared" si="10"/>
        <v>0</v>
      </c>
      <c r="R27" s="446">
        <f>IFERROR(IF(VerBer,IF($M27&lt;INT(R$5),0,IF($M27=INT(R$2),R$12,IF($M27&gt;INT(R$2),R$12*(1+R$9)^(IF($M27-R$5&lt;=0,0,$M27-IF(R$5&lt;R$2,R$2,R$5))),0))),0),0)</f>
        <v>0</v>
      </c>
      <c r="S27" s="215"/>
      <c r="U27" s="459">
        <f t="shared" si="11"/>
        <v>0</v>
      </c>
      <c r="V27" s="459">
        <f t="shared" si="13"/>
        <v>0</v>
      </c>
      <c r="W27" s="459">
        <f t="shared" si="14"/>
        <v>0</v>
      </c>
    </row>
    <row r="28" spans="1:23">
      <c r="A28" s="341"/>
      <c r="B28" s="240" t="str">
        <f t="shared" si="12"/>
        <v/>
      </c>
      <c r="C28" s="444">
        <f t="shared" si="0"/>
        <v>0</v>
      </c>
      <c r="D28" s="444">
        <f t="shared" si="1"/>
        <v>0</v>
      </c>
      <c r="E28" s="444">
        <f t="shared" si="2"/>
        <v>0</v>
      </c>
      <c r="F28" s="444">
        <f t="shared" si="3"/>
        <v>0</v>
      </c>
      <c r="G28" s="239"/>
      <c r="H28" s="445">
        <f t="shared" si="4"/>
        <v>0</v>
      </c>
      <c r="I28" s="445" t="e">
        <f t="shared" si="5"/>
        <v>#VALUE!</v>
      </c>
      <c r="J28" s="445">
        <f t="shared" si="6"/>
        <v>0</v>
      </c>
      <c r="K28" s="445">
        <f t="shared" si="7"/>
        <v>0</v>
      </c>
      <c r="L28" s="637"/>
      <c r="M28" s="671" t="str">
        <f t="shared" si="15"/>
        <v/>
      </c>
      <c r="N28" s="445">
        <f t="shared" si="8"/>
        <v>0</v>
      </c>
      <c r="O28" s="445">
        <f t="shared" si="16"/>
        <v>0</v>
      </c>
      <c r="P28" s="445">
        <f t="shared" si="10"/>
        <v>0</v>
      </c>
      <c r="Q28" s="445">
        <f t="shared" si="10"/>
        <v>0</v>
      </c>
      <c r="R28" s="445">
        <f>IFERROR(IF(VerBer,IF($M28&lt;INT(R$5),0,IF($M28=INT(R$2),R$12,IF($M28&gt;INT(R$2),R$12*(1+R$9)^(IF($M28-R$5&lt;=0,0,$M28-IF(R$5&lt;R$2,R$2,R$5))),0))),0),0)</f>
        <v>0</v>
      </c>
      <c r="S28" s="215"/>
      <c r="U28" s="459">
        <f t="shared" si="11"/>
        <v>0</v>
      </c>
      <c r="V28" s="459">
        <f t="shared" si="13"/>
        <v>0</v>
      </c>
      <c r="W28" s="459">
        <f t="shared" si="14"/>
        <v>0</v>
      </c>
    </row>
    <row r="29" spans="1:23">
      <c r="A29" s="341"/>
      <c r="B29" s="240" t="str">
        <f t="shared" si="12"/>
        <v/>
      </c>
      <c r="C29" s="444">
        <f t="shared" si="0"/>
        <v>0</v>
      </c>
      <c r="D29" s="444">
        <f t="shared" si="1"/>
        <v>0</v>
      </c>
      <c r="E29" s="444">
        <f t="shared" si="2"/>
        <v>0</v>
      </c>
      <c r="F29" s="444">
        <f t="shared" si="3"/>
        <v>0</v>
      </c>
      <c r="G29" s="239"/>
      <c r="H29" s="446">
        <f t="shared" si="4"/>
        <v>0</v>
      </c>
      <c r="I29" s="446" t="e">
        <f t="shared" si="5"/>
        <v>#VALUE!</v>
      </c>
      <c r="J29" s="446">
        <f t="shared" si="6"/>
        <v>0</v>
      </c>
      <c r="K29" s="446">
        <f t="shared" si="7"/>
        <v>0</v>
      </c>
      <c r="L29" s="638"/>
      <c r="M29" s="673" t="str">
        <f t="shared" si="15"/>
        <v/>
      </c>
      <c r="N29" s="446">
        <f t="shared" si="8"/>
        <v>0</v>
      </c>
      <c r="O29" s="446">
        <f t="shared" si="16"/>
        <v>0</v>
      </c>
      <c r="P29" s="446">
        <f t="shared" si="10"/>
        <v>0</v>
      </c>
      <c r="Q29" s="446">
        <f t="shared" si="10"/>
        <v>0</v>
      </c>
      <c r="R29" s="446">
        <f>IFERROR(IF(VerBer,IF($M29&lt;INT(R$5),0,IF($M29=INT(R$2),R$12,IF($M29&gt;INT(R$2),R$12*(1+R$9)^(IF($M29-R$5&lt;=0,0,$M29-IF(R$5&lt;R$2,R$2,R$5))),0))),0),0)</f>
        <v>0</v>
      </c>
      <c r="S29" s="215"/>
      <c r="U29" s="459">
        <f>+P29*12*IF(AND(INT(P$5)=$M29,P$5&gt;INT(P$5)),1-(P$5-INT(P$5)),1)</f>
        <v>0</v>
      </c>
      <c r="V29" s="459">
        <f t="shared" si="13"/>
        <v>0</v>
      </c>
      <c r="W29" s="459">
        <f t="shared" si="14"/>
        <v>0</v>
      </c>
    </row>
    <row r="30" spans="1:23">
      <c r="A30" s="341"/>
      <c r="B30" s="240" t="str">
        <f t="shared" si="12"/>
        <v/>
      </c>
      <c r="C30" s="444">
        <f t="shared" si="0"/>
        <v>0</v>
      </c>
      <c r="D30" s="444">
        <f t="shared" si="1"/>
        <v>0</v>
      </c>
      <c r="E30" s="444">
        <f t="shared" si="2"/>
        <v>0</v>
      </c>
      <c r="F30" s="444">
        <f t="shared" si="3"/>
        <v>0</v>
      </c>
      <c r="G30" s="239"/>
      <c r="H30" s="445">
        <f t="shared" si="4"/>
        <v>0</v>
      </c>
      <c r="I30" s="445" t="e">
        <f t="shared" si="5"/>
        <v>#VALUE!</v>
      </c>
      <c r="J30" s="445">
        <f t="shared" si="6"/>
        <v>0</v>
      </c>
      <c r="K30" s="445">
        <f t="shared" si="7"/>
        <v>0</v>
      </c>
      <c r="L30" s="637"/>
      <c r="M30" s="671" t="str">
        <f t="shared" si="15"/>
        <v/>
      </c>
      <c r="N30" s="445">
        <f t="shared" si="8"/>
        <v>0</v>
      </c>
      <c r="O30" s="445">
        <f t="shared" si="16"/>
        <v>0</v>
      </c>
      <c r="P30" s="445">
        <f t="shared" si="10"/>
        <v>0</v>
      </c>
      <c r="Q30" s="445">
        <f t="shared" si="10"/>
        <v>0</v>
      </c>
      <c r="R30" s="445">
        <f>IFERROR(IF(VerBer,IF($M30&lt;INT(R$5),0,IF($M30=INT(R$2),R$12,IF($M30&gt;INT(R$2),R$12*(1+R$9)^(IF($M30-R$5&lt;=0,0,$M30-IF(R$5&lt;R$2,R$2,R$5))),0))),0),0)</f>
        <v>0</v>
      </c>
      <c r="S30" s="215"/>
      <c r="U30" s="459">
        <f>+P30*12*IF(AND(INT(P$5)=$M30,P$5&gt;INT(P$5)),1-(P$5-INT(P$5)),1)</f>
        <v>0</v>
      </c>
      <c r="V30" s="459">
        <f t="shared" si="13"/>
        <v>0</v>
      </c>
      <c r="W30" s="459">
        <f t="shared" si="14"/>
        <v>0</v>
      </c>
    </row>
    <row r="31" spans="1:23">
      <c r="A31" s="341"/>
      <c r="B31" s="240" t="str">
        <f t="shared" si="12"/>
        <v/>
      </c>
      <c r="C31" s="444">
        <f t="shared" si="0"/>
        <v>0</v>
      </c>
      <c r="D31" s="444">
        <f t="shared" si="1"/>
        <v>0</v>
      </c>
      <c r="E31" s="444">
        <f t="shared" si="2"/>
        <v>0</v>
      </c>
      <c r="F31" s="444">
        <f t="shared" si="3"/>
        <v>0</v>
      </c>
      <c r="G31" s="239"/>
      <c r="H31" s="446">
        <f t="shared" si="4"/>
        <v>0</v>
      </c>
      <c r="I31" s="446" t="e">
        <f t="shared" si="5"/>
        <v>#VALUE!</v>
      </c>
      <c r="J31" s="446">
        <f t="shared" si="6"/>
        <v>0</v>
      </c>
      <c r="K31" s="446">
        <f t="shared" si="7"/>
        <v>0</v>
      </c>
      <c r="L31" s="638"/>
      <c r="M31" s="673" t="str">
        <f t="shared" si="15"/>
        <v/>
      </c>
      <c r="N31" s="446">
        <f t="shared" si="8"/>
        <v>0</v>
      </c>
      <c r="O31" s="446">
        <f t="shared" si="16"/>
        <v>0</v>
      </c>
      <c r="P31" s="446">
        <f t="shared" si="10"/>
        <v>0</v>
      </c>
      <c r="Q31" s="446">
        <f t="shared" si="10"/>
        <v>0</v>
      </c>
      <c r="R31" s="446">
        <f>IFERROR(IF(VerBer,IF($M31&lt;INT(R$5),0,IF($M31=INT(R$2),R$12,IF($M31&gt;INT(R$2),R$12*(1+R$9)^(IF($M31-R$5&lt;=0,0,$M31-IF(R$5&lt;R$2,R$2,R$5))),0))),0),0)</f>
        <v>0</v>
      </c>
      <c r="S31" s="215"/>
      <c r="U31" s="459">
        <f t="shared" ref="U31:U93" si="17">+P31*12*IF(AND(INT(P$5)=$M31,P$5&gt;INT(P$5)),1-(P$5-INT(P$5)),1)</f>
        <v>0</v>
      </c>
      <c r="V31" s="459">
        <f t="shared" si="13"/>
        <v>0</v>
      </c>
      <c r="W31" s="459">
        <f t="shared" si="14"/>
        <v>0</v>
      </c>
    </row>
    <row r="32" spans="1:23">
      <c r="A32" s="341"/>
      <c r="B32" s="240" t="str">
        <f t="shared" si="12"/>
        <v/>
      </c>
      <c r="C32" s="444">
        <f t="shared" si="0"/>
        <v>0</v>
      </c>
      <c r="D32" s="444">
        <f t="shared" si="1"/>
        <v>0</v>
      </c>
      <c r="E32" s="444">
        <f t="shared" si="2"/>
        <v>0</v>
      </c>
      <c r="F32" s="444">
        <f t="shared" si="3"/>
        <v>0</v>
      </c>
      <c r="G32" s="239"/>
      <c r="H32" s="445">
        <f t="shared" si="4"/>
        <v>0</v>
      </c>
      <c r="I32" s="445" t="e">
        <f t="shared" si="5"/>
        <v>#VALUE!</v>
      </c>
      <c r="J32" s="445">
        <f t="shared" si="6"/>
        <v>0</v>
      </c>
      <c r="K32" s="445">
        <f t="shared" si="7"/>
        <v>0</v>
      </c>
      <c r="L32" s="637"/>
      <c r="M32" s="671" t="str">
        <f t="shared" si="15"/>
        <v/>
      </c>
      <c r="N32" s="445">
        <f t="shared" si="8"/>
        <v>0</v>
      </c>
      <c r="O32" s="445">
        <f t="shared" si="16"/>
        <v>0</v>
      </c>
      <c r="P32" s="445">
        <f t="shared" si="10"/>
        <v>0</v>
      </c>
      <c r="Q32" s="445">
        <f t="shared" si="10"/>
        <v>0</v>
      </c>
      <c r="R32" s="445">
        <f>IFERROR(IF(VerBer,IF($M32&lt;INT(R$5),0,IF($M32=INT(R$2),R$12,IF($M32&gt;INT(R$2),R$12*(1+R$9)^(IF($M32-R$5&lt;=0,0,$M32-IF(R$5&lt;R$2,R$2,R$5))),0))),0),0)</f>
        <v>0</v>
      </c>
      <c r="S32" s="215"/>
      <c r="U32" s="459">
        <f t="shared" si="17"/>
        <v>0</v>
      </c>
      <c r="V32" s="459">
        <f t="shared" si="13"/>
        <v>0</v>
      </c>
      <c r="W32" s="459">
        <f t="shared" si="14"/>
        <v>0</v>
      </c>
    </row>
    <row r="33" spans="1:23">
      <c r="A33" s="341"/>
      <c r="B33" s="240" t="str">
        <f t="shared" si="12"/>
        <v/>
      </c>
      <c r="C33" s="444">
        <f t="shared" si="0"/>
        <v>0</v>
      </c>
      <c r="D33" s="444">
        <f t="shared" si="1"/>
        <v>0</v>
      </c>
      <c r="E33" s="444">
        <f t="shared" si="2"/>
        <v>0</v>
      </c>
      <c r="F33" s="444">
        <f t="shared" si="3"/>
        <v>0</v>
      </c>
      <c r="G33" s="239"/>
      <c r="H33" s="446">
        <f t="shared" si="4"/>
        <v>0</v>
      </c>
      <c r="I33" s="446" t="e">
        <f t="shared" si="5"/>
        <v>#VALUE!</v>
      </c>
      <c r="J33" s="446">
        <f t="shared" si="6"/>
        <v>0</v>
      </c>
      <c r="K33" s="446">
        <f t="shared" si="7"/>
        <v>0</v>
      </c>
      <c r="L33" s="638"/>
      <c r="M33" s="673" t="str">
        <f t="shared" si="15"/>
        <v/>
      </c>
      <c r="N33" s="446">
        <f t="shared" si="8"/>
        <v>0</v>
      </c>
      <c r="O33" s="446">
        <f t="shared" si="16"/>
        <v>0</v>
      </c>
      <c r="P33" s="446">
        <f t="shared" si="10"/>
        <v>0</v>
      </c>
      <c r="Q33" s="446">
        <f t="shared" si="10"/>
        <v>0</v>
      </c>
      <c r="R33" s="446">
        <f>IFERROR(IF(VerBer,IF($M33&lt;INT(R$5),0,IF($M33=INT(R$2),R$12,IF($M33&gt;INT(R$2),R$12*(1+R$9)^(IF($M33-R$5&lt;=0,0,$M33-IF(R$5&lt;R$2,R$2,R$5))),0))),0),0)</f>
        <v>0</v>
      </c>
      <c r="S33" s="215"/>
      <c r="U33" s="459">
        <f t="shared" si="17"/>
        <v>0</v>
      </c>
      <c r="V33" s="459">
        <f t="shared" si="13"/>
        <v>0</v>
      </c>
      <c r="W33" s="459">
        <f t="shared" si="14"/>
        <v>0</v>
      </c>
    </row>
    <row r="34" spans="1:23">
      <c r="A34" s="341"/>
      <c r="B34" s="240" t="str">
        <f t="shared" si="12"/>
        <v/>
      </c>
      <c r="C34" s="444">
        <f t="shared" si="0"/>
        <v>0</v>
      </c>
      <c r="D34" s="444">
        <f t="shared" si="1"/>
        <v>0</v>
      </c>
      <c r="E34" s="444">
        <f t="shared" si="2"/>
        <v>0</v>
      </c>
      <c r="F34" s="444">
        <f t="shared" si="3"/>
        <v>0</v>
      </c>
      <c r="G34" s="239"/>
      <c r="H34" s="445">
        <f t="shared" si="4"/>
        <v>0</v>
      </c>
      <c r="I34" s="445" t="e">
        <f t="shared" si="5"/>
        <v>#VALUE!</v>
      </c>
      <c r="J34" s="445">
        <f t="shared" si="6"/>
        <v>0</v>
      </c>
      <c r="K34" s="445">
        <f t="shared" si="7"/>
        <v>0</v>
      </c>
      <c r="L34" s="637"/>
      <c r="M34" s="671" t="str">
        <f t="shared" si="15"/>
        <v/>
      </c>
      <c r="N34" s="445">
        <f t="shared" si="8"/>
        <v>0</v>
      </c>
      <c r="O34" s="445">
        <f t="shared" si="16"/>
        <v>0</v>
      </c>
      <c r="P34" s="445">
        <f t="shared" si="10"/>
        <v>0</v>
      </c>
      <c r="Q34" s="445">
        <f t="shared" si="10"/>
        <v>0</v>
      </c>
      <c r="R34" s="445">
        <f>IFERROR(IF(VerBer,IF($M34&lt;INT(R$5),0,IF($M34=INT(R$2),R$12,IF($M34&gt;INT(R$2),R$12*(1+R$9)^(IF($M34-R$5&lt;=0,0,$M34-IF(R$5&lt;R$2,R$2,R$5))),0))),0),0)</f>
        <v>0</v>
      </c>
      <c r="S34" s="215"/>
      <c r="U34" s="459">
        <f t="shared" si="17"/>
        <v>0</v>
      </c>
      <c r="V34" s="459">
        <f t="shared" si="13"/>
        <v>0</v>
      </c>
      <c r="W34" s="459">
        <f t="shared" si="14"/>
        <v>0</v>
      </c>
    </row>
    <row r="35" spans="1:23">
      <c r="A35" s="341"/>
      <c r="B35" s="240" t="str">
        <f t="shared" si="12"/>
        <v/>
      </c>
      <c r="C35" s="444">
        <f t="shared" si="0"/>
        <v>0</v>
      </c>
      <c r="D35" s="444">
        <f t="shared" si="1"/>
        <v>0</v>
      </c>
      <c r="E35" s="444">
        <f t="shared" si="2"/>
        <v>0</v>
      </c>
      <c r="F35" s="444">
        <f t="shared" si="3"/>
        <v>0</v>
      </c>
      <c r="G35" s="239"/>
      <c r="H35" s="446">
        <f t="shared" si="4"/>
        <v>0</v>
      </c>
      <c r="I35" s="446" t="e">
        <f t="shared" si="5"/>
        <v>#VALUE!</v>
      </c>
      <c r="J35" s="446">
        <f t="shared" si="6"/>
        <v>0</v>
      </c>
      <c r="K35" s="446">
        <f t="shared" si="7"/>
        <v>0</v>
      </c>
      <c r="L35" s="638"/>
      <c r="M35" s="673" t="str">
        <f t="shared" si="15"/>
        <v/>
      </c>
      <c r="N35" s="446">
        <f t="shared" si="8"/>
        <v>0</v>
      </c>
      <c r="O35" s="446">
        <f t="shared" si="16"/>
        <v>0</v>
      </c>
      <c r="P35" s="446">
        <f t="shared" si="10"/>
        <v>0</v>
      </c>
      <c r="Q35" s="446">
        <f t="shared" si="10"/>
        <v>0</v>
      </c>
      <c r="R35" s="446">
        <f>IFERROR(IF(VerBer,IF($M35&lt;INT(R$5),0,IF($M35=INT(R$2),R$12,IF($M35&gt;INT(R$2),R$12*(1+R$9)^(IF($M35-R$5&lt;=0,0,$M35-IF(R$5&lt;R$2,R$2,R$5))),0))),0),0)</f>
        <v>0</v>
      </c>
      <c r="S35" s="215"/>
      <c r="U35" s="459">
        <f t="shared" si="17"/>
        <v>0</v>
      </c>
      <c r="V35" s="459">
        <f t="shared" si="13"/>
        <v>0</v>
      </c>
      <c r="W35" s="459">
        <f t="shared" si="14"/>
        <v>0</v>
      </c>
    </row>
    <row r="36" spans="1:23">
      <c r="A36" s="341"/>
      <c r="B36" s="240" t="str">
        <f t="shared" si="12"/>
        <v/>
      </c>
      <c r="C36" s="444">
        <f t="shared" si="0"/>
        <v>0</v>
      </c>
      <c r="D36" s="444">
        <f t="shared" si="1"/>
        <v>0</v>
      </c>
      <c r="E36" s="444">
        <f t="shared" si="2"/>
        <v>0</v>
      </c>
      <c r="F36" s="444">
        <f t="shared" si="3"/>
        <v>0</v>
      </c>
      <c r="G36" s="239"/>
      <c r="H36" s="445">
        <f t="shared" si="4"/>
        <v>0</v>
      </c>
      <c r="I36" s="445" t="e">
        <f t="shared" si="5"/>
        <v>#VALUE!</v>
      </c>
      <c r="J36" s="445">
        <f t="shared" si="6"/>
        <v>0</v>
      </c>
      <c r="K36" s="445">
        <f t="shared" si="7"/>
        <v>0</v>
      </c>
      <c r="L36" s="637"/>
      <c r="M36" s="671" t="str">
        <f t="shared" si="15"/>
        <v/>
      </c>
      <c r="N36" s="445">
        <f t="shared" si="8"/>
        <v>0</v>
      </c>
      <c r="O36" s="445">
        <f t="shared" si="16"/>
        <v>0</v>
      </c>
      <c r="P36" s="445">
        <f t="shared" si="10"/>
        <v>0</v>
      </c>
      <c r="Q36" s="445">
        <f t="shared" si="10"/>
        <v>0</v>
      </c>
      <c r="R36" s="445">
        <f>IFERROR(IF(VerBer,IF($M36&lt;INT(R$5),0,IF($M36=INT(R$2),R$12,IF($M36&gt;INT(R$2),R$12*(1+R$9)^(IF($M36-R$5&lt;=0,0,$M36-IF(R$5&lt;R$2,R$2,R$5))),0))),0),0)</f>
        <v>0</v>
      </c>
      <c r="S36" s="215"/>
      <c r="U36" s="459">
        <f t="shared" si="17"/>
        <v>0</v>
      </c>
      <c r="V36" s="459">
        <f t="shared" si="13"/>
        <v>0</v>
      </c>
      <c r="W36" s="459">
        <f t="shared" si="14"/>
        <v>0</v>
      </c>
    </row>
    <row r="37" spans="1:23">
      <c r="A37" s="341"/>
      <c r="B37" s="240" t="str">
        <f t="shared" si="12"/>
        <v/>
      </c>
      <c r="C37" s="444">
        <f t="shared" si="0"/>
        <v>0</v>
      </c>
      <c r="D37" s="444">
        <f t="shared" si="1"/>
        <v>0</v>
      </c>
      <c r="E37" s="444">
        <f t="shared" si="2"/>
        <v>0</v>
      </c>
      <c r="F37" s="444">
        <f t="shared" si="3"/>
        <v>0</v>
      </c>
      <c r="G37" s="239"/>
      <c r="H37" s="446">
        <f t="shared" si="4"/>
        <v>0</v>
      </c>
      <c r="I37" s="446" t="e">
        <f t="shared" si="5"/>
        <v>#VALUE!</v>
      </c>
      <c r="J37" s="446">
        <f t="shared" si="6"/>
        <v>0</v>
      </c>
      <c r="K37" s="446">
        <f t="shared" si="7"/>
        <v>0</v>
      </c>
      <c r="L37" s="638"/>
      <c r="M37" s="673" t="str">
        <f t="shared" si="15"/>
        <v/>
      </c>
      <c r="N37" s="446">
        <f t="shared" si="8"/>
        <v>0</v>
      </c>
      <c r="O37" s="446">
        <f t="shared" si="16"/>
        <v>0</v>
      </c>
      <c r="P37" s="446">
        <f t="shared" si="10"/>
        <v>0</v>
      </c>
      <c r="Q37" s="446">
        <f t="shared" si="10"/>
        <v>0</v>
      </c>
      <c r="R37" s="446">
        <f>IFERROR(IF(VerBer,IF($M37&lt;INT(R$5),0,IF($M37=INT(R$2),R$12,IF($M37&gt;INT(R$2),R$12*(1+R$9)^(IF($M37-R$5&lt;=0,0,$M37-IF(R$5&lt;R$2,R$2,R$5))),0))),0),0)</f>
        <v>0</v>
      </c>
      <c r="S37" s="215"/>
      <c r="U37" s="459">
        <f t="shared" si="17"/>
        <v>0</v>
      </c>
      <c r="V37" s="459">
        <f t="shared" si="13"/>
        <v>0</v>
      </c>
      <c r="W37" s="459">
        <f t="shared" si="14"/>
        <v>0</v>
      </c>
    </row>
    <row r="38" spans="1:23">
      <c r="A38" s="341"/>
      <c r="B38" s="240" t="str">
        <f t="shared" si="12"/>
        <v/>
      </c>
      <c r="C38" s="444">
        <f t="shared" si="0"/>
        <v>0</v>
      </c>
      <c r="D38" s="444">
        <f t="shared" si="1"/>
        <v>0</v>
      </c>
      <c r="E38" s="444">
        <f t="shared" si="2"/>
        <v>0</v>
      </c>
      <c r="F38" s="444">
        <f t="shared" si="3"/>
        <v>0</v>
      </c>
      <c r="G38" s="239"/>
      <c r="H38" s="445">
        <f t="shared" si="4"/>
        <v>0</v>
      </c>
      <c r="I38" s="445" t="e">
        <f t="shared" si="5"/>
        <v>#VALUE!</v>
      </c>
      <c r="J38" s="445">
        <f t="shared" si="6"/>
        <v>0</v>
      </c>
      <c r="K38" s="445">
        <f t="shared" si="7"/>
        <v>0</v>
      </c>
      <c r="L38" s="637"/>
      <c r="M38" s="671" t="str">
        <f t="shared" si="15"/>
        <v/>
      </c>
      <c r="N38" s="445">
        <f t="shared" si="8"/>
        <v>0</v>
      </c>
      <c r="O38" s="445">
        <f t="shared" si="16"/>
        <v>0</v>
      </c>
      <c r="P38" s="445">
        <f t="shared" ref="P38:Q57" si="18">IFERROR(IF(VersBer,IF($M38&lt;INT(P$5),0,IF($M38=INT(P$2),P$12,IF($M38&gt;INT(P$2),P$12*(1+P$9)^(IF($M38-P$5&lt;=0,0,$M38-IF(P$5&lt;P$2,P$2,P$5))),0))),0),0)</f>
        <v>0</v>
      </c>
      <c r="Q38" s="445">
        <f t="shared" si="18"/>
        <v>0</v>
      </c>
      <c r="R38" s="445">
        <f>IFERROR(IF(VerBer,IF($M38&lt;INT(R$5),0,IF($M38=INT(R$2),R$12,IF($M38&gt;INT(R$2),R$12*(1+R$9)^(IF($M38-R$5&lt;=0,0,$M38-IF(R$5&lt;R$2,R$2,R$5))),0))),0),0)</f>
        <v>0</v>
      </c>
      <c r="S38" s="215"/>
      <c r="U38" s="459">
        <f t="shared" si="17"/>
        <v>0</v>
      </c>
      <c r="V38" s="459">
        <f t="shared" si="13"/>
        <v>0</v>
      </c>
      <c r="W38" s="459">
        <f t="shared" si="14"/>
        <v>0</v>
      </c>
    </row>
    <row r="39" spans="1:23">
      <c r="A39" s="341"/>
      <c r="B39" s="240" t="str">
        <f t="shared" si="12"/>
        <v/>
      </c>
      <c r="C39" s="444">
        <f t="shared" si="0"/>
        <v>0</v>
      </c>
      <c r="D39" s="444">
        <f t="shared" si="1"/>
        <v>0</v>
      </c>
      <c r="E39" s="444">
        <f t="shared" si="2"/>
        <v>0</v>
      </c>
      <c r="F39" s="444">
        <f t="shared" si="3"/>
        <v>0</v>
      </c>
      <c r="G39" s="239"/>
      <c r="H39" s="446">
        <f t="shared" si="4"/>
        <v>0</v>
      </c>
      <c r="I39" s="446" t="e">
        <f t="shared" si="5"/>
        <v>#VALUE!</v>
      </c>
      <c r="J39" s="446">
        <f t="shared" si="6"/>
        <v>0</v>
      </c>
      <c r="K39" s="446">
        <f t="shared" si="7"/>
        <v>0</v>
      </c>
      <c r="L39" s="638"/>
      <c r="M39" s="673" t="str">
        <f t="shared" si="15"/>
        <v/>
      </c>
      <c r="N39" s="446">
        <f t="shared" si="8"/>
        <v>0</v>
      </c>
      <c r="O39" s="446">
        <f t="shared" si="16"/>
        <v>0</v>
      </c>
      <c r="P39" s="446">
        <f t="shared" si="18"/>
        <v>0</v>
      </c>
      <c r="Q39" s="446">
        <f t="shared" si="18"/>
        <v>0</v>
      </c>
      <c r="R39" s="446">
        <f>IFERROR(IF(VerBer,IF($M39&lt;INT(R$5),0,IF($M39=INT(R$2),R$12,IF($M39&gt;INT(R$2),R$12*(1+R$9)^(IF($M39-R$5&lt;=0,0,$M39-IF(R$5&lt;R$2,R$2,R$5))),0))),0),0)</f>
        <v>0</v>
      </c>
      <c r="S39" s="215"/>
      <c r="U39" s="459">
        <f t="shared" si="17"/>
        <v>0</v>
      </c>
      <c r="V39" s="459">
        <f t="shared" si="13"/>
        <v>0</v>
      </c>
      <c r="W39" s="459">
        <f t="shared" si="14"/>
        <v>0</v>
      </c>
    </row>
    <row r="40" spans="1:23">
      <c r="A40" s="341"/>
      <c r="B40" s="240" t="str">
        <f t="shared" si="12"/>
        <v/>
      </c>
      <c r="C40" s="444">
        <f t="shared" si="0"/>
        <v>0</v>
      </c>
      <c r="D40" s="444">
        <f t="shared" si="1"/>
        <v>0</v>
      </c>
      <c r="E40" s="444">
        <f t="shared" si="2"/>
        <v>0</v>
      </c>
      <c r="F40" s="444">
        <f t="shared" si="3"/>
        <v>0</v>
      </c>
      <c r="G40" s="239"/>
      <c r="H40" s="445">
        <f t="shared" si="4"/>
        <v>0</v>
      </c>
      <c r="I40" s="445" t="e">
        <f t="shared" si="5"/>
        <v>#VALUE!</v>
      </c>
      <c r="J40" s="445">
        <f t="shared" si="6"/>
        <v>0</v>
      </c>
      <c r="K40" s="445">
        <f t="shared" si="7"/>
        <v>0</v>
      </c>
      <c r="L40" s="637"/>
      <c r="M40" s="671" t="str">
        <f t="shared" si="15"/>
        <v/>
      </c>
      <c r="N40" s="445">
        <f t="shared" si="8"/>
        <v>0</v>
      </c>
      <c r="O40" s="445">
        <f t="shared" si="16"/>
        <v>0</v>
      </c>
      <c r="P40" s="445">
        <f t="shared" si="18"/>
        <v>0</v>
      </c>
      <c r="Q40" s="445">
        <f t="shared" si="18"/>
        <v>0</v>
      </c>
      <c r="R40" s="445">
        <f>IFERROR(IF(VerBer,IF($M40&lt;INT(R$5),0,IF($M40=INT(R$2),R$12,IF($M40&gt;INT(R$2),R$12*(1+R$9)^(IF($M40-R$5&lt;=0,0,$M40-IF(R$5&lt;R$2,R$2,R$5))),0))),0),0)</f>
        <v>0</v>
      </c>
      <c r="S40" s="215"/>
      <c r="U40" s="459">
        <f t="shared" si="17"/>
        <v>0</v>
      </c>
      <c r="V40" s="459">
        <f t="shared" si="13"/>
        <v>0</v>
      </c>
      <c r="W40" s="459">
        <f t="shared" si="14"/>
        <v>0</v>
      </c>
    </row>
    <row r="41" spans="1:23">
      <c r="A41" s="341"/>
      <c r="B41" s="240" t="str">
        <f t="shared" si="12"/>
        <v/>
      </c>
      <c r="C41" s="444">
        <f t="shared" si="0"/>
        <v>0</v>
      </c>
      <c r="D41" s="444">
        <f t="shared" si="1"/>
        <v>0</v>
      </c>
      <c r="E41" s="444">
        <f t="shared" si="2"/>
        <v>0</v>
      </c>
      <c r="F41" s="444">
        <f t="shared" si="3"/>
        <v>0</v>
      </c>
      <c r="G41" s="239"/>
      <c r="H41" s="446">
        <f t="shared" si="4"/>
        <v>0</v>
      </c>
      <c r="I41" s="446" t="e">
        <f t="shared" si="5"/>
        <v>#VALUE!</v>
      </c>
      <c r="J41" s="446">
        <f t="shared" si="6"/>
        <v>0</v>
      </c>
      <c r="K41" s="446">
        <f t="shared" si="7"/>
        <v>0</v>
      </c>
      <c r="L41" s="638"/>
      <c r="M41" s="673" t="str">
        <f t="shared" si="15"/>
        <v/>
      </c>
      <c r="N41" s="446">
        <f t="shared" si="8"/>
        <v>0</v>
      </c>
      <c r="O41" s="446">
        <f t="shared" si="16"/>
        <v>0</v>
      </c>
      <c r="P41" s="446">
        <f t="shared" si="18"/>
        <v>0</v>
      </c>
      <c r="Q41" s="446">
        <f t="shared" si="18"/>
        <v>0</v>
      </c>
      <c r="R41" s="446">
        <f>IFERROR(IF(VerBer,IF($M41&lt;INT(R$5),0,IF($M41=INT(R$2),R$12,IF($M41&gt;INT(R$2),R$12*(1+R$9)^(IF($M41-R$5&lt;=0,0,$M41-IF(R$5&lt;R$2,R$2,R$5))),0))),0),0)</f>
        <v>0</v>
      </c>
      <c r="S41" s="215"/>
      <c r="U41" s="459">
        <f t="shared" si="17"/>
        <v>0</v>
      </c>
      <c r="V41" s="459">
        <f t="shared" si="13"/>
        <v>0</v>
      </c>
      <c r="W41" s="459">
        <f t="shared" si="14"/>
        <v>0</v>
      </c>
    </row>
    <row r="42" spans="1:23">
      <c r="A42" s="341"/>
      <c r="B42" s="240" t="str">
        <f t="shared" si="12"/>
        <v/>
      </c>
      <c r="C42" s="444">
        <f t="shared" si="0"/>
        <v>0</v>
      </c>
      <c r="D42" s="444">
        <f t="shared" si="1"/>
        <v>0</v>
      </c>
      <c r="E42" s="444">
        <f t="shared" si="2"/>
        <v>0</v>
      </c>
      <c r="F42" s="444">
        <f t="shared" si="3"/>
        <v>0</v>
      </c>
      <c r="G42" s="239"/>
      <c r="H42" s="445">
        <f t="shared" si="4"/>
        <v>0</v>
      </c>
      <c r="I42" s="445" t="e">
        <f t="shared" si="5"/>
        <v>#VALUE!</v>
      </c>
      <c r="J42" s="445">
        <f t="shared" si="6"/>
        <v>0</v>
      </c>
      <c r="K42" s="445">
        <f t="shared" si="7"/>
        <v>0</v>
      </c>
      <c r="L42" s="637"/>
      <c r="M42" s="671" t="str">
        <f t="shared" si="15"/>
        <v/>
      </c>
      <c r="N42" s="445">
        <f t="shared" si="8"/>
        <v>0</v>
      </c>
      <c r="O42" s="445">
        <f t="shared" si="16"/>
        <v>0</v>
      </c>
      <c r="P42" s="445">
        <f t="shared" si="18"/>
        <v>0</v>
      </c>
      <c r="Q42" s="445">
        <f t="shared" si="18"/>
        <v>0</v>
      </c>
      <c r="R42" s="445">
        <f>IFERROR(IF(VerBer,IF($M42&lt;INT(R$5),0,IF($M42=INT(R$2),R$12,IF($M42&gt;INT(R$2),R$12*(1+R$9)^(IF($M42-R$5&lt;=0,0,$M42-IF(R$5&lt;R$2,R$2,R$5))),0))),0),0)</f>
        <v>0</v>
      </c>
      <c r="S42" s="215"/>
      <c r="T42" s="326"/>
      <c r="U42" s="459">
        <f t="shared" si="17"/>
        <v>0</v>
      </c>
      <c r="V42" s="459">
        <f t="shared" si="13"/>
        <v>0</v>
      </c>
      <c r="W42" s="459">
        <f t="shared" si="14"/>
        <v>0</v>
      </c>
    </row>
    <row r="43" spans="1:23">
      <c r="A43" s="341"/>
      <c r="B43" s="240" t="str">
        <f t="shared" si="12"/>
        <v/>
      </c>
      <c r="C43" s="444">
        <f t="shared" si="0"/>
        <v>0</v>
      </c>
      <c r="D43" s="444">
        <f t="shared" si="1"/>
        <v>0</v>
      </c>
      <c r="E43" s="444">
        <f t="shared" si="2"/>
        <v>0</v>
      </c>
      <c r="F43" s="444">
        <f t="shared" si="3"/>
        <v>0</v>
      </c>
      <c r="G43" s="239"/>
      <c r="H43" s="446">
        <f t="shared" si="4"/>
        <v>0</v>
      </c>
      <c r="I43" s="446" t="e">
        <f t="shared" si="5"/>
        <v>#VALUE!</v>
      </c>
      <c r="J43" s="446">
        <f t="shared" si="6"/>
        <v>0</v>
      </c>
      <c r="K43" s="446">
        <f t="shared" si="7"/>
        <v>0</v>
      </c>
      <c r="L43" s="638"/>
      <c r="M43" s="673" t="str">
        <f t="shared" si="15"/>
        <v/>
      </c>
      <c r="N43" s="446">
        <f t="shared" si="8"/>
        <v>0</v>
      </c>
      <c r="O43" s="446">
        <f t="shared" si="16"/>
        <v>0</v>
      </c>
      <c r="P43" s="446">
        <f t="shared" si="18"/>
        <v>0</v>
      </c>
      <c r="Q43" s="446">
        <f t="shared" si="18"/>
        <v>0</v>
      </c>
      <c r="R43" s="446">
        <f>IFERROR(IF(VerBer,IF($M43&lt;INT(R$5),0,IF($M43=INT(R$2),R$12,IF($M43&gt;INT(R$2),R$12*(1+R$9)^(IF($M43-R$5&lt;=0,0,$M43-IF(R$5&lt;R$2,R$2,R$5))),0))),0),0)</f>
        <v>0</v>
      </c>
      <c r="S43" s="215"/>
      <c r="U43" s="459">
        <f t="shared" si="17"/>
        <v>0</v>
      </c>
      <c r="V43" s="459">
        <f t="shared" si="13"/>
        <v>0</v>
      </c>
      <c r="W43" s="459">
        <f t="shared" si="14"/>
        <v>0</v>
      </c>
    </row>
    <row r="44" spans="1:23">
      <c r="A44" s="341"/>
      <c r="B44" s="240" t="str">
        <f t="shared" si="12"/>
        <v/>
      </c>
      <c r="C44" s="444">
        <f t="shared" si="0"/>
        <v>0</v>
      </c>
      <c r="D44" s="444">
        <f t="shared" si="1"/>
        <v>0</v>
      </c>
      <c r="E44" s="444">
        <f t="shared" si="2"/>
        <v>0</v>
      </c>
      <c r="F44" s="444">
        <f t="shared" si="3"/>
        <v>0</v>
      </c>
      <c r="G44" s="239"/>
      <c r="H44" s="445">
        <f t="shared" si="4"/>
        <v>0</v>
      </c>
      <c r="I44" s="445" t="e">
        <f t="shared" si="5"/>
        <v>#VALUE!</v>
      </c>
      <c r="J44" s="445">
        <f t="shared" si="6"/>
        <v>0</v>
      </c>
      <c r="K44" s="445">
        <f t="shared" si="7"/>
        <v>0</v>
      </c>
      <c r="L44" s="637"/>
      <c r="M44" s="671" t="str">
        <f t="shared" si="15"/>
        <v/>
      </c>
      <c r="N44" s="445">
        <f t="shared" si="8"/>
        <v>0</v>
      </c>
      <c r="O44" s="445">
        <f t="shared" si="16"/>
        <v>0</v>
      </c>
      <c r="P44" s="445">
        <f t="shared" si="18"/>
        <v>0</v>
      </c>
      <c r="Q44" s="445">
        <f t="shared" si="18"/>
        <v>0</v>
      </c>
      <c r="R44" s="445">
        <f>IFERROR(IF(VerBer,IF($M44&lt;INT(R$5),0,IF($M44=INT(R$2),R$12,IF($M44&gt;INT(R$2),R$12*(1+R$9)^(IF($M44-R$5&lt;=0,0,$M44-IF(R$5&lt;R$2,R$2,R$5))),0))),0),0)</f>
        <v>0</v>
      </c>
      <c r="S44" s="215"/>
      <c r="U44" s="459">
        <f t="shared" si="17"/>
        <v>0</v>
      </c>
      <c r="V44" s="459">
        <f t="shared" si="13"/>
        <v>0</v>
      </c>
      <c r="W44" s="459">
        <f t="shared" si="14"/>
        <v>0</v>
      </c>
    </row>
    <row r="45" spans="1:23">
      <c r="A45" s="341"/>
      <c r="B45" s="240" t="str">
        <f t="shared" si="12"/>
        <v/>
      </c>
      <c r="C45" s="444">
        <f t="shared" si="0"/>
        <v>0</v>
      </c>
      <c r="D45" s="444">
        <f t="shared" si="1"/>
        <v>0</v>
      </c>
      <c r="E45" s="444">
        <f t="shared" si="2"/>
        <v>0</v>
      </c>
      <c r="F45" s="444">
        <f t="shared" si="3"/>
        <v>0</v>
      </c>
      <c r="G45" s="239"/>
      <c r="H45" s="446">
        <f t="shared" si="4"/>
        <v>0</v>
      </c>
      <c r="I45" s="446" t="e">
        <f t="shared" si="5"/>
        <v>#VALUE!</v>
      </c>
      <c r="J45" s="446">
        <f t="shared" si="6"/>
        <v>0</v>
      </c>
      <c r="K45" s="446">
        <f t="shared" si="7"/>
        <v>0</v>
      </c>
      <c r="L45" s="638"/>
      <c r="M45" s="673" t="str">
        <f t="shared" si="15"/>
        <v/>
      </c>
      <c r="N45" s="446">
        <f t="shared" si="8"/>
        <v>0</v>
      </c>
      <c r="O45" s="446">
        <f t="shared" si="16"/>
        <v>0</v>
      </c>
      <c r="P45" s="446">
        <f t="shared" si="18"/>
        <v>0</v>
      </c>
      <c r="Q45" s="446">
        <f t="shared" si="18"/>
        <v>0</v>
      </c>
      <c r="R45" s="446">
        <f>IFERROR(IF(VerBer,IF($M45&lt;INT(R$5),0,IF($M45=INT(R$2),R$12,IF($M45&gt;INT(R$2),R$12*(1+R$9)^(IF($M45-R$5&lt;=0,0,$M45-IF(R$5&lt;R$2,R$2,R$5))),0))),0),0)</f>
        <v>0</v>
      </c>
      <c r="S45" s="215"/>
      <c r="U45" s="459">
        <f t="shared" si="17"/>
        <v>0</v>
      </c>
      <c r="V45" s="459">
        <f t="shared" si="13"/>
        <v>0</v>
      </c>
      <c r="W45" s="459">
        <f t="shared" si="14"/>
        <v>0</v>
      </c>
    </row>
    <row r="46" spans="1:23">
      <c r="A46" s="341"/>
      <c r="B46" s="240" t="str">
        <f t="shared" si="12"/>
        <v/>
      </c>
      <c r="C46" s="444">
        <f t="shared" si="0"/>
        <v>0</v>
      </c>
      <c r="D46" s="444">
        <f t="shared" si="1"/>
        <v>0</v>
      </c>
      <c r="E46" s="444">
        <f t="shared" si="2"/>
        <v>0</v>
      </c>
      <c r="F46" s="444">
        <f t="shared" si="3"/>
        <v>0</v>
      </c>
      <c r="G46" s="239"/>
      <c r="H46" s="445">
        <f t="shared" si="4"/>
        <v>0</v>
      </c>
      <c r="I46" s="445" t="e">
        <f t="shared" si="5"/>
        <v>#VALUE!</v>
      </c>
      <c r="J46" s="445">
        <f t="shared" si="6"/>
        <v>0</v>
      </c>
      <c r="K46" s="445">
        <f t="shared" si="7"/>
        <v>0</v>
      </c>
      <c r="L46" s="637"/>
      <c r="M46" s="671" t="str">
        <f t="shared" si="15"/>
        <v/>
      </c>
      <c r="N46" s="445">
        <f t="shared" si="8"/>
        <v>0</v>
      </c>
      <c r="O46" s="445">
        <f t="shared" si="16"/>
        <v>0</v>
      </c>
      <c r="P46" s="445">
        <f t="shared" si="18"/>
        <v>0</v>
      </c>
      <c r="Q46" s="445">
        <f t="shared" si="18"/>
        <v>0</v>
      </c>
      <c r="R46" s="445">
        <f>IFERROR(IF(VerBer,IF($M46&lt;INT(R$5),0,IF($M46=INT(R$2),R$12,IF($M46&gt;INT(R$2),R$12*(1+R$9)^(IF($M46-R$5&lt;=0,0,$M46-IF(R$5&lt;R$2,R$2,R$5))),0))),0),0)</f>
        <v>0</v>
      </c>
      <c r="S46" s="215"/>
      <c r="U46" s="459">
        <f t="shared" si="17"/>
        <v>0</v>
      </c>
      <c r="V46" s="459">
        <f t="shared" si="13"/>
        <v>0</v>
      </c>
      <c r="W46" s="459">
        <f t="shared" si="14"/>
        <v>0</v>
      </c>
    </row>
    <row r="47" spans="1:23">
      <c r="A47" s="341"/>
      <c r="B47" s="240" t="str">
        <f t="shared" si="12"/>
        <v/>
      </c>
      <c r="C47" s="444">
        <f t="shared" si="0"/>
        <v>0</v>
      </c>
      <c r="D47" s="444">
        <f t="shared" si="1"/>
        <v>0</v>
      </c>
      <c r="E47" s="444">
        <f t="shared" si="2"/>
        <v>0</v>
      </c>
      <c r="F47" s="444">
        <f t="shared" si="3"/>
        <v>0</v>
      </c>
      <c r="G47" s="239"/>
      <c r="H47" s="446">
        <f t="shared" si="4"/>
        <v>0</v>
      </c>
      <c r="I47" s="446" t="e">
        <f t="shared" si="5"/>
        <v>#VALUE!</v>
      </c>
      <c r="J47" s="446">
        <f t="shared" si="6"/>
        <v>0</v>
      </c>
      <c r="K47" s="446">
        <f t="shared" si="7"/>
        <v>0</v>
      </c>
      <c r="L47" s="638"/>
      <c r="M47" s="673" t="str">
        <f t="shared" si="15"/>
        <v/>
      </c>
      <c r="N47" s="446">
        <f t="shared" si="8"/>
        <v>0</v>
      </c>
      <c r="O47" s="446">
        <f t="shared" si="16"/>
        <v>0</v>
      </c>
      <c r="P47" s="446">
        <f t="shared" si="18"/>
        <v>0</v>
      </c>
      <c r="Q47" s="446">
        <f t="shared" si="18"/>
        <v>0</v>
      </c>
      <c r="R47" s="446">
        <f>IFERROR(IF(VerBer,IF($M47&lt;INT(R$5),0,IF($M47=INT(R$2),R$12,IF($M47&gt;INT(R$2),R$12*(1+R$9)^(IF($M47-R$5&lt;=0,0,$M47-IF(R$5&lt;R$2,R$2,R$5))),0))),0),0)</f>
        <v>0</v>
      </c>
      <c r="S47" s="215"/>
      <c r="U47" s="459">
        <f t="shared" si="17"/>
        <v>0</v>
      </c>
      <c r="V47" s="459">
        <f t="shared" si="13"/>
        <v>0</v>
      </c>
      <c r="W47" s="459">
        <f t="shared" si="14"/>
        <v>0</v>
      </c>
    </row>
    <row r="48" spans="1:23">
      <c r="A48" s="341"/>
      <c r="B48" s="240" t="str">
        <f t="shared" si="12"/>
        <v/>
      </c>
      <c r="C48" s="444">
        <f t="shared" si="0"/>
        <v>0</v>
      </c>
      <c r="D48" s="444">
        <f t="shared" si="1"/>
        <v>0</v>
      </c>
      <c r="E48" s="444">
        <f t="shared" si="2"/>
        <v>0</v>
      </c>
      <c r="F48" s="444">
        <f t="shared" si="3"/>
        <v>0</v>
      </c>
      <c r="G48" s="239"/>
      <c r="H48" s="445">
        <f t="shared" si="4"/>
        <v>0</v>
      </c>
      <c r="I48" s="445" t="e">
        <f t="shared" si="5"/>
        <v>#VALUE!</v>
      </c>
      <c r="J48" s="445">
        <f t="shared" si="6"/>
        <v>0</v>
      </c>
      <c r="K48" s="445">
        <f t="shared" si="7"/>
        <v>0</v>
      </c>
      <c r="L48" s="637"/>
      <c r="M48" s="671" t="str">
        <f t="shared" si="15"/>
        <v/>
      </c>
      <c r="N48" s="445">
        <f t="shared" si="8"/>
        <v>0</v>
      </c>
      <c r="O48" s="445">
        <f t="shared" si="16"/>
        <v>0</v>
      </c>
      <c r="P48" s="445">
        <f t="shared" si="18"/>
        <v>0</v>
      </c>
      <c r="Q48" s="445">
        <f t="shared" si="18"/>
        <v>0</v>
      </c>
      <c r="R48" s="445">
        <f>IFERROR(IF(VerBer,IF($M48&lt;INT(R$5),0,IF($M48=INT(R$2),R$12,IF($M48&gt;INT(R$2),R$12*(1+R$9)^(IF($M48-R$5&lt;=0,0,$M48-IF(R$5&lt;R$2,R$2,R$5))),0))),0),0)</f>
        <v>0</v>
      </c>
      <c r="S48" s="215"/>
      <c r="U48" s="459">
        <f t="shared" si="17"/>
        <v>0</v>
      </c>
      <c r="V48" s="459">
        <f t="shared" si="13"/>
        <v>0</v>
      </c>
      <c r="W48" s="459">
        <f t="shared" si="14"/>
        <v>0</v>
      </c>
    </row>
    <row r="49" spans="1:23">
      <c r="A49" s="341"/>
      <c r="B49" s="240" t="str">
        <f t="shared" si="12"/>
        <v/>
      </c>
      <c r="C49" s="444">
        <f t="shared" si="0"/>
        <v>0</v>
      </c>
      <c r="D49" s="444">
        <f t="shared" si="1"/>
        <v>0</v>
      </c>
      <c r="E49" s="444">
        <f t="shared" si="2"/>
        <v>0</v>
      </c>
      <c r="F49" s="444">
        <f t="shared" si="3"/>
        <v>0</v>
      </c>
      <c r="G49" s="239"/>
      <c r="H49" s="446">
        <f t="shared" si="4"/>
        <v>0</v>
      </c>
      <c r="I49" s="446" t="e">
        <f t="shared" si="5"/>
        <v>#VALUE!</v>
      </c>
      <c r="J49" s="446">
        <f t="shared" si="6"/>
        <v>0</v>
      </c>
      <c r="K49" s="446">
        <f t="shared" si="7"/>
        <v>0</v>
      </c>
      <c r="L49" s="638"/>
      <c r="M49" s="673" t="str">
        <f t="shared" si="15"/>
        <v/>
      </c>
      <c r="N49" s="446">
        <f t="shared" si="8"/>
        <v>0</v>
      </c>
      <c r="O49" s="446">
        <f t="shared" si="16"/>
        <v>0</v>
      </c>
      <c r="P49" s="446">
        <f t="shared" si="18"/>
        <v>0</v>
      </c>
      <c r="Q49" s="446">
        <f t="shared" si="18"/>
        <v>0</v>
      </c>
      <c r="R49" s="446">
        <f>IFERROR(IF(VerBer,IF($M49&lt;INT(R$5),0,IF($M49=INT(R$2),R$12,IF($M49&gt;INT(R$2),R$12*(1+R$9)^(IF($M49-R$5&lt;=0,0,$M49-IF(R$5&lt;R$2,R$2,R$5))),0))),0),0)</f>
        <v>0</v>
      </c>
      <c r="S49" s="215"/>
      <c r="U49" s="459">
        <f t="shared" si="17"/>
        <v>0</v>
      </c>
      <c r="V49" s="459">
        <f t="shared" si="13"/>
        <v>0</v>
      </c>
      <c r="W49" s="459">
        <f t="shared" si="14"/>
        <v>0</v>
      </c>
    </row>
    <row r="50" spans="1:23">
      <c r="A50" s="341"/>
      <c r="B50" s="240" t="str">
        <f t="shared" si="12"/>
        <v/>
      </c>
      <c r="C50" s="444">
        <f t="shared" ref="C50:C81" si="19">IFERROR(IF(QuellVersrg,IF($B50&lt;INT(H$5),0,IF($B50=INT(H$2),H$12,IF($B50&gt;INT(H$2),H$12*(1+H$9)^(IF($B50-H$5&lt;=0,0,$B50-IF(H$5&lt;H$2,H$2,H$5))),0))),0),0)</f>
        <v>0</v>
      </c>
      <c r="D50" s="444">
        <f t="shared" ref="D50:D81" si="20">IFERROR(IF(DRVPfl,IF($B50&lt;INT(I$5),0,IF($B50=INT(I$2),I$12,IF($B50&gt;INT(I$2),I$12*(1+I$9)^(IF($B50-I$5&lt;=0,0,$B50-IF(I$5&lt;I$2,I$2,I$5))),0))),0),0)</f>
        <v>0</v>
      </c>
      <c r="E50" s="444">
        <f t="shared" ref="E50:E81" si="21">IFERROR(IF(VersAusglKPfl,IF($B50&lt;INT(J$5),0,IF($B50=INT(J$2),J$12,IF($B50&gt;INT(J$2),J$12*(1+J$9)^(IF($B50-J$5&lt;=0,0,$B50-IF(J$5&lt;J$2,J$2,J$5))),0))),0),0)</f>
        <v>0</v>
      </c>
      <c r="F50" s="444">
        <f t="shared" ref="F50:F81" si="22">IFERROR(IF(SonstPfl,IF($B50&lt;INT(K$5),0,IF($B50=INT(K$2),K$12,IF($B50&gt;INT(K$2),K$12*(1+K$9)^(IF($B50-K$5&lt;=0,0,$B50-IF(K$5&lt;K$2,K$2,K$5))),0))),0),0)</f>
        <v>0</v>
      </c>
      <c r="G50" s="239"/>
      <c r="H50" s="445">
        <f t="shared" ref="H50:H81" si="23">C50*12*IF(AND(INT(H$5)=B50,H$5&gt;INT(H$5)),1-(H$5-INT(H$5)),1)</f>
        <v>0</v>
      </c>
      <c r="I50" s="445" t="e">
        <f t="shared" ref="I50:I81" si="24">D50*12*IF(AND(INT(I$5)=$B50,I$5&gt;INT(I$5)),1-(I$5-INT(I$5)),1)</f>
        <v>#VALUE!</v>
      </c>
      <c r="J50" s="445">
        <f t="shared" ref="J50:J81" si="25">E50*12*IF(AND(INT(J$5)=$B50,J$5&gt;INT(J$5)),1-(J$5-INT(J$5)),1)</f>
        <v>0</v>
      </c>
      <c r="K50" s="445">
        <f t="shared" ref="K50:K81" si="26">F50*12*IF(AND(INT(K$5)=$B50,K$5&gt;INT(K$5)),1-(K$5-INT(K$5)),1)</f>
        <v>0</v>
      </c>
      <c r="L50" s="637"/>
      <c r="M50" s="671" t="str">
        <f t="shared" si="15"/>
        <v/>
      </c>
      <c r="N50" s="445">
        <f t="shared" ref="N50:N81" si="27">IFERROR(IF(AND(VersBer,DRVAusglBerJa),IF($M50&lt;INT(O$5),0,IF($M50=INT(O$2),O$12,IF($M50&gt;INT(O$2),O$12*(1+O$9)^(IF($M50-O$5&lt;=0,0,$M50-IF(O$5&lt;O$2,O$2,O$5))),0))),0),0)</f>
        <v>0</v>
      </c>
      <c r="O50" s="445">
        <f t="shared" si="16"/>
        <v>0</v>
      </c>
      <c r="P50" s="445">
        <f t="shared" si="18"/>
        <v>0</v>
      </c>
      <c r="Q50" s="445">
        <f t="shared" si="18"/>
        <v>0</v>
      </c>
      <c r="R50" s="445">
        <f>IFERROR(IF(VerBer,IF($M50&lt;INT(R$5),0,IF($M50=INT(R$2),R$12,IF($M50&gt;INT(R$2),R$12*(1+R$9)^(IF($M50-R$5&lt;=0,0,$M50-IF(R$5&lt;R$2,R$2,R$5))),0))),0),0)</f>
        <v>0</v>
      </c>
      <c r="S50" s="215"/>
      <c r="U50" s="459">
        <f t="shared" si="17"/>
        <v>0</v>
      </c>
      <c r="V50" s="459">
        <f t="shared" si="13"/>
        <v>0</v>
      </c>
      <c r="W50" s="459">
        <f t="shared" si="14"/>
        <v>0</v>
      </c>
    </row>
    <row r="51" spans="1:23">
      <c r="A51" s="341"/>
      <c r="B51" s="240" t="str">
        <f t="shared" ref="B51:B82" si="28">IFERROR(IF(B50+1&lt;IF(Endalter=0,EndalterDRV,Endalter),B50+1,""),"")</f>
        <v/>
      </c>
      <c r="C51" s="444">
        <f t="shared" si="19"/>
        <v>0</v>
      </c>
      <c r="D51" s="444">
        <f t="shared" si="20"/>
        <v>0</v>
      </c>
      <c r="E51" s="444">
        <f t="shared" si="21"/>
        <v>0</v>
      </c>
      <c r="F51" s="444">
        <f t="shared" si="22"/>
        <v>0</v>
      </c>
      <c r="G51" s="239"/>
      <c r="H51" s="446">
        <f t="shared" si="23"/>
        <v>0</v>
      </c>
      <c r="I51" s="446" t="e">
        <f t="shared" si="24"/>
        <v>#VALUE!</v>
      </c>
      <c r="J51" s="446">
        <f t="shared" si="25"/>
        <v>0</v>
      </c>
      <c r="K51" s="446">
        <f t="shared" si="26"/>
        <v>0</v>
      </c>
      <c r="L51" s="638"/>
      <c r="M51" s="673" t="str">
        <f t="shared" si="15"/>
        <v/>
      </c>
      <c r="N51" s="446">
        <f t="shared" si="27"/>
        <v>0</v>
      </c>
      <c r="O51" s="446">
        <f t="shared" si="16"/>
        <v>0</v>
      </c>
      <c r="P51" s="446">
        <f t="shared" si="18"/>
        <v>0</v>
      </c>
      <c r="Q51" s="446">
        <f t="shared" si="18"/>
        <v>0</v>
      </c>
      <c r="R51" s="446">
        <f>IFERROR(IF(VerBer,IF($M51&lt;INT(R$5),0,IF($M51=INT(R$2),R$12,IF($M51&gt;INT(R$2),R$12*(1+R$9)^(IF($M51-R$5&lt;=0,0,$M51-IF(R$5&lt;R$2,R$2,R$5))),0))),0),0)</f>
        <v>0</v>
      </c>
      <c r="S51" s="215"/>
      <c r="U51" s="459">
        <f t="shared" si="17"/>
        <v>0</v>
      </c>
      <c r="V51" s="459">
        <f t="shared" si="13"/>
        <v>0</v>
      </c>
      <c r="W51" s="459">
        <f t="shared" si="14"/>
        <v>0</v>
      </c>
    </row>
    <row r="52" spans="1:23">
      <c r="A52" s="341"/>
      <c r="B52" s="240" t="str">
        <f t="shared" si="28"/>
        <v/>
      </c>
      <c r="C52" s="444">
        <f t="shared" si="19"/>
        <v>0</v>
      </c>
      <c r="D52" s="444">
        <f t="shared" si="20"/>
        <v>0</v>
      </c>
      <c r="E52" s="444">
        <f t="shared" si="21"/>
        <v>0</v>
      </c>
      <c r="F52" s="444">
        <f t="shared" si="22"/>
        <v>0</v>
      </c>
      <c r="G52" s="239"/>
      <c r="H52" s="445">
        <f t="shared" si="23"/>
        <v>0</v>
      </c>
      <c r="I52" s="445" t="e">
        <f t="shared" si="24"/>
        <v>#VALUE!</v>
      </c>
      <c r="J52" s="445">
        <f t="shared" si="25"/>
        <v>0</v>
      </c>
      <c r="K52" s="445">
        <f t="shared" si="26"/>
        <v>0</v>
      </c>
      <c r="L52" s="637"/>
      <c r="M52" s="671" t="str">
        <f t="shared" si="15"/>
        <v/>
      </c>
      <c r="N52" s="445">
        <f t="shared" si="27"/>
        <v>0</v>
      </c>
      <c r="O52" s="445">
        <f t="shared" si="16"/>
        <v>0</v>
      </c>
      <c r="P52" s="445">
        <f t="shared" si="18"/>
        <v>0</v>
      </c>
      <c r="Q52" s="445">
        <f t="shared" si="18"/>
        <v>0</v>
      </c>
      <c r="R52" s="445">
        <f>IFERROR(IF(VerBer,IF($M52&lt;INT(R$5),0,IF($M52=INT(R$2),R$12,IF($M52&gt;INT(R$2),R$12*(1+R$9)^(IF($M52-R$5&lt;=0,0,$M52-IF(R$5&lt;R$2,R$2,R$5))),0))),0),0)</f>
        <v>0</v>
      </c>
      <c r="S52" s="215"/>
      <c r="U52" s="459">
        <f t="shared" si="17"/>
        <v>0</v>
      </c>
      <c r="V52" s="459">
        <f t="shared" si="13"/>
        <v>0</v>
      </c>
      <c r="W52" s="459">
        <f t="shared" si="14"/>
        <v>0</v>
      </c>
    </row>
    <row r="53" spans="1:23">
      <c r="A53" s="341"/>
      <c r="B53" s="240" t="str">
        <f t="shared" si="28"/>
        <v/>
      </c>
      <c r="C53" s="444">
        <f t="shared" si="19"/>
        <v>0</v>
      </c>
      <c r="D53" s="444">
        <f t="shared" si="20"/>
        <v>0</v>
      </c>
      <c r="E53" s="444">
        <f t="shared" si="21"/>
        <v>0</v>
      </c>
      <c r="F53" s="444">
        <f t="shared" si="22"/>
        <v>0</v>
      </c>
      <c r="G53" s="239"/>
      <c r="H53" s="446">
        <f t="shared" si="23"/>
        <v>0</v>
      </c>
      <c r="I53" s="446" t="e">
        <f t="shared" si="24"/>
        <v>#VALUE!</v>
      </c>
      <c r="J53" s="446">
        <f t="shared" si="25"/>
        <v>0</v>
      </c>
      <c r="K53" s="446">
        <f t="shared" si="26"/>
        <v>0</v>
      </c>
      <c r="L53" s="638"/>
      <c r="M53" s="673" t="str">
        <f t="shared" si="15"/>
        <v/>
      </c>
      <c r="N53" s="446">
        <f t="shared" si="27"/>
        <v>0</v>
      </c>
      <c r="O53" s="446">
        <f t="shared" si="16"/>
        <v>0</v>
      </c>
      <c r="P53" s="446">
        <f t="shared" si="18"/>
        <v>0</v>
      </c>
      <c r="Q53" s="446">
        <f t="shared" si="18"/>
        <v>0</v>
      </c>
      <c r="R53" s="446">
        <f>IFERROR(IF(VerBer,IF($M53&lt;INT(R$5),0,IF($M53=INT(R$2),R$12,IF($M53&gt;INT(R$2),R$12*(1+R$9)^(IF($M53-R$5&lt;=0,0,$M53-IF(R$5&lt;R$2,R$2,R$5))),0))),0),0)</f>
        <v>0</v>
      </c>
      <c r="S53" s="215"/>
      <c r="U53" s="459">
        <f t="shared" si="17"/>
        <v>0</v>
      </c>
      <c r="V53" s="459">
        <f t="shared" si="13"/>
        <v>0</v>
      </c>
      <c r="W53" s="459">
        <f t="shared" si="14"/>
        <v>0</v>
      </c>
    </row>
    <row r="54" spans="1:23">
      <c r="A54" s="341"/>
      <c r="B54" s="240" t="str">
        <f t="shared" si="28"/>
        <v/>
      </c>
      <c r="C54" s="444">
        <f t="shared" si="19"/>
        <v>0</v>
      </c>
      <c r="D54" s="444">
        <f t="shared" si="20"/>
        <v>0</v>
      </c>
      <c r="E54" s="444">
        <f t="shared" si="21"/>
        <v>0</v>
      </c>
      <c r="F54" s="444">
        <f t="shared" si="22"/>
        <v>0</v>
      </c>
      <c r="G54" s="239"/>
      <c r="H54" s="445">
        <f t="shared" si="23"/>
        <v>0</v>
      </c>
      <c r="I54" s="445" t="e">
        <f t="shared" si="24"/>
        <v>#VALUE!</v>
      </c>
      <c r="J54" s="445">
        <f t="shared" si="25"/>
        <v>0</v>
      </c>
      <c r="K54" s="445">
        <f t="shared" si="26"/>
        <v>0</v>
      </c>
      <c r="L54" s="637"/>
      <c r="M54" s="671" t="str">
        <f t="shared" si="15"/>
        <v/>
      </c>
      <c r="N54" s="445">
        <f t="shared" si="27"/>
        <v>0</v>
      </c>
      <c r="O54" s="445">
        <f t="shared" si="16"/>
        <v>0</v>
      </c>
      <c r="P54" s="445">
        <f t="shared" si="18"/>
        <v>0</v>
      </c>
      <c r="Q54" s="445">
        <f t="shared" si="18"/>
        <v>0</v>
      </c>
      <c r="R54" s="445">
        <f>IFERROR(IF(VerBer,IF($M54&lt;INT(R$5),0,IF($M54=INT(R$2),R$12,IF($M54&gt;INT(R$2),R$12*(1+R$9)^(IF($M54-R$5&lt;=0,0,$M54-IF(R$5&lt;R$2,R$2,R$5))),0))),0),0)</f>
        <v>0</v>
      </c>
      <c r="S54" s="215"/>
      <c r="U54" s="459">
        <f t="shared" si="17"/>
        <v>0</v>
      </c>
      <c r="V54" s="459">
        <f t="shared" si="13"/>
        <v>0</v>
      </c>
      <c r="W54" s="459">
        <f t="shared" si="14"/>
        <v>0</v>
      </c>
    </row>
    <row r="55" spans="1:23">
      <c r="A55" s="341"/>
      <c r="B55" s="240" t="str">
        <f t="shared" si="28"/>
        <v/>
      </c>
      <c r="C55" s="444">
        <f t="shared" si="19"/>
        <v>0</v>
      </c>
      <c r="D55" s="444">
        <f t="shared" si="20"/>
        <v>0</v>
      </c>
      <c r="E55" s="444">
        <f t="shared" si="21"/>
        <v>0</v>
      </c>
      <c r="F55" s="444">
        <f t="shared" si="22"/>
        <v>0</v>
      </c>
      <c r="G55" s="239"/>
      <c r="H55" s="446">
        <f t="shared" si="23"/>
        <v>0</v>
      </c>
      <c r="I55" s="446" t="e">
        <f t="shared" si="24"/>
        <v>#VALUE!</v>
      </c>
      <c r="J55" s="446">
        <f t="shared" si="25"/>
        <v>0</v>
      </c>
      <c r="K55" s="446">
        <f t="shared" si="26"/>
        <v>0</v>
      </c>
      <c r="L55" s="638"/>
      <c r="M55" s="673" t="str">
        <f t="shared" si="15"/>
        <v/>
      </c>
      <c r="N55" s="446">
        <f t="shared" si="27"/>
        <v>0</v>
      </c>
      <c r="O55" s="446">
        <f t="shared" si="16"/>
        <v>0</v>
      </c>
      <c r="P55" s="446">
        <f t="shared" si="18"/>
        <v>0</v>
      </c>
      <c r="Q55" s="446">
        <f t="shared" si="18"/>
        <v>0</v>
      </c>
      <c r="R55" s="446">
        <f>IFERROR(IF(VerBer,IF($M55&lt;INT(R$5),0,IF($M55=INT(R$2),R$12,IF($M55&gt;INT(R$2),R$12*(1+R$9)^(IF($M55-R$5&lt;=0,0,$M55-IF(R$5&lt;R$2,R$2,R$5))),0))),0),0)</f>
        <v>0</v>
      </c>
      <c r="S55" s="215"/>
      <c r="U55" s="459">
        <f t="shared" si="17"/>
        <v>0</v>
      </c>
      <c r="V55" s="459">
        <f t="shared" si="13"/>
        <v>0</v>
      </c>
      <c r="W55" s="459">
        <f t="shared" si="14"/>
        <v>0</v>
      </c>
    </row>
    <row r="56" spans="1:23">
      <c r="A56" s="341"/>
      <c r="B56" s="240" t="str">
        <f t="shared" si="28"/>
        <v/>
      </c>
      <c r="C56" s="444">
        <f t="shared" si="19"/>
        <v>0</v>
      </c>
      <c r="D56" s="444">
        <f t="shared" si="20"/>
        <v>0</v>
      </c>
      <c r="E56" s="444">
        <f t="shared" si="21"/>
        <v>0</v>
      </c>
      <c r="F56" s="444">
        <f t="shared" si="22"/>
        <v>0</v>
      </c>
      <c r="G56" s="239"/>
      <c r="H56" s="445">
        <f t="shared" si="23"/>
        <v>0</v>
      </c>
      <c r="I56" s="445" t="e">
        <f t="shared" si="24"/>
        <v>#VALUE!</v>
      </c>
      <c r="J56" s="445">
        <f t="shared" si="25"/>
        <v>0</v>
      </c>
      <c r="K56" s="445">
        <f t="shared" si="26"/>
        <v>0</v>
      </c>
      <c r="L56" s="637"/>
      <c r="M56" s="671" t="str">
        <f t="shared" si="15"/>
        <v/>
      </c>
      <c r="N56" s="445">
        <f t="shared" si="27"/>
        <v>0</v>
      </c>
      <c r="O56" s="445">
        <f t="shared" si="16"/>
        <v>0</v>
      </c>
      <c r="P56" s="445">
        <f t="shared" si="18"/>
        <v>0</v>
      </c>
      <c r="Q56" s="445">
        <f t="shared" si="18"/>
        <v>0</v>
      </c>
      <c r="R56" s="445">
        <f>IFERROR(IF(VerBer,IF($M56&lt;INT(R$5),0,IF($M56=INT(R$2),R$12,IF($M56&gt;INT(R$2),R$12*(1+R$9)^(IF($M56-R$5&lt;=0,0,$M56-IF(R$5&lt;R$2,R$2,R$5))),0))),0),0)</f>
        <v>0</v>
      </c>
      <c r="S56" s="215"/>
      <c r="U56" s="459">
        <f t="shared" si="17"/>
        <v>0</v>
      </c>
      <c r="V56" s="459">
        <f t="shared" si="13"/>
        <v>0</v>
      </c>
      <c r="W56" s="459">
        <f t="shared" si="14"/>
        <v>0</v>
      </c>
    </row>
    <row r="57" spans="1:23">
      <c r="A57" s="341"/>
      <c r="B57" s="240" t="str">
        <f t="shared" si="28"/>
        <v/>
      </c>
      <c r="C57" s="444">
        <f t="shared" si="19"/>
        <v>0</v>
      </c>
      <c r="D57" s="444">
        <f t="shared" si="20"/>
        <v>0</v>
      </c>
      <c r="E57" s="444">
        <f t="shared" si="21"/>
        <v>0</v>
      </c>
      <c r="F57" s="444">
        <f t="shared" si="22"/>
        <v>0</v>
      </c>
      <c r="G57" s="239"/>
      <c r="H57" s="446">
        <f t="shared" si="23"/>
        <v>0</v>
      </c>
      <c r="I57" s="446" t="e">
        <f t="shared" si="24"/>
        <v>#VALUE!</v>
      </c>
      <c r="J57" s="446">
        <f t="shared" si="25"/>
        <v>0</v>
      </c>
      <c r="K57" s="446">
        <f t="shared" si="26"/>
        <v>0</v>
      </c>
      <c r="L57" s="638"/>
      <c r="M57" s="673" t="str">
        <f t="shared" si="15"/>
        <v/>
      </c>
      <c r="N57" s="446">
        <f t="shared" si="27"/>
        <v>0</v>
      </c>
      <c r="O57" s="446">
        <f t="shared" si="16"/>
        <v>0</v>
      </c>
      <c r="P57" s="446">
        <f t="shared" si="18"/>
        <v>0</v>
      </c>
      <c r="Q57" s="446">
        <f t="shared" si="18"/>
        <v>0</v>
      </c>
      <c r="R57" s="446">
        <f>IFERROR(IF(VerBer,IF($M57&lt;INT(R$5),0,IF($M57=INT(R$2),R$12,IF($M57&gt;INT(R$2),R$12*(1+R$9)^(IF($M57-R$5&lt;=0,0,$M57-IF(R$5&lt;R$2,R$2,R$5))),0))),0),0)</f>
        <v>0</v>
      </c>
      <c r="S57" s="215"/>
      <c r="U57" s="459">
        <f t="shared" si="17"/>
        <v>0</v>
      </c>
      <c r="V57" s="459">
        <f t="shared" si="13"/>
        <v>0</v>
      </c>
      <c r="W57" s="459">
        <f t="shared" si="14"/>
        <v>0</v>
      </c>
    </row>
    <row r="58" spans="1:23">
      <c r="A58" s="341"/>
      <c r="B58" s="240" t="str">
        <f t="shared" si="28"/>
        <v/>
      </c>
      <c r="C58" s="444">
        <f t="shared" si="19"/>
        <v>0</v>
      </c>
      <c r="D58" s="444">
        <f t="shared" si="20"/>
        <v>0</v>
      </c>
      <c r="E58" s="444">
        <f t="shared" si="21"/>
        <v>0</v>
      </c>
      <c r="F58" s="444">
        <f t="shared" si="22"/>
        <v>0</v>
      </c>
      <c r="G58" s="239"/>
      <c r="H58" s="445">
        <f t="shared" si="23"/>
        <v>0</v>
      </c>
      <c r="I58" s="445" t="e">
        <f t="shared" si="24"/>
        <v>#VALUE!</v>
      </c>
      <c r="J58" s="445">
        <f t="shared" si="25"/>
        <v>0</v>
      </c>
      <c r="K58" s="445">
        <f t="shared" si="26"/>
        <v>0</v>
      </c>
      <c r="L58" s="637"/>
      <c r="M58" s="671" t="str">
        <f t="shared" si="15"/>
        <v/>
      </c>
      <c r="N58" s="445">
        <f t="shared" si="27"/>
        <v>0</v>
      </c>
      <c r="O58" s="445">
        <f t="shared" si="16"/>
        <v>0</v>
      </c>
      <c r="P58" s="445">
        <f t="shared" ref="P58:Q70" si="29">IFERROR(IF(VersBer,IF($M58&lt;INT(P$5),0,IF($M58=INT(P$2),P$12,IF($M58&gt;INT(P$2),P$12*(1+P$9)^(IF($M58-P$5&lt;=0,0,$M58-IF(P$5&lt;P$2,P$2,P$5))),0))),0),0)</f>
        <v>0</v>
      </c>
      <c r="Q58" s="445">
        <f t="shared" si="29"/>
        <v>0</v>
      </c>
      <c r="R58" s="445">
        <f>IFERROR(IF(VerBer,IF($M58&lt;INT(R$5),0,IF($M58=INT(R$2),R$12,IF($M58&gt;INT(R$2),R$12*(1+R$9)^(IF($M58-R$5&lt;=0,0,$M58-IF(R$5&lt;R$2,R$2,R$5))),0))),0),0)</f>
        <v>0</v>
      </c>
      <c r="S58" s="215"/>
      <c r="U58" s="459">
        <f t="shared" si="17"/>
        <v>0</v>
      </c>
      <c r="V58" s="459">
        <f t="shared" si="13"/>
        <v>0</v>
      </c>
      <c r="W58" s="459">
        <f t="shared" si="14"/>
        <v>0</v>
      </c>
    </row>
    <row r="59" spans="1:23">
      <c r="A59" s="341"/>
      <c r="B59" s="240" t="str">
        <f t="shared" si="28"/>
        <v/>
      </c>
      <c r="C59" s="444">
        <f t="shared" si="19"/>
        <v>0</v>
      </c>
      <c r="D59" s="444">
        <f t="shared" si="20"/>
        <v>0</v>
      </c>
      <c r="E59" s="444">
        <f t="shared" si="21"/>
        <v>0</v>
      </c>
      <c r="F59" s="444">
        <f t="shared" si="22"/>
        <v>0</v>
      </c>
      <c r="G59" s="239"/>
      <c r="H59" s="446">
        <f t="shared" si="23"/>
        <v>0</v>
      </c>
      <c r="I59" s="446" t="e">
        <f t="shared" si="24"/>
        <v>#VALUE!</v>
      </c>
      <c r="J59" s="446">
        <f t="shared" si="25"/>
        <v>0</v>
      </c>
      <c r="K59" s="446">
        <f t="shared" si="26"/>
        <v>0</v>
      </c>
      <c r="L59" s="638"/>
      <c r="M59" s="673" t="str">
        <f t="shared" si="15"/>
        <v/>
      </c>
      <c r="N59" s="446">
        <f t="shared" si="27"/>
        <v>0</v>
      </c>
      <c r="O59" s="446">
        <f t="shared" si="16"/>
        <v>0</v>
      </c>
      <c r="P59" s="446">
        <f t="shared" si="29"/>
        <v>0</v>
      </c>
      <c r="Q59" s="446">
        <f t="shared" si="29"/>
        <v>0</v>
      </c>
      <c r="R59" s="446">
        <f>IFERROR(IF(VerBer,IF($M59&lt;INT(R$5),0,IF($M59=INT(R$2),R$12,IF($M59&gt;INT(R$2),R$12*(1+R$9)^(IF($M59-R$5&lt;=0,0,$M59-IF(R$5&lt;R$2,R$2,R$5))),0))),0),0)</f>
        <v>0</v>
      </c>
      <c r="S59" s="215"/>
      <c r="U59" s="459">
        <f t="shared" si="17"/>
        <v>0</v>
      </c>
      <c r="V59" s="459">
        <f t="shared" si="13"/>
        <v>0</v>
      </c>
      <c r="W59" s="459">
        <f t="shared" si="14"/>
        <v>0</v>
      </c>
    </row>
    <row r="60" spans="1:23">
      <c r="A60" s="341"/>
      <c r="B60" s="240" t="str">
        <f t="shared" si="28"/>
        <v/>
      </c>
      <c r="C60" s="444">
        <f t="shared" si="19"/>
        <v>0</v>
      </c>
      <c r="D60" s="444">
        <f t="shared" si="20"/>
        <v>0</v>
      </c>
      <c r="E60" s="444">
        <f t="shared" si="21"/>
        <v>0</v>
      </c>
      <c r="F60" s="444">
        <f t="shared" si="22"/>
        <v>0</v>
      </c>
      <c r="G60" s="239"/>
      <c r="H60" s="445">
        <f t="shared" si="23"/>
        <v>0</v>
      </c>
      <c r="I60" s="445" t="e">
        <f t="shared" si="24"/>
        <v>#VALUE!</v>
      </c>
      <c r="J60" s="445">
        <f t="shared" si="25"/>
        <v>0</v>
      </c>
      <c r="K60" s="445">
        <f t="shared" si="26"/>
        <v>0</v>
      </c>
      <c r="L60" s="637"/>
      <c r="M60" s="671" t="str">
        <f t="shared" si="15"/>
        <v/>
      </c>
      <c r="N60" s="445">
        <f t="shared" si="27"/>
        <v>0</v>
      </c>
      <c r="O60" s="445">
        <f t="shared" si="16"/>
        <v>0</v>
      </c>
      <c r="P60" s="445">
        <f t="shared" si="29"/>
        <v>0</v>
      </c>
      <c r="Q60" s="445">
        <f t="shared" si="29"/>
        <v>0</v>
      </c>
      <c r="R60" s="445">
        <f>IFERROR(IF(VerBer,IF($M60&lt;INT(R$5),0,IF($M60=INT(R$2),R$12,IF($M60&gt;INT(R$2),R$12*(1+R$9)^(IF($M60-R$5&lt;=0,0,$M60-IF(R$5&lt;R$2,R$2,R$5))),0))),0),0)</f>
        <v>0</v>
      </c>
      <c r="S60" s="215"/>
      <c r="U60" s="459">
        <f t="shared" si="17"/>
        <v>0</v>
      </c>
      <c r="V60" s="459">
        <f t="shared" si="13"/>
        <v>0</v>
      </c>
      <c r="W60" s="459">
        <f t="shared" si="14"/>
        <v>0</v>
      </c>
    </row>
    <row r="61" spans="1:23">
      <c r="A61" s="341"/>
      <c r="B61" s="240" t="str">
        <f t="shared" si="28"/>
        <v/>
      </c>
      <c r="C61" s="444">
        <f t="shared" si="19"/>
        <v>0</v>
      </c>
      <c r="D61" s="444">
        <f t="shared" si="20"/>
        <v>0</v>
      </c>
      <c r="E61" s="444">
        <f t="shared" si="21"/>
        <v>0</v>
      </c>
      <c r="F61" s="444">
        <f t="shared" si="22"/>
        <v>0</v>
      </c>
      <c r="G61" s="239"/>
      <c r="H61" s="446">
        <f t="shared" si="23"/>
        <v>0</v>
      </c>
      <c r="I61" s="446" t="e">
        <f t="shared" si="24"/>
        <v>#VALUE!</v>
      </c>
      <c r="J61" s="446">
        <f t="shared" si="25"/>
        <v>0</v>
      </c>
      <c r="K61" s="446">
        <f t="shared" si="26"/>
        <v>0</v>
      </c>
      <c r="L61" s="638"/>
      <c r="M61" s="673" t="str">
        <f t="shared" si="15"/>
        <v/>
      </c>
      <c r="N61" s="446">
        <f t="shared" si="27"/>
        <v>0</v>
      </c>
      <c r="O61" s="446">
        <f t="shared" si="16"/>
        <v>0</v>
      </c>
      <c r="P61" s="446">
        <f t="shared" si="29"/>
        <v>0</v>
      </c>
      <c r="Q61" s="446">
        <f t="shared" si="29"/>
        <v>0</v>
      </c>
      <c r="R61" s="446">
        <f>IFERROR(IF(VerBer,IF($M61&lt;INT(R$5),0,IF($M61=INT(R$2),R$12,IF($M61&gt;INT(R$2),R$12*(1+R$9)^(IF($M61-R$5&lt;=0,0,$M61-IF(R$5&lt;R$2,R$2,R$5))),0))),0),0)</f>
        <v>0</v>
      </c>
      <c r="S61" s="215"/>
      <c r="U61" s="459">
        <f t="shared" si="17"/>
        <v>0</v>
      </c>
      <c r="V61" s="459">
        <f t="shared" si="13"/>
        <v>0</v>
      </c>
      <c r="W61" s="459">
        <f t="shared" si="14"/>
        <v>0</v>
      </c>
    </row>
    <row r="62" spans="1:23">
      <c r="A62" s="341"/>
      <c r="B62" s="240" t="str">
        <f t="shared" si="28"/>
        <v/>
      </c>
      <c r="C62" s="444">
        <f t="shared" si="19"/>
        <v>0</v>
      </c>
      <c r="D62" s="444">
        <f t="shared" si="20"/>
        <v>0</v>
      </c>
      <c r="E62" s="444">
        <f t="shared" si="21"/>
        <v>0</v>
      </c>
      <c r="F62" s="444">
        <f t="shared" si="22"/>
        <v>0</v>
      </c>
      <c r="G62" s="239"/>
      <c r="H62" s="445">
        <f t="shared" si="23"/>
        <v>0</v>
      </c>
      <c r="I62" s="445" t="e">
        <f t="shared" si="24"/>
        <v>#VALUE!</v>
      </c>
      <c r="J62" s="445">
        <f t="shared" si="25"/>
        <v>0</v>
      </c>
      <c r="K62" s="445">
        <f t="shared" si="26"/>
        <v>0</v>
      </c>
      <c r="L62" s="637"/>
      <c r="M62" s="671" t="str">
        <f t="shared" si="15"/>
        <v/>
      </c>
      <c r="N62" s="445">
        <f t="shared" si="27"/>
        <v>0</v>
      </c>
      <c r="O62" s="445">
        <f t="shared" si="16"/>
        <v>0</v>
      </c>
      <c r="P62" s="445">
        <f t="shared" si="29"/>
        <v>0</v>
      </c>
      <c r="Q62" s="445">
        <f t="shared" si="29"/>
        <v>0</v>
      </c>
      <c r="R62" s="445">
        <f>IFERROR(IF(VerBer,IF($M62&lt;INT(R$5),0,IF($M62=INT(R$2),R$12,IF($M62&gt;INT(R$2),R$12*(1+R$9)^(IF($M62-R$5&lt;=0,0,$M62-IF(R$5&lt;R$2,R$2,R$5))),0))),0),0)</f>
        <v>0</v>
      </c>
      <c r="S62" s="215"/>
      <c r="U62" s="459">
        <f t="shared" si="17"/>
        <v>0</v>
      </c>
      <c r="V62" s="459">
        <f t="shared" si="13"/>
        <v>0</v>
      </c>
      <c r="W62" s="459">
        <f t="shared" si="14"/>
        <v>0</v>
      </c>
    </row>
    <row r="63" spans="1:23">
      <c r="A63" s="341"/>
      <c r="B63" s="240" t="str">
        <f t="shared" si="28"/>
        <v/>
      </c>
      <c r="C63" s="444">
        <f t="shared" si="19"/>
        <v>0</v>
      </c>
      <c r="D63" s="444">
        <f t="shared" si="20"/>
        <v>0</v>
      </c>
      <c r="E63" s="444">
        <f t="shared" si="21"/>
        <v>0</v>
      </c>
      <c r="F63" s="444">
        <f t="shared" si="22"/>
        <v>0</v>
      </c>
      <c r="G63" s="239"/>
      <c r="H63" s="446">
        <f t="shared" si="23"/>
        <v>0</v>
      </c>
      <c r="I63" s="446" t="e">
        <f t="shared" si="24"/>
        <v>#VALUE!</v>
      </c>
      <c r="J63" s="446">
        <f t="shared" si="25"/>
        <v>0</v>
      </c>
      <c r="K63" s="446">
        <f t="shared" si="26"/>
        <v>0</v>
      </c>
      <c r="L63" s="638"/>
      <c r="M63" s="673" t="str">
        <f t="shared" si="15"/>
        <v/>
      </c>
      <c r="N63" s="446">
        <f t="shared" si="27"/>
        <v>0</v>
      </c>
      <c r="O63" s="446">
        <f t="shared" si="16"/>
        <v>0</v>
      </c>
      <c r="P63" s="446">
        <f t="shared" si="29"/>
        <v>0</v>
      </c>
      <c r="Q63" s="446">
        <f t="shared" si="29"/>
        <v>0</v>
      </c>
      <c r="R63" s="446">
        <f>IFERROR(IF(VerBer,IF($M63&lt;INT(R$5),0,IF($M63=INT(R$2),R$12,IF($M63&gt;INT(R$2),R$12*(1+R$9)^(IF($M63-R$5&lt;=0,0,$M63-IF(R$5&lt;R$2,R$2,R$5))),0))),0),0)</f>
        <v>0</v>
      </c>
      <c r="S63" s="215"/>
      <c r="U63" s="459">
        <f t="shared" si="17"/>
        <v>0</v>
      </c>
      <c r="V63" s="459">
        <f t="shared" si="13"/>
        <v>0</v>
      </c>
      <c r="W63" s="459">
        <f t="shared" si="14"/>
        <v>0</v>
      </c>
    </row>
    <row r="64" spans="1:23">
      <c r="A64" s="341"/>
      <c r="B64" s="240" t="str">
        <f t="shared" si="28"/>
        <v/>
      </c>
      <c r="C64" s="444">
        <f t="shared" si="19"/>
        <v>0</v>
      </c>
      <c r="D64" s="444">
        <f t="shared" si="20"/>
        <v>0</v>
      </c>
      <c r="E64" s="444">
        <f t="shared" si="21"/>
        <v>0</v>
      </c>
      <c r="F64" s="444">
        <f t="shared" si="22"/>
        <v>0</v>
      </c>
      <c r="G64" s="239"/>
      <c r="H64" s="445">
        <f t="shared" si="23"/>
        <v>0</v>
      </c>
      <c r="I64" s="445" t="e">
        <f t="shared" si="24"/>
        <v>#VALUE!</v>
      </c>
      <c r="J64" s="445">
        <f t="shared" si="25"/>
        <v>0</v>
      </c>
      <c r="K64" s="445">
        <f t="shared" si="26"/>
        <v>0</v>
      </c>
      <c r="L64" s="637"/>
      <c r="M64" s="671" t="str">
        <f t="shared" si="15"/>
        <v/>
      </c>
      <c r="N64" s="445">
        <f t="shared" si="27"/>
        <v>0</v>
      </c>
      <c r="O64" s="445">
        <f t="shared" si="16"/>
        <v>0</v>
      </c>
      <c r="P64" s="445">
        <f t="shared" si="29"/>
        <v>0</v>
      </c>
      <c r="Q64" s="445">
        <f t="shared" si="29"/>
        <v>0</v>
      </c>
      <c r="R64" s="445">
        <f>IFERROR(IF(VerBer,IF($M64&lt;INT(R$5),0,IF($M64=INT(R$2),R$12,IF($M64&gt;INT(R$2),R$12*(1+R$9)^(IF($M64-R$5&lt;=0,0,$M64-IF(R$5&lt;R$2,R$2,R$5))),0))),0),0)</f>
        <v>0</v>
      </c>
      <c r="S64" s="215"/>
      <c r="U64" s="459">
        <f t="shared" si="17"/>
        <v>0</v>
      </c>
      <c r="V64" s="459">
        <f t="shared" si="13"/>
        <v>0</v>
      </c>
      <c r="W64" s="459">
        <f t="shared" si="14"/>
        <v>0</v>
      </c>
    </row>
    <row r="65" spans="1:23">
      <c r="A65" s="341"/>
      <c r="B65" s="240" t="str">
        <f t="shared" si="28"/>
        <v/>
      </c>
      <c r="C65" s="444">
        <f t="shared" si="19"/>
        <v>0</v>
      </c>
      <c r="D65" s="444">
        <f t="shared" si="20"/>
        <v>0</v>
      </c>
      <c r="E65" s="444">
        <f t="shared" si="21"/>
        <v>0</v>
      </c>
      <c r="F65" s="444">
        <f t="shared" si="22"/>
        <v>0</v>
      </c>
      <c r="G65" s="239"/>
      <c r="H65" s="446">
        <f t="shared" si="23"/>
        <v>0</v>
      </c>
      <c r="I65" s="446" t="e">
        <f t="shared" si="24"/>
        <v>#VALUE!</v>
      </c>
      <c r="J65" s="446">
        <f t="shared" si="25"/>
        <v>0</v>
      </c>
      <c r="K65" s="446">
        <f t="shared" si="26"/>
        <v>0</v>
      </c>
      <c r="L65" s="638"/>
      <c r="M65" s="673" t="str">
        <f t="shared" si="15"/>
        <v/>
      </c>
      <c r="N65" s="446">
        <f t="shared" si="27"/>
        <v>0</v>
      </c>
      <c r="O65" s="446">
        <f t="shared" si="16"/>
        <v>0</v>
      </c>
      <c r="P65" s="446">
        <f t="shared" si="29"/>
        <v>0</v>
      </c>
      <c r="Q65" s="446">
        <f t="shared" si="29"/>
        <v>0</v>
      </c>
      <c r="R65" s="446">
        <f>IFERROR(IF(VerBer,IF($M65&lt;INT(R$5),0,IF($M65=INT(R$2),R$12,IF($M65&gt;INT(R$2),R$12*(1+R$9)^(IF($M65-R$5&lt;=0,0,$M65-IF(R$5&lt;R$2,R$2,R$5))),0))),0),0)</f>
        <v>0</v>
      </c>
      <c r="S65" s="215"/>
      <c r="U65" s="459">
        <f t="shared" si="17"/>
        <v>0</v>
      </c>
      <c r="V65" s="459">
        <f t="shared" si="13"/>
        <v>0</v>
      </c>
      <c r="W65" s="459">
        <f t="shared" si="14"/>
        <v>0</v>
      </c>
    </row>
    <row r="66" spans="1:23">
      <c r="A66" s="341"/>
      <c r="B66" s="240" t="str">
        <f t="shared" si="28"/>
        <v/>
      </c>
      <c r="C66" s="444">
        <f t="shared" si="19"/>
        <v>0</v>
      </c>
      <c r="D66" s="444">
        <f t="shared" si="20"/>
        <v>0</v>
      </c>
      <c r="E66" s="444">
        <f t="shared" si="21"/>
        <v>0</v>
      </c>
      <c r="F66" s="444">
        <f t="shared" si="22"/>
        <v>0</v>
      </c>
      <c r="G66" s="239"/>
      <c r="H66" s="445">
        <f t="shared" si="23"/>
        <v>0</v>
      </c>
      <c r="I66" s="445" t="e">
        <f t="shared" si="24"/>
        <v>#VALUE!</v>
      </c>
      <c r="J66" s="445">
        <f t="shared" si="25"/>
        <v>0</v>
      </c>
      <c r="K66" s="445">
        <f t="shared" si="26"/>
        <v>0</v>
      </c>
      <c r="L66" s="637"/>
      <c r="M66" s="671" t="str">
        <f t="shared" si="15"/>
        <v/>
      </c>
      <c r="N66" s="445">
        <f t="shared" si="27"/>
        <v>0</v>
      </c>
      <c r="O66" s="445">
        <f t="shared" si="16"/>
        <v>0</v>
      </c>
      <c r="P66" s="445">
        <f t="shared" si="29"/>
        <v>0</v>
      </c>
      <c r="Q66" s="445">
        <f t="shared" si="29"/>
        <v>0</v>
      </c>
      <c r="R66" s="445">
        <f>IFERROR(IF(VerBer,IF($M66&lt;INT(R$5),0,IF($M66=INT(R$2),R$12,IF($M66&gt;INT(R$2),R$12*(1+R$9)^(IF($M66-R$5&lt;=0,0,$M66-IF(R$5&lt;R$2,R$2,R$5))),0))),0),0)</f>
        <v>0</v>
      </c>
      <c r="S66" s="215"/>
      <c r="U66" s="459">
        <f t="shared" si="17"/>
        <v>0</v>
      </c>
      <c r="V66" s="459">
        <f t="shared" si="13"/>
        <v>0</v>
      </c>
      <c r="W66" s="459">
        <f t="shared" si="14"/>
        <v>0</v>
      </c>
    </row>
    <row r="67" spans="1:23">
      <c r="A67" s="341"/>
      <c r="B67" s="240" t="str">
        <f t="shared" si="28"/>
        <v/>
      </c>
      <c r="C67" s="444">
        <f t="shared" si="19"/>
        <v>0</v>
      </c>
      <c r="D67" s="444">
        <f t="shared" si="20"/>
        <v>0</v>
      </c>
      <c r="E67" s="444">
        <f t="shared" si="21"/>
        <v>0</v>
      </c>
      <c r="F67" s="444">
        <f t="shared" si="22"/>
        <v>0</v>
      </c>
      <c r="G67" s="239"/>
      <c r="H67" s="446">
        <f t="shared" si="23"/>
        <v>0</v>
      </c>
      <c r="I67" s="446" t="e">
        <f t="shared" si="24"/>
        <v>#VALUE!</v>
      </c>
      <c r="J67" s="446">
        <f t="shared" si="25"/>
        <v>0</v>
      </c>
      <c r="K67" s="446">
        <f t="shared" si="26"/>
        <v>0</v>
      </c>
      <c r="L67" s="638"/>
      <c r="M67" s="673" t="str">
        <f t="shared" si="15"/>
        <v/>
      </c>
      <c r="N67" s="446">
        <f t="shared" si="27"/>
        <v>0</v>
      </c>
      <c r="O67" s="446">
        <f t="shared" si="16"/>
        <v>0</v>
      </c>
      <c r="P67" s="446">
        <f t="shared" si="29"/>
        <v>0</v>
      </c>
      <c r="Q67" s="446">
        <f t="shared" si="29"/>
        <v>0</v>
      </c>
      <c r="R67" s="446">
        <f>IFERROR(IF(VerBer,IF($M67&lt;INT(R$5),0,IF($M67=INT(R$2),R$12,IF($M67&gt;INT(R$2),R$12*(1+R$9)^(IF($M67-R$5&lt;=0,0,$M67-IF(R$5&lt;R$2,R$2,R$5))),0))),0),0)</f>
        <v>0</v>
      </c>
      <c r="S67" s="215"/>
      <c r="U67" s="459">
        <f t="shared" si="17"/>
        <v>0</v>
      </c>
      <c r="V67" s="459">
        <f t="shared" si="13"/>
        <v>0</v>
      </c>
      <c r="W67" s="459">
        <f t="shared" si="14"/>
        <v>0</v>
      </c>
    </row>
    <row r="68" spans="1:23">
      <c r="A68" s="341"/>
      <c r="B68" s="240" t="str">
        <f t="shared" si="28"/>
        <v/>
      </c>
      <c r="C68" s="444">
        <f t="shared" si="19"/>
        <v>0</v>
      </c>
      <c r="D68" s="444">
        <f t="shared" si="20"/>
        <v>0</v>
      </c>
      <c r="E68" s="444">
        <f t="shared" si="21"/>
        <v>0</v>
      </c>
      <c r="F68" s="444">
        <f t="shared" si="22"/>
        <v>0</v>
      </c>
      <c r="G68" s="239"/>
      <c r="H68" s="445">
        <f t="shared" si="23"/>
        <v>0</v>
      </c>
      <c r="I68" s="445" t="e">
        <f t="shared" si="24"/>
        <v>#VALUE!</v>
      </c>
      <c r="J68" s="445">
        <f t="shared" si="25"/>
        <v>0</v>
      </c>
      <c r="K68" s="445">
        <f t="shared" si="26"/>
        <v>0</v>
      </c>
      <c r="L68" s="637"/>
      <c r="M68" s="671" t="str">
        <f t="shared" si="15"/>
        <v/>
      </c>
      <c r="N68" s="445">
        <f t="shared" si="27"/>
        <v>0</v>
      </c>
      <c r="O68" s="445">
        <f t="shared" si="16"/>
        <v>0</v>
      </c>
      <c r="P68" s="445">
        <f t="shared" si="29"/>
        <v>0</v>
      </c>
      <c r="Q68" s="445">
        <f t="shared" si="29"/>
        <v>0</v>
      </c>
      <c r="R68" s="445">
        <f>IFERROR(IF(VerBer,IF($M68&lt;INT(R$5),0,IF($M68=INT(R$2),R$12,IF($M68&gt;INT(R$2),R$12*(1+R$9)^(IF($M68-R$5&lt;=0,0,$M68-IF(R$5&lt;R$2,R$2,R$5))),0))),0),0)</f>
        <v>0</v>
      </c>
      <c r="S68" s="215"/>
      <c r="U68" s="459">
        <f t="shared" si="17"/>
        <v>0</v>
      </c>
      <c r="V68" s="459">
        <f t="shared" si="13"/>
        <v>0</v>
      </c>
      <c r="W68" s="459">
        <f t="shared" si="14"/>
        <v>0</v>
      </c>
    </row>
    <row r="69" spans="1:23">
      <c r="A69" s="341"/>
      <c r="B69" s="240" t="str">
        <f t="shared" si="28"/>
        <v/>
      </c>
      <c r="C69" s="444">
        <f t="shared" si="19"/>
        <v>0</v>
      </c>
      <c r="D69" s="444">
        <f t="shared" si="20"/>
        <v>0</v>
      </c>
      <c r="E69" s="444">
        <f t="shared" si="21"/>
        <v>0</v>
      </c>
      <c r="F69" s="444">
        <f t="shared" si="22"/>
        <v>0</v>
      </c>
      <c r="G69" s="239"/>
      <c r="H69" s="446">
        <f t="shared" si="23"/>
        <v>0</v>
      </c>
      <c r="I69" s="446" t="e">
        <f t="shared" si="24"/>
        <v>#VALUE!</v>
      </c>
      <c r="J69" s="446">
        <f t="shared" si="25"/>
        <v>0</v>
      </c>
      <c r="K69" s="446">
        <f t="shared" si="26"/>
        <v>0</v>
      </c>
      <c r="L69" s="638"/>
      <c r="M69" s="673" t="str">
        <f t="shared" si="15"/>
        <v/>
      </c>
      <c r="N69" s="446">
        <f t="shared" si="27"/>
        <v>0</v>
      </c>
      <c r="O69" s="446">
        <f t="shared" si="16"/>
        <v>0</v>
      </c>
      <c r="P69" s="446">
        <f t="shared" si="29"/>
        <v>0</v>
      </c>
      <c r="Q69" s="446">
        <f t="shared" si="29"/>
        <v>0</v>
      </c>
      <c r="R69" s="446">
        <f>IFERROR(IF(VerBer,IF($M69&lt;INT(R$5),0,IF($M69=INT(R$2),R$12,IF($M69&gt;INT(R$2),R$12*(1+R$9)^(IF($M69-R$5&lt;=0,0,$M69-IF(R$5&lt;R$2,R$2,R$5))),0))),0),0)</f>
        <v>0</v>
      </c>
      <c r="S69" s="215"/>
      <c r="U69" s="459">
        <f t="shared" si="17"/>
        <v>0</v>
      </c>
      <c r="V69" s="459">
        <f t="shared" si="13"/>
        <v>0</v>
      </c>
      <c r="W69" s="459">
        <f t="shared" si="14"/>
        <v>0</v>
      </c>
    </row>
    <row r="70" spans="1:23">
      <c r="A70" s="341"/>
      <c r="B70" s="240" t="str">
        <f t="shared" si="28"/>
        <v/>
      </c>
      <c r="C70" s="444">
        <f t="shared" si="19"/>
        <v>0</v>
      </c>
      <c r="D70" s="444">
        <f t="shared" si="20"/>
        <v>0</v>
      </c>
      <c r="E70" s="444">
        <f t="shared" si="21"/>
        <v>0</v>
      </c>
      <c r="F70" s="444">
        <f t="shared" si="22"/>
        <v>0</v>
      </c>
      <c r="G70" s="239"/>
      <c r="H70" s="445">
        <f t="shared" si="23"/>
        <v>0</v>
      </c>
      <c r="I70" s="445" t="e">
        <f t="shared" si="24"/>
        <v>#VALUE!</v>
      </c>
      <c r="J70" s="445">
        <f t="shared" si="25"/>
        <v>0</v>
      </c>
      <c r="K70" s="445">
        <f t="shared" si="26"/>
        <v>0</v>
      </c>
      <c r="L70" s="637"/>
      <c r="M70" s="671" t="str">
        <f t="shared" si="15"/>
        <v/>
      </c>
      <c r="N70" s="445">
        <f t="shared" si="27"/>
        <v>0</v>
      </c>
      <c r="O70" s="445">
        <f t="shared" si="16"/>
        <v>0</v>
      </c>
      <c r="P70" s="445">
        <f t="shared" si="29"/>
        <v>0</v>
      </c>
      <c r="Q70" s="445">
        <f t="shared" si="29"/>
        <v>0</v>
      </c>
      <c r="R70" s="445">
        <f>IFERROR(IF(VerBer,IF($M70&lt;INT(R$5),0,IF($M70=INT(R$2),R$12,IF($M70&gt;INT(R$2),R$12*(1+R$9)^(IF($M70-R$5&lt;=0,0,$M70-IF(R$5&lt;R$2,R$2,R$5))),0))),0),0)</f>
        <v>0</v>
      </c>
      <c r="S70" s="215"/>
      <c r="U70" s="459">
        <f t="shared" si="17"/>
        <v>0</v>
      </c>
      <c r="V70" s="459">
        <f t="shared" si="13"/>
        <v>0</v>
      </c>
      <c r="W70" s="459">
        <f t="shared" si="14"/>
        <v>0</v>
      </c>
    </row>
    <row r="71" spans="1:23">
      <c r="A71" s="341"/>
      <c r="B71" s="240" t="str">
        <f t="shared" si="28"/>
        <v/>
      </c>
      <c r="C71" s="444">
        <f t="shared" si="19"/>
        <v>0</v>
      </c>
      <c r="D71" s="444">
        <f t="shared" si="20"/>
        <v>0</v>
      </c>
      <c r="E71" s="444">
        <f t="shared" si="21"/>
        <v>0</v>
      </c>
      <c r="F71" s="444">
        <f t="shared" si="22"/>
        <v>0</v>
      </c>
      <c r="G71" s="239"/>
      <c r="H71" s="446">
        <f t="shared" si="23"/>
        <v>0</v>
      </c>
      <c r="I71" s="446" t="e">
        <f t="shared" si="24"/>
        <v>#VALUE!</v>
      </c>
      <c r="J71" s="446">
        <f t="shared" si="25"/>
        <v>0</v>
      </c>
      <c r="K71" s="446">
        <f t="shared" si="26"/>
        <v>0</v>
      </c>
      <c r="L71" s="638"/>
      <c r="M71" s="673" t="str">
        <f t="shared" si="15"/>
        <v/>
      </c>
      <c r="N71" s="446">
        <f t="shared" si="27"/>
        <v>0</v>
      </c>
      <c r="O71" s="446">
        <f t="shared" si="16"/>
        <v>0</v>
      </c>
      <c r="P71" s="445">
        <f t="shared" ref="P71:R93" si="30">IFERROR(IF($M71&lt;INT(P$5),0,IF($M71=INT(P$2),P$12,IF($M71&gt;INT(P$2),P$12*(1+P$9)^(IF($M71-P$5&lt;=0,0,$M71-IF(P$5&lt;P$2,P$2,P$5))),0))),0)</f>
        <v>0</v>
      </c>
      <c r="Q71" s="445">
        <f t="shared" si="30"/>
        <v>0</v>
      </c>
      <c r="R71" s="445">
        <f t="shared" si="30"/>
        <v>0</v>
      </c>
      <c r="S71" s="215"/>
      <c r="U71" s="459">
        <f t="shared" si="17"/>
        <v>0</v>
      </c>
      <c r="V71" s="459">
        <f t="shared" si="13"/>
        <v>0</v>
      </c>
      <c r="W71" s="459">
        <f t="shared" si="14"/>
        <v>0</v>
      </c>
    </row>
    <row r="72" spans="1:23">
      <c r="A72" s="341"/>
      <c r="B72" s="240" t="str">
        <f t="shared" si="28"/>
        <v/>
      </c>
      <c r="C72" s="444">
        <f t="shared" si="19"/>
        <v>0</v>
      </c>
      <c r="D72" s="444">
        <f t="shared" si="20"/>
        <v>0</v>
      </c>
      <c r="E72" s="444">
        <f t="shared" si="21"/>
        <v>0</v>
      </c>
      <c r="F72" s="444">
        <f t="shared" si="22"/>
        <v>0</v>
      </c>
      <c r="G72" s="239"/>
      <c r="H72" s="445">
        <f t="shared" si="23"/>
        <v>0</v>
      </c>
      <c r="I72" s="445" t="e">
        <f t="shared" si="24"/>
        <v>#VALUE!</v>
      </c>
      <c r="J72" s="445">
        <f t="shared" si="25"/>
        <v>0</v>
      </c>
      <c r="K72" s="445">
        <f t="shared" si="26"/>
        <v>0</v>
      </c>
      <c r="L72" s="637"/>
      <c r="M72" s="671" t="str">
        <f t="shared" si="15"/>
        <v/>
      </c>
      <c r="N72" s="445">
        <f t="shared" si="27"/>
        <v>0</v>
      </c>
      <c r="O72" s="445">
        <f t="shared" si="16"/>
        <v>0</v>
      </c>
      <c r="P72" s="445">
        <f t="shared" si="30"/>
        <v>0</v>
      </c>
      <c r="Q72" s="445">
        <f t="shared" si="30"/>
        <v>0</v>
      </c>
      <c r="R72" s="672">
        <f t="shared" si="30"/>
        <v>0</v>
      </c>
      <c r="S72" s="215"/>
      <c r="U72" s="459">
        <f t="shared" si="17"/>
        <v>0</v>
      </c>
      <c r="V72" s="459">
        <f t="shared" si="13"/>
        <v>0</v>
      </c>
      <c r="W72" s="459">
        <f t="shared" si="14"/>
        <v>0</v>
      </c>
    </row>
    <row r="73" spans="1:23">
      <c r="A73" s="341"/>
      <c r="B73" s="240" t="str">
        <f t="shared" si="28"/>
        <v/>
      </c>
      <c r="C73" s="444">
        <f t="shared" si="19"/>
        <v>0</v>
      </c>
      <c r="D73" s="444">
        <f t="shared" si="20"/>
        <v>0</v>
      </c>
      <c r="E73" s="444">
        <f t="shared" si="21"/>
        <v>0</v>
      </c>
      <c r="F73" s="444">
        <f t="shared" si="22"/>
        <v>0</v>
      </c>
      <c r="G73" s="239"/>
      <c r="H73" s="446">
        <f t="shared" si="23"/>
        <v>0</v>
      </c>
      <c r="I73" s="446" t="e">
        <f t="shared" si="24"/>
        <v>#VALUE!</v>
      </c>
      <c r="J73" s="446">
        <f t="shared" si="25"/>
        <v>0</v>
      </c>
      <c r="K73" s="446">
        <f t="shared" si="26"/>
        <v>0</v>
      </c>
      <c r="L73" s="638"/>
      <c r="M73" s="673" t="str">
        <f t="shared" si="15"/>
        <v/>
      </c>
      <c r="N73" s="446">
        <f t="shared" si="27"/>
        <v>0</v>
      </c>
      <c r="O73" s="446">
        <f t="shared" si="16"/>
        <v>0</v>
      </c>
      <c r="P73" s="446">
        <f t="shared" si="30"/>
        <v>0</v>
      </c>
      <c r="Q73" s="446">
        <f t="shared" si="30"/>
        <v>0</v>
      </c>
      <c r="R73" s="674">
        <f t="shared" si="30"/>
        <v>0</v>
      </c>
      <c r="S73" s="215"/>
      <c r="U73" s="459">
        <f t="shared" si="17"/>
        <v>0</v>
      </c>
      <c r="V73" s="459">
        <f t="shared" si="13"/>
        <v>0</v>
      </c>
      <c r="W73" s="459">
        <f t="shared" si="14"/>
        <v>0</v>
      </c>
    </row>
    <row r="74" spans="1:23">
      <c r="A74" s="341"/>
      <c r="B74" s="240" t="str">
        <f t="shared" si="28"/>
        <v/>
      </c>
      <c r="C74" s="444">
        <f t="shared" si="19"/>
        <v>0</v>
      </c>
      <c r="D74" s="444">
        <f t="shared" si="20"/>
        <v>0</v>
      </c>
      <c r="E74" s="444">
        <f t="shared" si="21"/>
        <v>0</v>
      </c>
      <c r="F74" s="444">
        <f t="shared" si="22"/>
        <v>0</v>
      </c>
      <c r="G74" s="239"/>
      <c r="H74" s="445">
        <f t="shared" si="23"/>
        <v>0</v>
      </c>
      <c r="I74" s="445" t="e">
        <f t="shared" si="24"/>
        <v>#VALUE!</v>
      </c>
      <c r="J74" s="445">
        <f t="shared" si="25"/>
        <v>0</v>
      </c>
      <c r="K74" s="445">
        <f t="shared" si="26"/>
        <v>0</v>
      </c>
      <c r="L74" s="637"/>
      <c r="M74" s="671" t="str">
        <f t="shared" si="15"/>
        <v/>
      </c>
      <c r="N74" s="445">
        <f t="shared" si="27"/>
        <v>0</v>
      </c>
      <c r="O74" s="445">
        <f t="shared" si="16"/>
        <v>0</v>
      </c>
      <c r="P74" s="445">
        <f t="shared" si="30"/>
        <v>0</v>
      </c>
      <c r="Q74" s="445">
        <f t="shared" si="30"/>
        <v>0</v>
      </c>
      <c r="R74" s="672">
        <f t="shared" si="30"/>
        <v>0</v>
      </c>
      <c r="S74" s="215"/>
      <c r="U74" s="459">
        <f t="shared" si="17"/>
        <v>0</v>
      </c>
      <c r="V74" s="459">
        <f t="shared" si="13"/>
        <v>0</v>
      </c>
      <c r="W74" s="459">
        <f t="shared" si="14"/>
        <v>0</v>
      </c>
    </row>
    <row r="75" spans="1:23">
      <c r="A75" s="341"/>
      <c r="B75" s="240" t="str">
        <f t="shared" si="28"/>
        <v/>
      </c>
      <c r="C75" s="444">
        <f t="shared" si="19"/>
        <v>0</v>
      </c>
      <c r="D75" s="444">
        <f t="shared" si="20"/>
        <v>0</v>
      </c>
      <c r="E75" s="444">
        <f t="shared" si="21"/>
        <v>0</v>
      </c>
      <c r="F75" s="444">
        <f t="shared" si="22"/>
        <v>0</v>
      </c>
      <c r="G75" s="239"/>
      <c r="H75" s="446">
        <f t="shared" si="23"/>
        <v>0</v>
      </c>
      <c r="I75" s="446" t="e">
        <f t="shared" si="24"/>
        <v>#VALUE!</v>
      </c>
      <c r="J75" s="446">
        <f t="shared" si="25"/>
        <v>0</v>
      </c>
      <c r="K75" s="446">
        <f t="shared" si="26"/>
        <v>0</v>
      </c>
      <c r="L75" s="638"/>
      <c r="M75" s="673" t="str">
        <f t="shared" si="15"/>
        <v/>
      </c>
      <c r="N75" s="446">
        <f t="shared" si="27"/>
        <v>0</v>
      </c>
      <c r="O75" s="446">
        <f t="shared" si="16"/>
        <v>0</v>
      </c>
      <c r="P75" s="446">
        <f t="shared" si="30"/>
        <v>0</v>
      </c>
      <c r="Q75" s="446">
        <f t="shared" si="30"/>
        <v>0</v>
      </c>
      <c r="R75" s="674">
        <f t="shared" si="30"/>
        <v>0</v>
      </c>
      <c r="S75" s="215"/>
      <c r="U75" s="459">
        <f t="shared" si="17"/>
        <v>0</v>
      </c>
      <c r="V75" s="459">
        <f t="shared" si="13"/>
        <v>0</v>
      </c>
      <c r="W75" s="459">
        <f t="shared" si="14"/>
        <v>0</v>
      </c>
    </row>
    <row r="76" spans="1:23">
      <c r="A76" s="341"/>
      <c r="B76" s="240" t="str">
        <f t="shared" si="28"/>
        <v/>
      </c>
      <c r="C76" s="444">
        <f t="shared" si="19"/>
        <v>0</v>
      </c>
      <c r="D76" s="444">
        <f t="shared" si="20"/>
        <v>0</v>
      </c>
      <c r="E76" s="444">
        <f t="shared" si="21"/>
        <v>0</v>
      </c>
      <c r="F76" s="444">
        <f t="shared" si="22"/>
        <v>0</v>
      </c>
      <c r="G76" s="239"/>
      <c r="H76" s="445">
        <f t="shared" si="23"/>
        <v>0</v>
      </c>
      <c r="I76" s="445" t="e">
        <f t="shared" si="24"/>
        <v>#VALUE!</v>
      </c>
      <c r="J76" s="445">
        <f t="shared" si="25"/>
        <v>0</v>
      </c>
      <c r="K76" s="445">
        <f t="shared" si="26"/>
        <v>0</v>
      </c>
      <c r="L76" s="637"/>
      <c r="M76" s="671" t="str">
        <f t="shared" si="15"/>
        <v/>
      </c>
      <c r="N76" s="445">
        <f t="shared" si="27"/>
        <v>0</v>
      </c>
      <c r="O76" s="445">
        <f t="shared" si="16"/>
        <v>0</v>
      </c>
      <c r="P76" s="445">
        <f t="shared" si="30"/>
        <v>0</v>
      </c>
      <c r="Q76" s="445">
        <f t="shared" si="30"/>
        <v>0</v>
      </c>
      <c r="R76" s="672">
        <f t="shared" si="30"/>
        <v>0</v>
      </c>
      <c r="S76" s="215"/>
      <c r="U76" s="459">
        <f t="shared" si="17"/>
        <v>0</v>
      </c>
      <c r="V76" s="459">
        <f t="shared" si="13"/>
        <v>0</v>
      </c>
      <c r="W76" s="459">
        <f t="shared" si="14"/>
        <v>0</v>
      </c>
    </row>
    <row r="77" spans="1:23">
      <c r="A77" s="341"/>
      <c r="B77" s="240" t="str">
        <f t="shared" si="28"/>
        <v/>
      </c>
      <c r="C77" s="444">
        <f t="shared" si="19"/>
        <v>0</v>
      </c>
      <c r="D77" s="444">
        <f t="shared" si="20"/>
        <v>0</v>
      </c>
      <c r="E77" s="444">
        <f t="shared" si="21"/>
        <v>0</v>
      </c>
      <c r="F77" s="444">
        <f t="shared" si="22"/>
        <v>0</v>
      </c>
      <c r="G77" s="239"/>
      <c r="H77" s="446">
        <f t="shared" si="23"/>
        <v>0</v>
      </c>
      <c r="I77" s="446" t="e">
        <f t="shared" si="24"/>
        <v>#VALUE!</v>
      </c>
      <c r="J77" s="446">
        <f t="shared" si="25"/>
        <v>0</v>
      </c>
      <c r="K77" s="446">
        <f t="shared" si="26"/>
        <v>0</v>
      </c>
      <c r="L77" s="638"/>
      <c r="M77" s="673" t="str">
        <f t="shared" si="15"/>
        <v/>
      </c>
      <c r="N77" s="446">
        <f t="shared" si="27"/>
        <v>0</v>
      </c>
      <c r="O77" s="446">
        <f t="shared" si="16"/>
        <v>0</v>
      </c>
      <c r="P77" s="446">
        <f t="shared" si="30"/>
        <v>0</v>
      </c>
      <c r="Q77" s="446">
        <f t="shared" si="30"/>
        <v>0</v>
      </c>
      <c r="R77" s="674">
        <f t="shared" si="30"/>
        <v>0</v>
      </c>
      <c r="S77" s="215"/>
      <c r="U77" s="459">
        <f t="shared" si="17"/>
        <v>0</v>
      </c>
      <c r="V77" s="459">
        <f t="shared" si="13"/>
        <v>0</v>
      </c>
      <c r="W77" s="459">
        <f t="shared" si="14"/>
        <v>0</v>
      </c>
    </row>
    <row r="78" spans="1:23">
      <c r="A78" s="341"/>
      <c r="B78" s="240" t="str">
        <f t="shared" si="28"/>
        <v/>
      </c>
      <c r="C78" s="444">
        <f t="shared" si="19"/>
        <v>0</v>
      </c>
      <c r="D78" s="444">
        <f t="shared" si="20"/>
        <v>0</v>
      </c>
      <c r="E78" s="444">
        <f t="shared" si="21"/>
        <v>0</v>
      </c>
      <c r="F78" s="444">
        <f t="shared" si="22"/>
        <v>0</v>
      </c>
      <c r="G78" s="239"/>
      <c r="H78" s="445">
        <f t="shared" si="23"/>
        <v>0</v>
      </c>
      <c r="I78" s="445" t="e">
        <f t="shared" si="24"/>
        <v>#VALUE!</v>
      </c>
      <c r="J78" s="445">
        <f t="shared" si="25"/>
        <v>0</v>
      </c>
      <c r="K78" s="445">
        <f t="shared" si="26"/>
        <v>0</v>
      </c>
      <c r="L78" s="637"/>
      <c r="M78" s="671" t="str">
        <f t="shared" si="15"/>
        <v/>
      </c>
      <c r="N78" s="445">
        <f t="shared" si="27"/>
        <v>0</v>
      </c>
      <c r="O78" s="445">
        <f t="shared" si="16"/>
        <v>0</v>
      </c>
      <c r="P78" s="445">
        <f t="shared" si="30"/>
        <v>0</v>
      </c>
      <c r="Q78" s="445">
        <f t="shared" si="30"/>
        <v>0</v>
      </c>
      <c r="R78" s="672">
        <f t="shared" si="30"/>
        <v>0</v>
      </c>
      <c r="S78" s="215"/>
      <c r="U78" s="459">
        <f t="shared" si="17"/>
        <v>0</v>
      </c>
      <c r="V78" s="459">
        <f t="shared" si="13"/>
        <v>0</v>
      </c>
      <c r="W78" s="459">
        <f t="shared" si="14"/>
        <v>0</v>
      </c>
    </row>
    <row r="79" spans="1:23">
      <c r="A79" s="341"/>
      <c r="B79" s="240" t="str">
        <f t="shared" si="28"/>
        <v/>
      </c>
      <c r="C79" s="444">
        <f t="shared" si="19"/>
        <v>0</v>
      </c>
      <c r="D79" s="444">
        <f t="shared" si="20"/>
        <v>0</v>
      </c>
      <c r="E79" s="444">
        <f t="shared" si="21"/>
        <v>0</v>
      </c>
      <c r="F79" s="444">
        <f t="shared" si="22"/>
        <v>0</v>
      </c>
      <c r="G79" s="239"/>
      <c r="H79" s="446">
        <f t="shared" si="23"/>
        <v>0</v>
      </c>
      <c r="I79" s="446" t="e">
        <f t="shared" si="24"/>
        <v>#VALUE!</v>
      </c>
      <c r="J79" s="446">
        <f t="shared" si="25"/>
        <v>0</v>
      </c>
      <c r="K79" s="446">
        <f t="shared" si="26"/>
        <v>0</v>
      </c>
      <c r="L79" s="638"/>
      <c r="M79" s="673" t="str">
        <f t="shared" si="15"/>
        <v/>
      </c>
      <c r="N79" s="446">
        <f t="shared" si="27"/>
        <v>0</v>
      </c>
      <c r="O79" s="446">
        <f t="shared" si="16"/>
        <v>0</v>
      </c>
      <c r="P79" s="446">
        <f t="shared" si="30"/>
        <v>0</v>
      </c>
      <c r="Q79" s="446">
        <f t="shared" si="30"/>
        <v>0</v>
      </c>
      <c r="R79" s="674">
        <f t="shared" si="30"/>
        <v>0</v>
      </c>
      <c r="S79" s="215"/>
      <c r="U79" s="459">
        <f t="shared" si="17"/>
        <v>0</v>
      </c>
      <c r="V79" s="459">
        <f t="shared" si="13"/>
        <v>0</v>
      </c>
      <c r="W79" s="459">
        <f t="shared" si="14"/>
        <v>0</v>
      </c>
    </row>
    <row r="80" spans="1:23">
      <c r="A80" s="341"/>
      <c r="B80" s="240" t="str">
        <f t="shared" si="28"/>
        <v/>
      </c>
      <c r="C80" s="444">
        <f t="shared" si="19"/>
        <v>0</v>
      </c>
      <c r="D80" s="444">
        <f t="shared" si="20"/>
        <v>0</v>
      </c>
      <c r="E80" s="444">
        <f t="shared" si="21"/>
        <v>0</v>
      </c>
      <c r="F80" s="444">
        <f t="shared" si="22"/>
        <v>0</v>
      </c>
      <c r="G80" s="239"/>
      <c r="H80" s="445">
        <f t="shared" si="23"/>
        <v>0</v>
      </c>
      <c r="I80" s="445" t="e">
        <f t="shared" si="24"/>
        <v>#VALUE!</v>
      </c>
      <c r="J80" s="445">
        <f t="shared" si="25"/>
        <v>0</v>
      </c>
      <c r="K80" s="445">
        <f t="shared" si="26"/>
        <v>0</v>
      </c>
      <c r="L80" s="637"/>
      <c r="M80" s="671" t="str">
        <f t="shared" si="15"/>
        <v/>
      </c>
      <c r="N80" s="445">
        <f t="shared" si="27"/>
        <v>0</v>
      </c>
      <c r="O80" s="445">
        <f t="shared" si="16"/>
        <v>0</v>
      </c>
      <c r="P80" s="445">
        <f t="shared" si="30"/>
        <v>0</v>
      </c>
      <c r="Q80" s="445">
        <f t="shared" si="30"/>
        <v>0</v>
      </c>
      <c r="R80" s="672">
        <f t="shared" si="30"/>
        <v>0</v>
      </c>
      <c r="S80" s="215"/>
      <c r="U80" s="459">
        <f t="shared" si="17"/>
        <v>0</v>
      </c>
      <c r="V80" s="459">
        <f t="shared" si="13"/>
        <v>0</v>
      </c>
      <c r="W80" s="459">
        <f t="shared" si="14"/>
        <v>0</v>
      </c>
    </row>
    <row r="81" spans="1:23">
      <c r="A81" s="341"/>
      <c r="B81" s="240" t="str">
        <f t="shared" si="28"/>
        <v/>
      </c>
      <c r="C81" s="444">
        <f t="shared" si="19"/>
        <v>0</v>
      </c>
      <c r="D81" s="444">
        <f t="shared" si="20"/>
        <v>0</v>
      </c>
      <c r="E81" s="444">
        <f t="shared" si="21"/>
        <v>0</v>
      </c>
      <c r="F81" s="444">
        <f t="shared" si="22"/>
        <v>0</v>
      </c>
      <c r="G81" s="239"/>
      <c r="H81" s="446">
        <f t="shared" si="23"/>
        <v>0</v>
      </c>
      <c r="I81" s="446" t="e">
        <f t="shared" si="24"/>
        <v>#VALUE!</v>
      </c>
      <c r="J81" s="446">
        <f t="shared" si="25"/>
        <v>0</v>
      </c>
      <c r="K81" s="446">
        <f t="shared" si="26"/>
        <v>0</v>
      </c>
      <c r="L81" s="638"/>
      <c r="M81" s="673" t="str">
        <f t="shared" si="15"/>
        <v/>
      </c>
      <c r="N81" s="446">
        <f t="shared" si="27"/>
        <v>0</v>
      </c>
      <c r="O81" s="446">
        <f t="shared" si="16"/>
        <v>0</v>
      </c>
      <c r="P81" s="446">
        <f t="shared" si="30"/>
        <v>0</v>
      </c>
      <c r="Q81" s="446">
        <f t="shared" si="30"/>
        <v>0</v>
      </c>
      <c r="R81" s="674">
        <f t="shared" si="30"/>
        <v>0</v>
      </c>
      <c r="S81" s="215"/>
      <c r="U81" s="459">
        <f t="shared" si="17"/>
        <v>0</v>
      </c>
      <c r="V81" s="459">
        <f t="shared" si="13"/>
        <v>0</v>
      </c>
      <c r="W81" s="459">
        <f t="shared" si="14"/>
        <v>0</v>
      </c>
    </row>
    <row r="82" spans="1:23">
      <c r="A82" s="341"/>
      <c r="B82" s="240" t="str">
        <f t="shared" si="28"/>
        <v/>
      </c>
      <c r="C82" s="444">
        <f t="shared" ref="C82:C94" si="31">IFERROR(IF(QuellVersrg,IF($B82&lt;INT(H$5),0,IF($B82=INT(H$2),H$12,IF($B82&gt;INT(H$2),H$12*(1+H$9)^(IF($B82-H$5&lt;=0,0,$B82-IF(H$5&lt;H$2,H$2,H$5))),0))),0),0)</f>
        <v>0</v>
      </c>
      <c r="D82" s="444">
        <f t="shared" ref="D82:D93" si="32">IFERROR(IF(DRVPfl,IF($B82&lt;INT(I$5),0,IF($B82=INT(I$2),I$12,IF($B82&gt;INT(I$2),I$12*(1+I$9)^(IF($B82-I$5&lt;=0,0,$B82-IF(I$5&lt;I$2,I$2,I$5))),0))),0),0)</f>
        <v>0</v>
      </c>
      <c r="E82" s="444">
        <f t="shared" ref="E82:E93" si="33">IFERROR(IF(VersAusglKPfl,IF($B82&lt;INT(J$5),0,IF($B82=INT(J$2),J$12,IF($B82&gt;INT(J$2),J$12*(1+J$9)^(IF($B82-J$5&lt;=0,0,$B82-IF(J$5&lt;J$2,J$2,J$5))),0))),0),0)</f>
        <v>0</v>
      </c>
      <c r="F82" s="444">
        <f t="shared" ref="F82:F93" si="34">IFERROR(IF(SonstPfl,IF($B82&lt;INT(K$5),0,IF($B82=INT(K$2),K$12,IF($B82&gt;INT(K$2),K$12*(1+K$9)^(IF($B82-K$5&lt;=0,0,$B82-IF(K$5&lt;K$2,K$2,K$5))),0))),0),0)</f>
        <v>0</v>
      </c>
      <c r="G82" s="239"/>
      <c r="H82" s="445">
        <f t="shared" ref="H82:H93" si="35">C82*12*IF(AND(INT(H$5)=B82,H$5&gt;INT(H$5)),1-(H$5-INT(H$5)),1)</f>
        <v>0</v>
      </c>
      <c r="I82" s="445" t="e">
        <f t="shared" ref="I82:I93" si="36">D82*12*IF(AND(INT(I$5)=$B82,I$5&gt;INT(I$5)),1-(I$5-INT(I$5)),1)</f>
        <v>#VALUE!</v>
      </c>
      <c r="J82" s="445">
        <f t="shared" ref="J82:J93" si="37">E82*12*IF(AND(INT(J$5)=$B82,J$5&gt;INT(J$5)),1-(J$5-INT(J$5)),1)</f>
        <v>0</v>
      </c>
      <c r="K82" s="445">
        <f t="shared" ref="K82:K93" si="38">F82*12*IF(AND(INT(K$5)=$B82,K$5&gt;INT(K$5)),1-(K$5-INT(K$5)),1)</f>
        <v>0</v>
      </c>
      <c r="L82" s="637"/>
      <c r="M82" s="671" t="str">
        <f t="shared" si="15"/>
        <v/>
      </c>
      <c r="N82" s="445">
        <f t="shared" ref="N82:N93" si="39">IFERROR(IF(AND(VersBer,DRVAusglBerJa),IF($M82&lt;INT(O$5),0,IF($M82=INT(O$2),O$12,IF($M82&gt;INT(O$2),O$12*(1+O$9)^(IF($M82-O$5&lt;=0,0,$M82-IF(O$5&lt;O$2,O$2,O$5))),0))),0),0)</f>
        <v>0</v>
      </c>
      <c r="O82" s="445">
        <f t="shared" si="16"/>
        <v>0</v>
      </c>
      <c r="P82" s="445">
        <f t="shared" si="30"/>
        <v>0</v>
      </c>
      <c r="Q82" s="445">
        <f t="shared" si="30"/>
        <v>0</v>
      </c>
      <c r="R82" s="672">
        <f t="shared" si="30"/>
        <v>0</v>
      </c>
      <c r="S82" s="215"/>
      <c r="U82" s="459">
        <f t="shared" si="17"/>
        <v>0</v>
      </c>
      <c r="V82" s="459">
        <f t="shared" si="13"/>
        <v>0</v>
      </c>
      <c r="W82" s="459">
        <f t="shared" si="14"/>
        <v>0</v>
      </c>
    </row>
    <row r="83" spans="1:23">
      <c r="A83" s="341"/>
      <c r="B83" s="240" t="str">
        <f t="shared" ref="B83:B94" si="40">IFERROR(IF(B82+1&lt;IF(Endalter=0,EndalterDRV,Endalter),B82+1,""),"")</f>
        <v/>
      </c>
      <c r="C83" s="444">
        <f t="shared" si="31"/>
        <v>0</v>
      </c>
      <c r="D83" s="444">
        <f t="shared" si="32"/>
        <v>0</v>
      </c>
      <c r="E83" s="444">
        <f t="shared" si="33"/>
        <v>0</v>
      </c>
      <c r="F83" s="444">
        <f t="shared" si="34"/>
        <v>0</v>
      </c>
      <c r="G83" s="239"/>
      <c r="H83" s="446">
        <f t="shared" si="35"/>
        <v>0</v>
      </c>
      <c r="I83" s="446" t="e">
        <f t="shared" si="36"/>
        <v>#VALUE!</v>
      </c>
      <c r="J83" s="446">
        <f t="shared" si="37"/>
        <v>0</v>
      </c>
      <c r="K83" s="446">
        <f t="shared" si="38"/>
        <v>0</v>
      </c>
      <c r="L83" s="638"/>
      <c r="M83" s="673" t="str">
        <f t="shared" si="15"/>
        <v/>
      </c>
      <c r="N83" s="446">
        <f t="shared" si="39"/>
        <v>0</v>
      </c>
      <c r="O83" s="446">
        <f t="shared" si="16"/>
        <v>0</v>
      </c>
      <c r="P83" s="446">
        <f t="shared" si="30"/>
        <v>0</v>
      </c>
      <c r="Q83" s="446">
        <f t="shared" si="30"/>
        <v>0</v>
      </c>
      <c r="R83" s="674">
        <f t="shared" si="30"/>
        <v>0</v>
      </c>
      <c r="S83" s="215"/>
      <c r="U83" s="459">
        <f t="shared" si="17"/>
        <v>0</v>
      </c>
      <c r="V83" s="459">
        <f t="shared" ref="V83:V93" si="41">+Q83*12*IF(AND(INT(Q$5)=$M83,Q$5&gt;INT(Q$5)),1-(Q$5-INT(Q$5)),1)</f>
        <v>0</v>
      </c>
      <c r="W83" s="459">
        <f t="shared" ref="W83:W93" si="42">+R83*12*IF(AND(INT(R$5)=$M83,R$5&gt;INT(R$5)),1-(R$5-INT(R$5)),1)</f>
        <v>0</v>
      </c>
    </row>
    <row r="84" spans="1:23">
      <c r="A84" s="341"/>
      <c r="B84" s="240" t="str">
        <f t="shared" si="40"/>
        <v/>
      </c>
      <c r="C84" s="444">
        <f t="shared" si="31"/>
        <v>0</v>
      </c>
      <c r="D84" s="444">
        <f t="shared" si="32"/>
        <v>0</v>
      </c>
      <c r="E84" s="444">
        <f t="shared" si="33"/>
        <v>0</v>
      </c>
      <c r="F84" s="444">
        <f t="shared" si="34"/>
        <v>0</v>
      </c>
      <c r="G84" s="239"/>
      <c r="H84" s="445">
        <f t="shared" si="35"/>
        <v>0</v>
      </c>
      <c r="I84" s="445" t="e">
        <f t="shared" si="36"/>
        <v>#VALUE!</v>
      </c>
      <c r="J84" s="445">
        <f t="shared" si="37"/>
        <v>0</v>
      </c>
      <c r="K84" s="445">
        <f t="shared" si="38"/>
        <v>0</v>
      </c>
      <c r="L84" s="637"/>
      <c r="M84" s="671" t="str">
        <f t="shared" ref="M84:M93" si="43">IFERROR(IF(M83+1&lt;O$3,M83+1,""),"")</f>
        <v/>
      </c>
      <c r="N84" s="445">
        <f t="shared" si="39"/>
        <v>0</v>
      </c>
      <c r="O84" s="445">
        <f t="shared" si="16"/>
        <v>0</v>
      </c>
      <c r="P84" s="445">
        <f t="shared" si="30"/>
        <v>0</v>
      </c>
      <c r="Q84" s="445">
        <f t="shared" si="30"/>
        <v>0</v>
      </c>
      <c r="R84" s="672">
        <f t="shared" si="30"/>
        <v>0</v>
      </c>
      <c r="S84" s="215"/>
      <c r="U84" s="459">
        <f t="shared" si="17"/>
        <v>0</v>
      </c>
      <c r="V84" s="459">
        <f t="shared" si="41"/>
        <v>0</v>
      </c>
      <c r="W84" s="459">
        <f t="shared" si="42"/>
        <v>0</v>
      </c>
    </row>
    <row r="85" spans="1:23">
      <c r="A85" s="341"/>
      <c r="B85" s="240" t="str">
        <f t="shared" si="40"/>
        <v/>
      </c>
      <c r="C85" s="444">
        <f t="shared" si="31"/>
        <v>0</v>
      </c>
      <c r="D85" s="444">
        <f t="shared" si="32"/>
        <v>0</v>
      </c>
      <c r="E85" s="444">
        <f t="shared" si="33"/>
        <v>0</v>
      </c>
      <c r="F85" s="444">
        <f t="shared" si="34"/>
        <v>0</v>
      </c>
      <c r="G85" s="239"/>
      <c r="H85" s="446">
        <f t="shared" si="35"/>
        <v>0</v>
      </c>
      <c r="I85" s="446" t="e">
        <f t="shared" si="36"/>
        <v>#VALUE!</v>
      </c>
      <c r="J85" s="446">
        <f t="shared" si="37"/>
        <v>0</v>
      </c>
      <c r="K85" s="446">
        <f t="shared" si="38"/>
        <v>0</v>
      </c>
      <c r="L85" s="638"/>
      <c r="M85" s="673" t="str">
        <f t="shared" si="43"/>
        <v/>
      </c>
      <c r="N85" s="446">
        <f t="shared" si="39"/>
        <v>0</v>
      </c>
      <c r="O85" s="446">
        <f t="shared" si="16"/>
        <v>0</v>
      </c>
      <c r="P85" s="446">
        <f t="shared" si="30"/>
        <v>0</v>
      </c>
      <c r="Q85" s="446">
        <f t="shared" si="30"/>
        <v>0</v>
      </c>
      <c r="R85" s="674">
        <f t="shared" si="30"/>
        <v>0</v>
      </c>
      <c r="S85" s="215"/>
      <c r="U85" s="459">
        <f t="shared" si="17"/>
        <v>0</v>
      </c>
      <c r="V85" s="459">
        <f t="shared" si="41"/>
        <v>0</v>
      </c>
      <c r="W85" s="459">
        <f t="shared" si="42"/>
        <v>0</v>
      </c>
    </row>
    <row r="86" spans="1:23">
      <c r="A86" s="341"/>
      <c r="B86" s="240" t="str">
        <f t="shared" si="40"/>
        <v/>
      </c>
      <c r="C86" s="444">
        <f t="shared" si="31"/>
        <v>0</v>
      </c>
      <c r="D86" s="444">
        <f t="shared" si="32"/>
        <v>0</v>
      </c>
      <c r="E86" s="444">
        <f t="shared" si="33"/>
        <v>0</v>
      </c>
      <c r="F86" s="444">
        <f t="shared" si="34"/>
        <v>0</v>
      </c>
      <c r="G86" s="239"/>
      <c r="H86" s="445">
        <f t="shared" si="35"/>
        <v>0</v>
      </c>
      <c r="I86" s="445" t="e">
        <f t="shared" si="36"/>
        <v>#VALUE!</v>
      </c>
      <c r="J86" s="445">
        <f t="shared" si="37"/>
        <v>0</v>
      </c>
      <c r="K86" s="445">
        <f t="shared" si="38"/>
        <v>0</v>
      </c>
      <c r="L86" s="637"/>
      <c r="M86" s="671" t="str">
        <f t="shared" si="43"/>
        <v/>
      </c>
      <c r="N86" s="445">
        <f t="shared" si="39"/>
        <v>0</v>
      </c>
      <c r="O86" s="445">
        <f t="shared" si="16"/>
        <v>0</v>
      </c>
      <c r="P86" s="445">
        <f t="shared" si="30"/>
        <v>0</v>
      </c>
      <c r="Q86" s="445">
        <f t="shared" si="30"/>
        <v>0</v>
      </c>
      <c r="R86" s="672">
        <f t="shared" si="30"/>
        <v>0</v>
      </c>
      <c r="S86" s="215"/>
      <c r="U86" s="459">
        <f t="shared" si="17"/>
        <v>0</v>
      </c>
      <c r="V86" s="459">
        <f t="shared" si="41"/>
        <v>0</v>
      </c>
      <c r="W86" s="459">
        <f t="shared" si="42"/>
        <v>0</v>
      </c>
    </row>
    <row r="87" spans="1:23">
      <c r="A87" s="341"/>
      <c r="B87" s="240" t="str">
        <f t="shared" si="40"/>
        <v/>
      </c>
      <c r="C87" s="444">
        <f t="shared" si="31"/>
        <v>0</v>
      </c>
      <c r="D87" s="444">
        <f t="shared" si="32"/>
        <v>0</v>
      </c>
      <c r="E87" s="444">
        <f t="shared" si="33"/>
        <v>0</v>
      </c>
      <c r="F87" s="444">
        <f t="shared" si="34"/>
        <v>0</v>
      </c>
      <c r="G87" s="239"/>
      <c r="H87" s="446">
        <f t="shared" si="35"/>
        <v>0</v>
      </c>
      <c r="I87" s="446" t="e">
        <f t="shared" si="36"/>
        <v>#VALUE!</v>
      </c>
      <c r="J87" s="446">
        <f t="shared" si="37"/>
        <v>0</v>
      </c>
      <c r="K87" s="446">
        <f t="shared" si="38"/>
        <v>0</v>
      </c>
      <c r="L87" s="638"/>
      <c r="M87" s="673" t="str">
        <f t="shared" si="43"/>
        <v/>
      </c>
      <c r="N87" s="446">
        <f t="shared" si="39"/>
        <v>0</v>
      </c>
      <c r="O87" s="446">
        <f t="shared" si="16"/>
        <v>0</v>
      </c>
      <c r="P87" s="446">
        <f t="shared" si="30"/>
        <v>0</v>
      </c>
      <c r="Q87" s="446">
        <f t="shared" si="30"/>
        <v>0</v>
      </c>
      <c r="R87" s="674">
        <f t="shared" si="30"/>
        <v>0</v>
      </c>
      <c r="S87" s="215"/>
      <c r="U87" s="459">
        <f t="shared" si="17"/>
        <v>0</v>
      </c>
      <c r="V87" s="459">
        <f t="shared" si="41"/>
        <v>0</v>
      </c>
      <c r="W87" s="459">
        <f t="shared" si="42"/>
        <v>0</v>
      </c>
    </row>
    <row r="88" spans="1:23">
      <c r="A88" s="341"/>
      <c r="B88" s="240" t="str">
        <f t="shared" si="40"/>
        <v/>
      </c>
      <c r="C88" s="444">
        <f t="shared" si="31"/>
        <v>0</v>
      </c>
      <c r="D88" s="444">
        <f t="shared" si="32"/>
        <v>0</v>
      </c>
      <c r="E88" s="444">
        <f t="shared" si="33"/>
        <v>0</v>
      </c>
      <c r="F88" s="444">
        <f t="shared" si="34"/>
        <v>0</v>
      </c>
      <c r="G88" s="239"/>
      <c r="H88" s="445">
        <f t="shared" si="35"/>
        <v>0</v>
      </c>
      <c r="I88" s="445" t="e">
        <f t="shared" si="36"/>
        <v>#VALUE!</v>
      </c>
      <c r="J88" s="445">
        <f t="shared" si="37"/>
        <v>0</v>
      </c>
      <c r="K88" s="445">
        <f t="shared" si="38"/>
        <v>0</v>
      </c>
      <c r="L88" s="637"/>
      <c r="M88" s="671" t="str">
        <f t="shared" si="43"/>
        <v/>
      </c>
      <c r="N88" s="445">
        <f t="shared" si="39"/>
        <v>0</v>
      </c>
      <c r="O88" s="445">
        <f t="shared" si="16"/>
        <v>0</v>
      </c>
      <c r="P88" s="445">
        <f t="shared" si="30"/>
        <v>0</v>
      </c>
      <c r="Q88" s="445">
        <f t="shared" si="30"/>
        <v>0</v>
      </c>
      <c r="R88" s="672">
        <f t="shared" si="30"/>
        <v>0</v>
      </c>
      <c r="S88" s="215"/>
      <c r="U88" s="459">
        <f t="shared" si="17"/>
        <v>0</v>
      </c>
      <c r="V88" s="459">
        <f t="shared" si="41"/>
        <v>0</v>
      </c>
      <c r="W88" s="459">
        <f t="shared" si="42"/>
        <v>0</v>
      </c>
    </row>
    <row r="89" spans="1:23">
      <c r="A89" s="341"/>
      <c r="B89" s="240" t="str">
        <f t="shared" si="40"/>
        <v/>
      </c>
      <c r="C89" s="444">
        <f t="shared" si="31"/>
        <v>0</v>
      </c>
      <c r="D89" s="444">
        <f t="shared" si="32"/>
        <v>0</v>
      </c>
      <c r="E89" s="444">
        <f t="shared" si="33"/>
        <v>0</v>
      </c>
      <c r="F89" s="444">
        <f t="shared" si="34"/>
        <v>0</v>
      </c>
      <c r="G89" s="239"/>
      <c r="H89" s="446">
        <f t="shared" si="35"/>
        <v>0</v>
      </c>
      <c r="I89" s="446" t="e">
        <f t="shared" si="36"/>
        <v>#VALUE!</v>
      </c>
      <c r="J89" s="446">
        <f t="shared" si="37"/>
        <v>0</v>
      </c>
      <c r="K89" s="446">
        <f t="shared" si="38"/>
        <v>0</v>
      </c>
      <c r="L89" s="638"/>
      <c r="M89" s="673" t="str">
        <f t="shared" si="43"/>
        <v/>
      </c>
      <c r="N89" s="446">
        <f t="shared" si="39"/>
        <v>0</v>
      </c>
      <c r="O89" s="446">
        <f t="shared" si="16"/>
        <v>0</v>
      </c>
      <c r="P89" s="446">
        <f t="shared" si="30"/>
        <v>0</v>
      </c>
      <c r="Q89" s="446">
        <f t="shared" si="30"/>
        <v>0</v>
      </c>
      <c r="R89" s="674">
        <f t="shared" si="30"/>
        <v>0</v>
      </c>
      <c r="S89" s="215"/>
      <c r="U89" s="459">
        <f t="shared" si="17"/>
        <v>0</v>
      </c>
      <c r="V89" s="459">
        <f t="shared" si="41"/>
        <v>0</v>
      </c>
      <c r="W89" s="459">
        <f t="shared" si="42"/>
        <v>0</v>
      </c>
    </row>
    <row r="90" spans="1:23">
      <c r="A90" s="341"/>
      <c r="B90" s="240" t="str">
        <f t="shared" si="40"/>
        <v/>
      </c>
      <c r="C90" s="444">
        <f t="shared" si="31"/>
        <v>0</v>
      </c>
      <c r="D90" s="444">
        <f t="shared" si="32"/>
        <v>0</v>
      </c>
      <c r="E90" s="444">
        <f t="shared" si="33"/>
        <v>0</v>
      </c>
      <c r="F90" s="444">
        <f t="shared" si="34"/>
        <v>0</v>
      </c>
      <c r="G90" s="239"/>
      <c r="H90" s="445">
        <f t="shared" si="35"/>
        <v>0</v>
      </c>
      <c r="I90" s="445" t="e">
        <f t="shared" si="36"/>
        <v>#VALUE!</v>
      </c>
      <c r="J90" s="445">
        <f t="shared" si="37"/>
        <v>0</v>
      </c>
      <c r="K90" s="445">
        <f t="shared" si="38"/>
        <v>0</v>
      </c>
      <c r="L90" s="637"/>
      <c r="M90" s="671" t="str">
        <f t="shared" si="43"/>
        <v/>
      </c>
      <c r="N90" s="445">
        <f t="shared" si="39"/>
        <v>0</v>
      </c>
      <c r="O90" s="445">
        <f t="shared" si="16"/>
        <v>0</v>
      </c>
      <c r="P90" s="445">
        <f t="shared" si="30"/>
        <v>0</v>
      </c>
      <c r="Q90" s="445">
        <f t="shared" si="30"/>
        <v>0</v>
      </c>
      <c r="R90" s="672">
        <f t="shared" si="30"/>
        <v>0</v>
      </c>
      <c r="S90" s="215"/>
      <c r="U90" s="459">
        <f t="shared" si="17"/>
        <v>0</v>
      </c>
      <c r="V90" s="459">
        <f t="shared" si="41"/>
        <v>0</v>
      </c>
      <c r="W90" s="459">
        <f t="shared" si="42"/>
        <v>0</v>
      </c>
    </row>
    <row r="91" spans="1:23">
      <c r="A91" s="341"/>
      <c r="B91" s="240" t="str">
        <f t="shared" si="40"/>
        <v/>
      </c>
      <c r="C91" s="444">
        <f t="shared" si="31"/>
        <v>0</v>
      </c>
      <c r="D91" s="444">
        <f t="shared" si="32"/>
        <v>0</v>
      </c>
      <c r="E91" s="444">
        <f t="shared" si="33"/>
        <v>0</v>
      </c>
      <c r="F91" s="444">
        <f t="shared" si="34"/>
        <v>0</v>
      </c>
      <c r="G91" s="239"/>
      <c r="H91" s="446">
        <f t="shared" si="35"/>
        <v>0</v>
      </c>
      <c r="I91" s="446" t="e">
        <f t="shared" si="36"/>
        <v>#VALUE!</v>
      </c>
      <c r="J91" s="446">
        <f t="shared" si="37"/>
        <v>0</v>
      </c>
      <c r="K91" s="446">
        <f t="shared" si="38"/>
        <v>0</v>
      </c>
      <c r="L91" s="638"/>
      <c r="M91" s="673" t="str">
        <f t="shared" si="43"/>
        <v/>
      </c>
      <c r="N91" s="446">
        <f t="shared" si="39"/>
        <v>0</v>
      </c>
      <c r="O91" s="446">
        <f>N91*12*IF(AND(INT(O$5)=$M91,O$5&gt;INT(O$5)),(1-(O$5-INT(O$5))),1)</f>
        <v>0</v>
      </c>
      <c r="P91" s="446">
        <f t="shared" si="30"/>
        <v>0</v>
      </c>
      <c r="Q91" s="446">
        <f t="shared" si="30"/>
        <v>0</v>
      </c>
      <c r="R91" s="674">
        <f t="shared" si="30"/>
        <v>0</v>
      </c>
      <c r="S91" s="215"/>
      <c r="U91" s="459">
        <f t="shared" si="17"/>
        <v>0</v>
      </c>
      <c r="V91" s="459">
        <f t="shared" si="41"/>
        <v>0</v>
      </c>
      <c r="W91" s="459">
        <f t="shared" si="42"/>
        <v>0</v>
      </c>
    </row>
    <row r="92" spans="1:23">
      <c r="A92" s="341"/>
      <c r="B92" s="240" t="str">
        <f t="shared" si="40"/>
        <v/>
      </c>
      <c r="C92" s="444">
        <f t="shared" si="31"/>
        <v>0</v>
      </c>
      <c r="D92" s="444">
        <f t="shared" si="32"/>
        <v>0</v>
      </c>
      <c r="E92" s="444">
        <f t="shared" si="33"/>
        <v>0</v>
      </c>
      <c r="F92" s="444">
        <f t="shared" si="34"/>
        <v>0</v>
      </c>
      <c r="G92" s="239"/>
      <c r="H92" s="445">
        <f t="shared" si="35"/>
        <v>0</v>
      </c>
      <c r="I92" s="445" t="e">
        <f t="shared" si="36"/>
        <v>#VALUE!</v>
      </c>
      <c r="J92" s="445">
        <f t="shared" si="37"/>
        <v>0</v>
      </c>
      <c r="K92" s="445">
        <f t="shared" si="38"/>
        <v>0</v>
      </c>
      <c r="L92" s="637"/>
      <c r="M92" s="671" t="str">
        <f t="shared" si="43"/>
        <v/>
      </c>
      <c r="N92" s="445">
        <f t="shared" si="39"/>
        <v>0</v>
      </c>
      <c r="O92" s="445">
        <f>N92*12*IF(AND(INT(O$5)=$M92,O$5&gt;INT(O$5)),(1-(O$5-INT(O$5))),1)</f>
        <v>0</v>
      </c>
      <c r="P92" s="445">
        <f t="shared" si="30"/>
        <v>0</v>
      </c>
      <c r="Q92" s="445">
        <f t="shared" si="30"/>
        <v>0</v>
      </c>
      <c r="R92" s="672">
        <f t="shared" si="30"/>
        <v>0</v>
      </c>
      <c r="S92" s="215"/>
      <c r="U92" s="459">
        <f t="shared" si="17"/>
        <v>0</v>
      </c>
      <c r="V92" s="459">
        <f t="shared" si="41"/>
        <v>0</v>
      </c>
      <c r="W92" s="459">
        <f t="shared" si="42"/>
        <v>0</v>
      </c>
    </row>
    <row r="93" spans="1:23" ht="15" thickBot="1">
      <c r="A93" s="341"/>
      <c r="B93" s="256" t="str">
        <f t="shared" si="40"/>
        <v/>
      </c>
      <c r="C93" s="444">
        <f t="shared" si="31"/>
        <v>0</v>
      </c>
      <c r="D93" s="444">
        <f t="shared" si="32"/>
        <v>0</v>
      </c>
      <c r="E93" s="444">
        <f t="shared" si="33"/>
        <v>0</v>
      </c>
      <c r="F93" s="444">
        <f t="shared" si="34"/>
        <v>0</v>
      </c>
      <c r="G93" s="447"/>
      <c r="H93" s="446">
        <f t="shared" si="35"/>
        <v>0</v>
      </c>
      <c r="I93" s="446" t="e">
        <f t="shared" si="36"/>
        <v>#VALUE!</v>
      </c>
      <c r="J93" s="446">
        <f t="shared" si="37"/>
        <v>0</v>
      </c>
      <c r="K93" s="446">
        <f t="shared" si="38"/>
        <v>0</v>
      </c>
      <c r="L93" s="638"/>
      <c r="M93" s="675" t="str">
        <f t="shared" si="43"/>
        <v/>
      </c>
      <c r="N93" s="446">
        <f t="shared" si="39"/>
        <v>0</v>
      </c>
      <c r="O93" s="446">
        <f>N93*12*IF(AND(INT(O$5)=$M93,O$5&gt;INT(O$5)),(1-(O$5-INT(O$5))),1)</f>
        <v>0</v>
      </c>
      <c r="P93" s="446">
        <f t="shared" si="30"/>
        <v>0</v>
      </c>
      <c r="Q93" s="446">
        <f t="shared" si="30"/>
        <v>0</v>
      </c>
      <c r="R93" s="674">
        <f t="shared" si="30"/>
        <v>0</v>
      </c>
      <c r="S93" s="215"/>
      <c r="U93" s="459">
        <f t="shared" si="17"/>
        <v>0</v>
      </c>
      <c r="V93" s="459">
        <f t="shared" si="41"/>
        <v>0</v>
      </c>
      <c r="W93" s="459">
        <f t="shared" si="42"/>
        <v>0</v>
      </c>
    </row>
    <row r="94" spans="1:23" ht="15" thickBot="1">
      <c r="A94" s="244"/>
      <c r="B94" s="342" t="str">
        <f t="shared" si="40"/>
        <v/>
      </c>
      <c r="C94" s="343">
        <f t="shared" si="31"/>
        <v>0</v>
      </c>
      <c r="D94" s="343"/>
      <c r="E94" s="343"/>
      <c r="F94" s="343"/>
      <c r="G94" s="243"/>
      <c r="H94" s="244"/>
      <c r="I94" s="243"/>
      <c r="J94" s="243"/>
      <c r="K94" s="245"/>
      <c r="L94" s="242"/>
      <c r="M94" s="342"/>
      <c r="N94" s="243"/>
      <c r="O94" s="245"/>
      <c r="P94" s="243"/>
      <c r="Q94" s="243"/>
      <c r="R94" s="245"/>
      <c r="S94" s="215"/>
    </row>
    <row r="95" spans="1:23"/>
  </sheetData>
  <sheetProtection selectLockedCells="1"/>
  <mergeCells count="22">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 ref="U15:W15"/>
    <mergeCell ref="N14:O15"/>
    <mergeCell ref="H15:K15"/>
    <mergeCell ref="C15:F15"/>
    <mergeCell ref="B15:B16"/>
    <mergeCell ref="P16:R16"/>
    <mergeCell ref="E14:H14"/>
  </mergeCells>
  <phoneticPr fontId="52"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25"/>
  <cols>
    <col min="1" max="3" width="10.125" style="219" customWidth="1"/>
    <col min="6" max="7" width="11.125" bestFit="1" customWidth="1"/>
    <col min="10" max="10" width="12.125" customWidth="1"/>
    <col min="11" max="11" width="11.125" customWidth="1"/>
  </cols>
  <sheetData>
    <row r="11" spans="1:16">
      <c r="A11" s="15" t="b">
        <v>1</v>
      </c>
    </row>
    <row r="12" spans="1:16">
      <c r="A12" s="15" t="b">
        <v>1</v>
      </c>
    </row>
    <row r="16" spans="1:16" ht="28.5">
      <c r="A16" s="1970" t="s">
        <v>1883</v>
      </c>
      <c r="B16" s="1970" t="s">
        <v>1884</v>
      </c>
      <c r="C16" s="1970"/>
      <c r="L16" s="802" t="e">
        <f>+'[8]BVerfG 1 BvL 5-18'!$D$3</f>
        <v>#REF!</v>
      </c>
      <c r="M16" s="802" t="s">
        <v>126</v>
      </c>
      <c r="N16" s="802" t="s">
        <v>289</v>
      </c>
      <c r="O16" s="802" t="s">
        <v>1885</v>
      </c>
      <c r="P16" s="802" t="s">
        <v>189</v>
      </c>
    </row>
    <row r="17" spans="1:16">
      <c r="A17" s="239"/>
      <c r="B17" s="239"/>
      <c r="C17" s="239"/>
    </row>
    <row r="18" spans="1:16">
      <c r="A18" s="1971" t="e">
        <f>IF(PflGesamt,IF(GesVersrgPfl,SUM(Tabelle2[[#This Row],[Spalte2]:[Spalte8]]),0),0)</f>
        <v>#REF!</v>
      </c>
      <c r="B18" s="1971" t="e">
        <f>IF(BerGesamt,SUM('[8]Berechnungen BVerfG'!P18:R18)+'[8]Berechnungen BVerfG'!N18,0)</f>
        <v>#REF!</v>
      </c>
      <c r="C18" s="1971">
        <f t="shared" ref="C18:C49" si="0">IF(GesVersrgPfl,P18,0)</f>
        <v>0</v>
      </c>
      <c r="D18" s="1971"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72">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72">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72">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71" t="e">
        <f>IF(PflGesamt,IF(GesVersrgPfl,SUM([8]!Tabelle2[[#This Row],[Spalte2]:[Spalte8]]),0),0)</f>
        <v>#REF!</v>
      </c>
      <c r="B19" s="1971" t="e">
        <f>IF(BerGesamt,SUM('[8]Berechnungen BVerfG'!P19:R19)+'[8]Berechnungen BVerfG'!N19,0)</f>
        <v>#REF!</v>
      </c>
      <c r="C19" s="1971">
        <f t="shared" si="0"/>
        <v>0</v>
      </c>
      <c r="D19" s="1971"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72">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72">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72">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71" t="e">
        <f>IF(PflGesamt,IF(GesVersrgPfl,SUM([8]!Tabelle2[[#This Row],[Spalte2]:[Spalte8]]),0),0)</f>
        <v>#REF!</v>
      </c>
      <c r="B20" s="1971" t="e">
        <f>IF(BerGesamt,SUM('[8]Berechnungen BVerfG'!P20:R20)+'[8]Berechnungen BVerfG'!N20,0)</f>
        <v>#REF!</v>
      </c>
      <c r="C20" s="1971">
        <f t="shared" si="0"/>
        <v>0</v>
      </c>
      <c r="D20" s="1971"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72">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72">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72">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71" t="e">
        <f>IF(PflGesamt,IF(GesVersrgPfl,SUM([8]!Tabelle2[[#This Row],[Spalte2]:[Spalte8]]),0),0)</f>
        <v>#REF!</v>
      </c>
      <c r="B21" s="1971" t="e">
        <f>IF(BerGesamt,SUM('[8]Berechnungen BVerfG'!P21:R21)+'[8]Berechnungen BVerfG'!N21,0)</f>
        <v>#REF!</v>
      </c>
      <c r="C21" s="1971">
        <f t="shared" si="0"/>
        <v>0</v>
      </c>
      <c r="D21" s="1971"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72">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72">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72">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71" t="e">
        <f>IF(PflGesamt,IF(GesVersrgPfl,SUM([8]!Tabelle2[[#This Row],[Spalte2]:[Spalte8]]),0),0)</f>
        <v>#REF!</v>
      </c>
      <c r="B22" s="1971" t="e">
        <f>IF(BerGesamt,SUM('[8]Berechnungen BVerfG'!P22:R22)+'[8]Berechnungen BVerfG'!N22,0)</f>
        <v>#REF!</v>
      </c>
      <c r="C22" s="1971">
        <f t="shared" si="0"/>
        <v>0</v>
      </c>
      <c r="D22" s="1971"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72">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72">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72">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71" t="e">
        <f>IF(PflGesamt,IF(GesVersrgPfl,SUM([8]!Tabelle2[[#This Row],[Spalte2]:[Spalte8]]),0),0)</f>
        <v>#REF!</v>
      </c>
      <c r="B23" s="1971" t="e">
        <f>IF(BerGesamt,SUM('[8]Berechnungen BVerfG'!P23:R23)+'[8]Berechnungen BVerfG'!N23,0)</f>
        <v>#REF!</v>
      </c>
      <c r="C23" s="1971">
        <f t="shared" si="0"/>
        <v>0</v>
      </c>
      <c r="D23" s="1971" t="e">
        <f>SUM('[8]Berechnungen BVerfG'!P23:R23)+'[8]Berechnungen BVerfG'!N23</f>
        <v>#REF!</v>
      </c>
      <c r="F23" s="474">
        <f>Adaequanz_errechneterKapWert</f>
        <v>0</v>
      </c>
      <c r="G23" s="474" t="e">
        <f>+'[8]BVerfG 1 BvL 5-18'!E20</f>
        <v>#REF!</v>
      </c>
      <c r="H23" s="474" t="e">
        <f>+'[8]BVerfG 1 BvL 5-18'!F20</f>
        <v>#REF!</v>
      </c>
      <c r="I23" s="474"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72">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72">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72">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71" t="e">
        <f>IF(PflGesamt,IF(GesVersrgPfl,SUM([8]!Tabelle2[[#This Row],[Spalte2]:[Spalte8]]),0),0)</f>
        <v>#REF!</v>
      </c>
      <c r="B24" s="1971" t="e">
        <f>IF(BerGesamt,SUM('[8]Berechnungen BVerfG'!P24:R24)+'[8]Berechnungen BVerfG'!N24,0)</f>
        <v>#REF!</v>
      </c>
      <c r="C24" s="1971">
        <f t="shared" si="0"/>
        <v>0</v>
      </c>
      <c r="D24" s="1971" t="e">
        <f>SUM('[8]Berechnungen BVerfG'!P24:R24)+'[8]Berechnungen BVerfG'!N24</f>
        <v>#REF!</v>
      </c>
      <c r="F24" s="474" t="e">
        <f>'[8]BVerfG 1 BvL 5-18'!I20</f>
        <v>#REF!</v>
      </c>
      <c r="G24" s="474" t="e">
        <f>+'[8]BVerfG 1 BvL 5-18'!H20</f>
        <v>#REF!</v>
      </c>
      <c r="H24" s="474" t="e">
        <f>'[8]BVerfG 1 BvL 5-18'!J20</f>
        <v>#REF!</v>
      </c>
      <c r="I24" s="474"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72">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72">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72">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71" t="e">
        <f>IF(PflGesamt,IF(GesVersrgPfl,SUM([8]!Tabelle2[[#This Row],[Spalte2]:[Spalte8]]),0),0)</f>
        <v>#REF!</v>
      </c>
      <c r="B25" s="1971" t="e">
        <f>IF(BerGesamt,SUM('[8]Berechnungen BVerfG'!P25:R25)+'[8]Berechnungen BVerfG'!N25,0)</f>
        <v>#REF!</v>
      </c>
      <c r="C25" s="1971">
        <f t="shared" si="0"/>
        <v>0</v>
      </c>
      <c r="D25" s="1971"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72">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72">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72">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71" t="e">
        <f>IF(PflGesamt,IF(GesVersrgPfl,SUM([8]!Tabelle2[[#This Row],[Spalte2]:[Spalte8]]),0),0)</f>
        <v>#REF!</v>
      </c>
      <c r="B26" s="1971" t="e">
        <f>IF(BerGesamt,SUM('[8]Berechnungen BVerfG'!P26:R26)+'[8]Berechnungen BVerfG'!N26,0)</f>
        <v>#REF!</v>
      </c>
      <c r="C26" s="1971">
        <f t="shared" si="0"/>
        <v>0</v>
      </c>
      <c r="D26" s="1971" t="e">
        <f>SUM('[8]Berechnungen BVerfG'!P26:R26)+'[8]Berechnungen BVerfG'!N26</f>
        <v>#REF!</v>
      </c>
      <c r="F26" s="474">
        <f>Adaequanz_errechneterKapWert</f>
        <v>0</v>
      </c>
      <c r="G26" s="474"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72">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72">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72">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71" t="e">
        <f>IF(PflGesamt,IF(GesVersrgPfl,SUM([8]!Tabelle2[[#This Row],[Spalte2]:[Spalte8]]),0),0)</f>
        <v>#REF!</v>
      </c>
      <c r="B27" s="1971" t="e">
        <f>IF(BerGesamt,SUM('[8]Berechnungen BVerfG'!P27:R27)+'[8]Berechnungen BVerfG'!N27,0)</f>
        <v>#REF!</v>
      </c>
      <c r="C27" s="1971">
        <f t="shared" si="0"/>
        <v>0</v>
      </c>
      <c r="D27" s="1971" t="e">
        <f>SUM('[8]Berechnungen BVerfG'!P27:R27)+'[8]Berechnungen BVerfG'!N27</f>
        <v>#REF!</v>
      </c>
      <c r="F27" s="474" t="e">
        <f>+G23</f>
        <v>#REF!</v>
      </c>
      <c r="G27" s="474"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72">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72">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72">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71" t="e">
        <f>IF(PflGesamt,IF(GesVersrgPfl,SUM([8]!Tabelle2[[#This Row],[Spalte2]:[Spalte8]]),0),0)</f>
        <v>#REF!</v>
      </c>
      <c r="B28" s="1971" t="e">
        <f>IF(BerGesamt,SUM('[8]Berechnungen BVerfG'!P28:R28)+'[8]Berechnungen BVerfG'!N28,0)</f>
        <v>#REF!</v>
      </c>
      <c r="C28" s="1971">
        <f t="shared" si="0"/>
        <v>0</v>
      </c>
      <c r="D28" s="1971" t="e">
        <f>SUM('[8]Berechnungen BVerfG'!P28:R28)+'[8]Berechnungen BVerfG'!N28</f>
        <v>#REF!</v>
      </c>
      <c r="F28" s="474" t="e">
        <f>+H23</f>
        <v>#REF!</v>
      </c>
      <c r="G28" s="474"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72">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72">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72">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71" t="e">
        <f>IF(PflGesamt,IF(GesVersrgPfl,SUM([8]!Tabelle2[[#This Row],[Spalte2]:[Spalte8]]),0),0)</f>
        <v>#REF!</v>
      </c>
      <c r="B29" s="1971" t="e">
        <f>IF(BerGesamt,SUM('[8]Berechnungen BVerfG'!P29:R29)+'[8]Berechnungen BVerfG'!N29,0)</f>
        <v>#REF!</v>
      </c>
      <c r="C29" s="1971">
        <f t="shared" si="0"/>
        <v>0</v>
      </c>
      <c r="D29" s="1971" t="e">
        <f>SUM('[8]Berechnungen BVerfG'!P29:R29)+'[8]Berechnungen BVerfG'!N29</f>
        <v>#REF!</v>
      </c>
      <c r="F29" s="474" t="e">
        <f>+I23</f>
        <v>#REF!</v>
      </c>
      <c r="G29" s="474"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72">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72">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72">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71" t="e">
        <f>IF(PflGesamt,IF(GesVersrgPfl,SUM([8]!Tabelle2[[#This Row],[Spalte2]:[Spalte8]]),0),0)</f>
        <v>#REF!</v>
      </c>
      <c r="B30" s="1971" t="e">
        <f>IF(BerGesamt,SUM('[8]Berechnungen BVerfG'!P30:R30)+'[8]Berechnungen BVerfG'!N30,0)</f>
        <v>#REF!</v>
      </c>
      <c r="C30" s="1971">
        <f t="shared" si="0"/>
        <v>0</v>
      </c>
      <c r="D30" s="1971"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72">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72">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72">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71" t="e">
        <f>IF(PflGesamt,IF(GesVersrgPfl,SUM([8]!Tabelle2[[#This Row],[Spalte2]:[Spalte8]]),0),0)</f>
        <v>#REF!</v>
      </c>
      <c r="B31" s="1971" t="e">
        <f>IF(BerGesamt,SUM('[8]Berechnungen BVerfG'!P31:R31)+'[8]Berechnungen BVerfG'!N31,0)</f>
        <v>#REF!</v>
      </c>
      <c r="C31" s="1971">
        <f t="shared" si="0"/>
        <v>0</v>
      </c>
      <c r="D31" s="1971"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72">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72">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72">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71" t="e">
        <f>IF(PflGesamt,IF(GesVersrgPfl,SUM([8]!Tabelle2[[#This Row],[Spalte2]:[Spalte8]]),0),0)</f>
        <v>#REF!</v>
      </c>
      <c r="B32" s="1971" t="e">
        <f>IF(BerGesamt,SUM('[8]Berechnungen BVerfG'!P32:R32)+'[8]Berechnungen BVerfG'!N32,0)</f>
        <v>#REF!</v>
      </c>
      <c r="C32" s="1971">
        <f t="shared" si="0"/>
        <v>0</v>
      </c>
      <c r="D32" s="1971"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72">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72">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72">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71" t="e">
        <f>IF(PflGesamt,IF(GesVersrgPfl,SUM([8]!Tabelle2[[#This Row],[Spalte2]:[Spalte8]]),0),0)</f>
        <v>#REF!</v>
      </c>
      <c r="B33" s="1971" t="e">
        <f>IF(BerGesamt,SUM('[8]Berechnungen BVerfG'!P33:R33)+'[8]Berechnungen BVerfG'!N33,0)</f>
        <v>#REF!</v>
      </c>
      <c r="C33" s="1971">
        <f t="shared" si="0"/>
        <v>0</v>
      </c>
      <c r="D33" s="1971"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72">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72">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72">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71" t="e">
        <f>IF(PflGesamt,IF(GesVersrgPfl,SUM([8]!Tabelle2[[#This Row],[Spalte2]:[Spalte8]]),0),0)</f>
        <v>#REF!</v>
      </c>
      <c r="B34" s="1971" t="e">
        <f>IF(BerGesamt,SUM('[8]Berechnungen BVerfG'!P34:R34)+'[8]Berechnungen BVerfG'!N34,0)</f>
        <v>#REF!</v>
      </c>
      <c r="C34" s="1971">
        <f t="shared" si="0"/>
        <v>0</v>
      </c>
      <c r="D34" s="1971"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72">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72">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72">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71" t="e">
        <f>IF(PflGesamt,IF(GesVersrgPfl,SUM([8]!Tabelle2[[#This Row],[Spalte2]:[Spalte8]]),0),0)</f>
        <v>#REF!</v>
      </c>
      <c r="B35" s="1971" t="e">
        <f>IF(BerGesamt,SUM('[8]Berechnungen BVerfG'!P35:R35)+'[8]Berechnungen BVerfG'!N35,0)</f>
        <v>#REF!</v>
      </c>
      <c r="C35" s="1971">
        <f t="shared" si="0"/>
        <v>0</v>
      </c>
      <c r="D35" s="1971"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72">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72">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72">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71" t="e">
        <f>IF(PflGesamt,IF(GesVersrgPfl,SUM([8]!Tabelle2[[#This Row],[Spalte2]:[Spalte8]]),0),0)</f>
        <v>#REF!</v>
      </c>
      <c r="B36" s="1971" t="e">
        <f>IF(BerGesamt,SUM('[8]Berechnungen BVerfG'!P36:R36)+'[8]Berechnungen BVerfG'!N36,0)</f>
        <v>#REF!</v>
      </c>
      <c r="C36" s="1971">
        <f t="shared" si="0"/>
        <v>0</v>
      </c>
      <c r="D36" s="1971"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72">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72">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72">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71" t="e">
        <f>IF(PflGesamt,IF(GesVersrgPfl,SUM([8]!Tabelle2[[#This Row],[Spalte2]:[Spalte8]]),0),0)</f>
        <v>#REF!</v>
      </c>
      <c r="B37" s="1971" t="e">
        <f>IF(BerGesamt,SUM('[8]Berechnungen BVerfG'!P37:R37)+'[8]Berechnungen BVerfG'!N37,0)</f>
        <v>#REF!</v>
      </c>
      <c r="C37" s="1971">
        <f t="shared" si="0"/>
        <v>0</v>
      </c>
      <c r="D37" s="1971"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72">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72">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72">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71" t="e">
        <f>IF(PflGesamt,IF(GesVersrgPfl,SUM([8]!Tabelle2[[#This Row],[Spalte2]:[Spalte8]]),0),0)</f>
        <v>#REF!</v>
      </c>
      <c r="B38" s="1971" t="e">
        <f>IF(BerGesamt,SUM('[8]Berechnungen BVerfG'!P38:R38)+'[8]Berechnungen BVerfG'!N38,0)</f>
        <v>#REF!</v>
      </c>
      <c r="C38" s="1971">
        <f t="shared" si="0"/>
        <v>0</v>
      </c>
      <c r="D38" s="1971"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72">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72">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72">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71" t="e">
        <f>IF(PflGesamt,IF(GesVersrgPfl,SUM([8]!Tabelle2[[#This Row],[Spalte2]:[Spalte8]]),0),0)</f>
        <v>#REF!</v>
      </c>
      <c r="B39" s="1971" t="e">
        <f>IF(BerGesamt,SUM('[8]Berechnungen BVerfG'!P39:R39)+'[8]Berechnungen BVerfG'!N39,0)</f>
        <v>#REF!</v>
      </c>
      <c r="C39" s="1971">
        <f t="shared" si="0"/>
        <v>0</v>
      </c>
      <c r="D39" s="1971"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72">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72">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72">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71" t="e">
        <f>IF(PflGesamt,IF(GesVersrgPfl,SUM([8]!Tabelle2[[#This Row],[Spalte2]:[Spalte8]]),0),0)</f>
        <v>#REF!</v>
      </c>
      <c r="B40" s="1971" t="e">
        <f>IF(BerGesamt,SUM('[8]Berechnungen BVerfG'!P40:R40)+'[8]Berechnungen BVerfG'!N40,0)</f>
        <v>#REF!</v>
      </c>
      <c r="C40" s="1971">
        <f t="shared" si="0"/>
        <v>0</v>
      </c>
      <c r="D40" s="1971"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72">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72">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72">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71" t="e">
        <f>IF(PflGesamt,IF(GesVersrgPfl,SUM([8]!Tabelle2[[#This Row],[Spalte2]:[Spalte8]]),0),0)</f>
        <v>#REF!</v>
      </c>
      <c r="B41" s="1971" t="e">
        <f>IF(BerGesamt,SUM('[8]Berechnungen BVerfG'!P41:R41)+'[8]Berechnungen BVerfG'!N41,0)</f>
        <v>#REF!</v>
      </c>
      <c r="C41" s="1971">
        <f t="shared" si="0"/>
        <v>0</v>
      </c>
      <c r="D41" s="1971"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72">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72">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72">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71" t="e">
        <f>IF(PflGesamt,IF(GesVersrgPfl,SUM([8]!Tabelle2[[#This Row],[Spalte2]:[Spalte8]]),0),0)</f>
        <v>#REF!</v>
      </c>
      <c r="B42" s="1971" t="e">
        <f>IF(BerGesamt,SUM('[8]Berechnungen BVerfG'!P42:R42)+'[8]Berechnungen BVerfG'!N42,0)</f>
        <v>#REF!</v>
      </c>
      <c r="C42" s="1971">
        <f t="shared" si="0"/>
        <v>0</v>
      </c>
      <c r="D42" s="1971"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72">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72">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72">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71" t="e">
        <f>IF(PflGesamt,IF(GesVersrgPfl,SUM([8]!Tabelle2[[#This Row],[Spalte2]:[Spalte8]]),0),0)</f>
        <v>#REF!</v>
      </c>
      <c r="B43" s="1971" t="e">
        <f>IF(BerGesamt,SUM('[8]Berechnungen BVerfG'!P43:R43)+'[8]Berechnungen BVerfG'!N43,0)</f>
        <v>#REF!</v>
      </c>
      <c r="C43" s="1971">
        <f t="shared" si="0"/>
        <v>0</v>
      </c>
      <c r="D43" s="1971"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72">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72">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72">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71" t="e">
        <f>IF(PflGesamt,IF(GesVersrgPfl,SUM([8]!Tabelle2[[#This Row],[Spalte2]:[Spalte8]]),0),0)</f>
        <v>#REF!</v>
      </c>
      <c r="B44" s="1971" t="e">
        <f>IF(BerGesamt,SUM('[8]Berechnungen BVerfG'!P44:R44)+'[8]Berechnungen BVerfG'!N44,0)</f>
        <v>#REF!</v>
      </c>
      <c r="C44" s="1971">
        <f t="shared" si="0"/>
        <v>0</v>
      </c>
      <c r="D44" s="1971"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72">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72">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72">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71" t="e">
        <f>IF(PflGesamt,IF(GesVersrgPfl,SUM([8]!Tabelle2[[#This Row],[Spalte2]:[Spalte8]]),0),0)</f>
        <v>#REF!</v>
      </c>
      <c r="B45" s="1971" t="e">
        <f>IF(BerGesamt,SUM('[8]Berechnungen BVerfG'!P45:R45)+'[8]Berechnungen BVerfG'!N45,0)</f>
        <v>#REF!</v>
      </c>
      <c r="C45" s="1971">
        <f t="shared" si="0"/>
        <v>0</v>
      </c>
      <c r="D45" s="1971"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72">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72">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72">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71" t="e">
        <f>IF(PflGesamt,IF(GesVersrgPfl,SUM([8]!Tabelle2[[#This Row],[Spalte2]:[Spalte8]]),0),0)</f>
        <v>#REF!</v>
      </c>
      <c r="B46" s="1971" t="e">
        <f>IF(BerGesamt,SUM('[8]Berechnungen BVerfG'!P46:R46)+'[8]Berechnungen BVerfG'!N46,0)</f>
        <v>#REF!</v>
      </c>
      <c r="C46" s="1971">
        <f t="shared" si="0"/>
        <v>0</v>
      </c>
      <c r="D46" s="1971"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72">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72">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72">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71" t="e">
        <f>IF(PflGesamt,IF(GesVersrgPfl,SUM([8]!Tabelle2[[#This Row],[Spalte2]:[Spalte8]]),0),0)</f>
        <v>#REF!</v>
      </c>
      <c r="B47" s="1971" t="e">
        <f>IF(BerGesamt,SUM('[8]Berechnungen BVerfG'!P47:R47)+'[8]Berechnungen BVerfG'!N47,0)</f>
        <v>#REF!</v>
      </c>
      <c r="C47" s="1971">
        <f t="shared" si="0"/>
        <v>0</v>
      </c>
      <c r="D47" s="1971"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72">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72">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72">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71" t="e">
        <f>IF(PflGesamt,IF(GesVersrgPfl,SUM([8]!Tabelle2[[#This Row],[Spalte2]:[Spalte8]]),0),0)</f>
        <v>#REF!</v>
      </c>
      <c r="B48" s="1971" t="e">
        <f>IF(BerGesamt,SUM('[8]Berechnungen BVerfG'!P48:R48)+'[8]Berechnungen BVerfG'!N48,0)</f>
        <v>#REF!</v>
      </c>
      <c r="C48" s="1971">
        <f t="shared" si="0"/>
        <v>0</v>
      </c>
      <c r="D48" s="1971"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72">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72">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72">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71" t="e">
        <f>IF(PflGesamt,IF(GesVersrgPfl,SUM([8]!Tabelle2[[#This Row],[Spalte2]:[Spalte8]]),0),0)</f>
        <v>#REF!</v>
      </c>
      <c r="B49" s="1971" t="e">
        <f>IF(BerGesamt,SUM('[8]Berechnungen BVerfG'!P49:R49)+'[8]Berechnungen BVerfG'!N49,0)</f>
        <v>#REF!</v>
      </c>
      <c r="C49" s="1971">
        <f t="shared" si="0"/>
        <v>0</v>
      </c>
      <c r="D49" s="1971"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72">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72">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72">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71" t="e">
        <f>IF(PflGesamt,IF(GesVersrgPfl,SUM([8]!Tabelle2[[#This Row],[Spalte2]:[Spalte8]]),0),0)</f>
        <v>#REF!</v>
      </c>
      <c r="B50" s="1971" t="e">
        <f>IF(BerGesamt,SUM('[8]Berechnungen BVerfG'!P50:R50)+'[8]Berechnungen BVerfG'!N50,0)</f>
        <v>#REF!</v>
      </c>
      <c r="C50" s="1971">
        <f t="shared" ref="C50:C70" si="2">IF(GesVersrgPfl,P50,0)</f>
        <v>0</v>
      </c>
      <c r="D50" s="1971"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72">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72">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72">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71" t="e">
        <f>IF(PflGesamt,IF(GesVersrgPfl,SUM([8]!Tabelle2[[#This Row],[Spalte2]:[Spalte8]]),0),0)</f>
        <v>#REF!</v>
      </c>
      <c r="B51" s="1971" t="e">
        <f>IF(BerGesamt,SUM('[8]Berechnungen BVerfG'!P51:R51)+'[8]Berechnungen BVerfG'!N51,0)</f>
        <v>#REF!</v>
      </c>
      <c r="C51" s="1971">
        <f t="shared" si="2"/>
        <v>0</v>
      </c>
      <c r="D51" s="1971"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72">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72">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72">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71" t="e">
        <f>IF(PflGesamt,IF(GesVersrgPfl,SUM([8]!Tabelle2[[#This Row],[Spalte2]:[Spalte8]]),0),0)</f>
        <v>#REF!</v>
      </c>
      <c r="B52" s="1971" t="e">
        <f>IF(BerGesamt,SUM('[8]Berechnungen BVerfG'!P52:R52)+'[8]Berechnungen BVerfG'!N52,0)</f>
        <v>#REF!</v>
      </c>
      <c r="C52" s="1971">
        <f t="shared" si="2"/>
        <v>0</v>
      </c>
      <c r="D52" s="1971"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72">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72">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72">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71" t="e">
        <f>IF(PflGesamt,IF(GesVersrgPfl,SUM([8]!Tabelle2[[#This Row],[Spalte2]:[Spalte8]]),0),0)</f>
        <v>#REF!</v>
      </c>
      <c r="B53" s="1971" t="e">
        <f>IF(BerGesamt,SUM('[8]Berechnungen BVerfG'!P53:R53)+'[8]Berechnungen BVerfG'!N53,0)</f>
        <v>#REF!</v>
      </c>
      <c r="C53" s="1971">
        <f t="shared" si="2"/>
        <v>0</v>
      </c>
      <c r="D53" s="1971"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72">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72">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72">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71" t="e">
        <f>IF(PflGesamt,IF(GesVersrgPfl,SUM([8]!Tabelle2[[#This Row],[Spalte2]:[Spalte8]]),0),0)</f>
        <v>#REF!</v>
      </c>
      <c r="B54" s="1971" t="e">
        <f>IF(BerGesamt,SUM('[8]Berechnungen BVerfG'!P54:R54)+'[8]Berechnungen BVerfG'!N54,0)</f>
        <v>#REF!</v>
      </c>
      <c r="C54" s="1971">
        <f t="shared" si="2"/>
        <v>0</v>
      </c>
      <c r="D54" s="1971"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72">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72">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72">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71" t="e">
        <f>IF(PflGesamt,IF(GesVersrgPfl,SUM([8]!Tabelle2[[#This Row],[Spalte2]:[Spalte8]]),0),0)</f>
        <v>#REF!</v>
      </c>
      <c r="B55" s="1971" t="e">
        <f>IF(BerGesamt,SUM('[8]Berechnungen BVerfG'!P55:R55)+'[8]Berechnungen BVerfG'!N55,0)</f>
        <v>#REF!</v>
      </c>
      <c r="C55" s="1971">
        <f t="shared" si="2"/>
        <v>0</v>
      </c>
      <c r="D55" s="1971"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72">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72">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72">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71" t="e">
        <f>IF(PflGesamt,IF(GesVersrgPfl,SUM([8]!Tabelle2[[#This Row],[Spalte2]:[Spalte8]]),0),0)</f>
        <v>#REF!</v>
      </c>
      <c r="B56" s="1971" t="e">
        <f>IF(BerGesamt,SUM('[8]Berechnungen BVerfG'!P56:R56)+'[8]Berechnungen BVerfG'!N56,0)</f>
        <v>#REF!</v>
      </c>
      <c r="C56" s="1971">
        <f t="shared" si="2"/>
        <v>0</v>
      </c>
      <c r="D56" s="1971"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72">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72">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72">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71" t="e">
        <f>IF(PflGesamt,IF(GesVersrgPfl,SUM([8]!Tabelle2[[#This Row],[Spalte2]:[Spalte8]]),0),0)</f>
        <v>#REF!</v>
      </c>
      <c r="B57" s="1971" t="e">
        <f>IF(BerGesamt,SUM('[8]Berechnungen BVerfG'!P57:R57)+'[8]Berechnungen BVerfG'!N57,0)</f>
        <v>#REF!</v>
      </c>
      <c r="C57" s="1971">
        <f t="shared" si="2"/>
        <v>0</v>
      </c>
      <c r="D57" s="1971"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72">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72">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72">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71" t="e">
        <f>IF(PflGesamt,IF(GesVersrgPfl,SUM([8]!Tabelle2[[#This Row],[Spalte2]:[Spalte8]]),0),0)</f>
        <v>#REF!</v>
      </c>
      <c r="B58" s="1971" t="e">
        <f>IF(BerGesamt,SUM('[8]Berechnungen BVerfG'!P58:R58)+'[8]Berechnungen BVerfG'!N58,0)</f>
        <v>#REF!</v>
      </c>
      <c r="C58" s="1971">
        <f t="shared" si="2"/>
        <v>0</v>
      </c>
      <c r="D58" s="1971"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72">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72">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72">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71" t="e">
        <f>IF(PflGesamt,IF(GesVersrgPfl,SUM([8]!Tabelle2[[#This Row],[Spalte2]:[Spalte8]]),0),0)</f>
        <v>#REF!</v>
      </c>
      <c r="B59" s="1971" t="e">
        <f>IF(BerGesamt,SUM('[8]Berechnungen BVerfG'!P59:R59)+'[8]Berechnungen BVerfG'!N59,0)</f>
        <v>#REF!</v>
      </c>
      <c r="C59" s="1971">
        <f t="shared" si="2"/>
        <v>0</v>
      </c>
      <c r="D59" s="1971"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72">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72">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72">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71" t="e">
        <f>IF(PflGesamt,IF(GesVersrgPfl,SUM([8]!Tabelle2[[#This Row],[Spalte2]:[Spalte8]]),0),0)</f>
        <v>#REF!</v>
      </c>
      <c r="B60" s="1971" t="e">
        <f>IF(BerGesamt,SUM('[8]Berechnungen BVerfG'!P60:R60)+'[8]Berechnungen BVerfG'!N60,0)</f>
        <v>#REF!</v>
      </c>
      <c r="C60" s="1971">
        <f t="shared" si="2"/>
        <v>0</v>
      </c>
      <c r="D60" s="1971"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72">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72">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72">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71" t="e">
        <f>IF(PflGesamt,IF(GesVersrgPfl,SUM([8]!Tabelle2[[#This Row],[Spalte2]:[Spalte8]]),0),0)</f>
        <v>#REF!</v>
      </c>
      <c r="B61" s="1971" t="e">
        <f>IF(BerGesamt,SUM('[8]Berechnungen BVerfG'!P61:R61)+'[8]Berechnungen BVerfG'!N61,0)</f>
        <v>#REF!</v>
      </c>
      <c r="C61" s="1971">
        <f t="shared" si="2"/>
        <v>0</v>
      </c>
      <c r="D61" s="1971"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72">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72">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72">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71" t="e">
        <f>IF(PflGesamt,IF(GesVersrgPfl,SUM([8]!Tabelle2[[#This Row],[Spalte2]:[Spalte8]]),0),0)</f>
        <v>#REF!</v>
      </c>
      <c r="B62" s="1971" t="e">
        <f>IF(BerGesamt,SUM('[8]Berechnungen BVerfG'!P62:R62)+'[8]Berechnungen BVerfG'!N62,0)</f>
        <v>#REF!</v>
      </c>
      <c r="C62" s="1971">
        <f t="shared" si="2"/>
        <v>0</v>
      </c>
      <c r="D62" s="1971"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72">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72">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72">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71" t="e">
        <f>IF(PflGesamt,IF(GesVersrgPfl,SUM([8]!Tabelle2[[#This Row],[Spalte2]:[Spalte8]]),0),0)</f>
        <v>#REF!</v>
      </c>
      <c r="B63" s="1971" t="e">
        <f>IF(BerGesamt,SUM('[8]Berechnungen BVerfG'!P63:R63)+'[8]Berechnungen BVerfG'!N63,0)</f>
        <v>#REF!</v>
      </c>
      <c r="C63" s="1971">
        <f t="shared" si="2"/>
        <v>0</v>
      </c>
      <c r="D63" s="1971"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72">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72">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72">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71" t="e">
        <f>IF(PflGesamt,IF(GesVersrgPfl,SUM([8]!Tabelle2[[#This Row],[Spalte2]:[Spalte8]]),0),0)</f>
        <v>#REF!</v>
      </c>
      <c r="B64" s="1971" t="e">
        <f>IF(BerGesamt,SUM('[8]Berechnungen BVerfG'!P64:R64)+'[8]Berechnungen BVerfG'!N64,0)</f>
        <v>#REF!</v>
      </c>
      <c r="C64" s="1971">
        <f t="shared" si="2"/>
        <v>0</v>
      </c>
      <c r="D64" s="1971"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72">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72">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72">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71" t="e">
        <f>IF(PflGesamt,IF(GesVersrgPfl,SUM([8]!Tabelle2[[#This Row],[Spalte2]:[Spalte8]]),0),0)</f>
        <v>#REF!</v>
      </c>
      <c r="B65" s="1971" t="e">
        <f>IF(BerGesamt,SUM('[8]Berechnungen BVerfG'!P65:R65)+'[8]Berechnungen BVerfG'!N65,0)</f>
        <v>#REF!</v>
      </c>
      <c r="C65" s="1971">
        <f t="shared" si="2"/>
        <v>0</v>
      </c>
      <c r="D65" s="1971"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72">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72">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72">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71" t="e">
        <f>IF(PflGesamt,IF(GesVersrgPfl,SUM([8]!Tabelle2[[#This Row],[Spalte2]:[Spalte8]]),0),0)</f>
        <v>#REF!</v>
      </c>
      <c r="B66" s="1971" t="e">
        <f>IF(BerGesamt,SUM('[8]Berechnungen BVerfG'!P66:R66)+'[8]Berechnungen BVerfG'!N66,0)</f>
        <v>#REF!</v>
      </c>
      <c r="C66" s="1971">
        <f t="shared" si="2"/>
        <v>0</v>
      </c>
      <c r="D66" s="1971"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72">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72">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72">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71" t="e">
        <f>IF(PflGesamt,IF(GesVersrgPfl,SUM([8]!Tabelle2[[#This Row],[Spalte2]:[Spalte8]]),0),0)</f>
        <v>#REF!</v>
      </c>
      <c r="B67" s="1971" t="e">
        <f>IF(BerGesamt,SUM('[8]Berechnungen BVerfG'!P67:R67)+'[8]Berechnungen BVerfG'!N67,0)</f>
        <v>#REF!</v>
      </c>
      <c r="C67" s="1971">
        <f t="shared" si="2"/>
        <v>0</v>
      </c>
      <c r="D67" s="1971"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72">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72">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72">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71" t="e">
        <f>IF(PflGesamt,IF(GesVersrgPfl,SUM([8]!Tabelle2[[#This Row],[Spalte2]:[Spalte8]]),0),0)</f>
        <v>#REF!</v>
      </c>
      <c r="B68" s="1971" t="e">
        <f>IF(BerGesamt,SUM('[8]Berechnungen BVerfG'!P68:R68)+'[8]Berechnungen BVerfG'!N68,0)</f>
        <v>#REF!</v>
      </c>
      <c r="C68" s="1971">
        <f t="shared" si="2"/>
        <v>0</v>
      </c>
      <c r="D68" s="1971"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72">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72">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72">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71" t="e">
        <f>IF(PflGesamt,IF(GesVersrgPfl,SUM([8]!Tabelle2[[#This Row],[Spalte2]:[Spalte8]]),0),0)</f>
        <v>#REF!</v>
      </c>
      <c r="B69" s="1971" t="e">
        <f>IF(BerGesamt,SUM('[8]Berechnungen BVerfG'!P69:R69)+'[8]Berechnungen BVerfG'!N69,0)</f>
        <v>#REF!</v>
      </c>
      <c r="C69" s="1971">
        <f t="shared" si="2"/>
        <v>0</v>
      </c>
      <c r="D69" s="1971"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72">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72">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72">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71" t="e">
        <f>IF(PflGesamt,IF(GesVersrgPfl,SUM([8]!Tabelle2[[#This Row],[Spalte2]:[Spalte8]]),0),0)</f>
        <v>#REF!</v>
      </c>
      <c r="B70" s="1971" t="e">
        <f>IF(BerGesamt,SUM('[8]Berechnungen BVerfG'!P70:R70)+'[8]Berechnungen BVerfG'!N70,0)</f>
        <v>#REF!</v>
      </c>
      <c r="C70" s="1971">
        <f t="shared" si="2"/>
        <v>0</v>
      </c>
      <c r="D70" s="1971"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72">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72">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72">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71" t="e">
        <f>IF(PflGesamt,IF(GesVersrgPfl,SUM([8]!Tabelle2[[#This Row],[Spalte2]:[Spalte8]]),0),0)</f>
        <v>#REF!</v>
      </c>
      <c r="B71" s="1971" t="e">
        <f>IF(BerGesamt,SUM('[8]Berechnungen BVerfG'!P71:R71)+'[8]Berechnungen BVerfG'!N71,0)</f>
        <v>#REF!</v>
      </c>
      <c r="C71" s="1971">
        <f>IF(GesVersrgPfl,SUM([8]!Tabelle2[[#This Row],[Spalte2]:[Spalte8]]),0)</f>
        <v>0</v>
      </c>
      <c r="D71" s="1971" t="e">
        <f>SUM('[8]Berechnungen BVerfG'!R71:T71)+'[8]Berechnungen BVerfG'!P71</f>
        <v>#REF!</v>
      </c>
    </row>
    <row r="72" spans="1:16">
      <c r="A72" s="1971" t="e">
        <f>IF(PflGesamt,IF(GesVersrgPfl,SUM([8]!Tabelle2[[#This Row],[Spalte2]:[Spalte8]]),0),0)</f>
        <v>#REF!</v>
      </c>
      <c r="B72" s="1971" t="e">
        <f>IF(BerGesamt,SUM('[8]Berechnungen BVerfG'!P72:R72)+'[8]Berechnungen BVerfG'!N72,0)</f>
        <v>#REF!</v>
      </c>
      <c r="C72" s="1971">
        <f>IF(GesVersrgPfl,SUM([8]!Tabelle2[[#This Row],[Spalte2]:[Spalte8]]),0)</f>
        <v>0</v>
      </c>
      <c r="D72" s="1971" t="e">
        <f>SUM('[8]Berechnungen BVerfG'!R72:T72)+'[8]Berechnungen BVerfG'!P72</f>
        <v>#REF!</v>
      </c>
    </row>
    <row r="73" spans="1:16">
      <c r="A73" s="1971" t="e">
        <f>IF(PflGesamt,IF(GesVersrgPfl,SUM([8]!Tabelle2[[#This Row],[Spalte2]:[Spalte8]]),0),0)</f>
        <v>#REF!</v>
      </c>
      <c r="B73" s="1971" t="e">
        <f>IF(BerGesamt,SUM('[8]Berechnungen BVerfG'!P73:R73)+'[8]Berechnungen BVerfG'!N73,0)</f>
        <v>#REF!</v>
      </c>
      <c r="C73" s="1971">
        <f>IF(GesVersrgPfl,SUM([8]!Tabelle2[[#This Row],[Spalte2]:[Spalte8]]),0)</f>
        <v>0</v>
      </c>
      <c r="D73" s="1971" t="e">
        <f>SUM('[8]Berechnungen BVerfG'!R73:T73)+'[8]Berechnungen BVerfG'!P73</f>
        <v>#REF!</v>
      </c>
    </row>
    <row r="74" spans="1:16">
      <c r="A74" s="1971" t="e">
        <f>IF(PflGesamt,IF(GesVersrgPfl,SUM([8]!Tabelle2[[#This Row],[Spalte2]:[Spalte8]]),0),0)</f>
        <v>#REF!</v>
      </c>
      <c r="B74" s="1971" t="e">
        <f>IF(BerGesamt,SUM('[8]Berechnungen BVerfG'!P74:R74)+'[8]Berechnungen BVerfG'!N74,0)</f>
        <v>#REF!</v>
      </c>
      <c r="C74" s="1971">
        <f>IF(GesVersrgPfl,SUM([8]!Tabelle2[[#This Row],[Spalte2]:[Spalte8]]),0)</f>
        <v>0</v>
      </c>
      <c r="D74" s="1971" t="e">
        <f>SUM('[8]Berechnungen BVerfG'!R74:T74)+'[8]Berechnungen BVerfG'!P74</f>
        <v>#REF!</v>
      </c>
    </row>
    <row r="75" spans="1:16">
      <c r="A75" s="1971" t="e">
        <f>IF(PflGesamt,IF(GesVersrgPfl,SUM([8]!Tabelle2[[#This Row],[Spalte2]:[Spalte8]]),0),0)</f>
        <v>#REF!</v>
      </c>
      <c r="B75" s="1971" t="e">
        <f>IF(BerGesamt,SUM('[8]Berechnungen BVerfG'!P75:R75)+'[8]Berechnungen BVerfG'!N75,0)</f>
        <v>#REF!</v>
      </c>
      <c r="C75" s="1971">
        <f>IF(GesVersrgPfl,SUM([8]!Tabelle2[[#This Row],[Spalte2]:[Spalte8]]),0)</f>
        <v>0</v>
      </c>
      <c r="D75" s="1971" t="e">
        <f>SUM('[8]Berechnungen BVerfG'!R75:T75)+'[8]Berechnungen BVerfG'!P75</f>
        <v>#REF!</v>
      </c>
    </row>
    <row r="76" spans="1:16">
      <c r="A76" s="1971" t="e">
        <f>IF(PflGesamt,IF(GesVersrgPfl,SUM([8]!Tabelle2[[#This Row],[Spalte2]:[Spalte8]]),0),0)</f>
        <v>#REF!</v>
      </c>
      <c r="B76" s="1971" t="e">
        <f>IF(BerGesamt,SUM('[8]Berechnungen BVerfG'!P76:R76)+'[8]Berechnungen BVerfG'!N76,0)</f>
        <v>#REF!</v>
      </c>
      <c r="C76" s="1971">
        <f>IF(GesVersrgPfl,SUM([8]!Tabelle2[[#This Row],[Spalte2]:[Spalte8]]),0)</f>
        <v>0</v>
      </c>
      <c r="D76" s="1971" t="e">
        <f>SUM('[8]Berechnungen BVerfG'!R76:T76)+'[8]Berechnungen BVerfG'!P76</f>
        <v>#REF!</v>
      </c>
    </row>
    <row r="77" spans="1:16">
      <c r="A77" s="1971" t="e">
        <f>IF(PflGesamt,IF(GesVersrgPfl,SUM([8]!Tabelle2[[#This Row],[Spalte2]:[Spalte8]]),0),0)</f>
        <v>#REF!</v>
      </c>
      <c r="B77" s="1971" t="e">
        <f>IF(BerGesamt,SUM('[8]Berechnungen BVerfG'!P77:R77)+'[8]Berechnungen BVerfG'!N77,0)</f>
        <v>#REF!</v>
      </c>
      <c r="C77" s="1971">
        <f>IF(GesVersrgPfl,SUM([8]!Tabelle2[[#This Row],[Spalte2]:[Spalte8]]),0)</f>
        <v>0</v>
      </c>
      <c r="D77" s="1971" t="e">
        <f>SUM('[8]Berechnungen BVerfG'!R77:T77)+'[8]Berechnungen BVerfG'!P77</f>
        <v>#REF!</v>
      </c>
    </row>
    <row r="78" spans="1:16">
      <c r="A78" s="1971" t="e">
        <f>IF(PflGesamt,IF(GesVersrgPfl,SUM([8]!Tabelle2[[#This Row],[Spalte2]:[Spalte8]]),0),0)</f>
        <v>#REF!</v>
      </c>
      <c r="B78" s="1971" t="e">
        <f>IF(BerGesamt,SUM('[8]Berechnungen BVerfG'!P78:R78)+'[8]Berechnungen BVerfG'!N78,0)</f>
        <v>#REF!</v>
      </c>
      <c r="C78" s="1971">
        <f>IF(GesVersrgPfl,SUM([8]!Tabelle2[[#This Row],[Spalte2]:[Spalte8]]),0)</f>
        <v>0</v>
      </c>
      <c r="D78" s="1971" t="e">
        <f>SUM('[8]Berechnungen BVerfG'!R78:T78)+'[8]Berechnungen BVerfG'!P78</f>
        <v>#REF!</v>
      </c>
    </row>
    <row r="79" spans="1:16">
      <c r="A79" s="1971" t="e">
        <f>IF(PflGesamt,IF(GesVersrgPfl,SUM([8]!Tabelle2[[#This Row],[Spalte2]:[Spalte8]]),0),0)</f>
        <v>#REF!</v>
      </c>
      <c r="B79" s="1971" t="e">
        <f>IF(BerGesamt,SUM('[8]Berechnungen BVerfG'!P79:R79)+'[8]Berechnungen BVerfG'!N79,0)</f>
        <v>#REF!</v>
      </c>
      <c r="C79" s="1971">
        <f>IF(GesVersrgPfl,SUM([8]!Tabelle2[[#This Row],[Spalte2]:[Spalte8]]),0)</f>
        <v>0</v>
      </c>
      <c r="D79" s="1971" t="e">
        <f>SUM('[8]Berechnungen BVerfG'!R79:T79)+'[8]Berechnungen BVerfG'!P79</f>
        <v>#REF!</v>
      </c>
    </row>
    <row r="80" spans="1:16">
      <c r="A80" s="1971" t="e">
        <f>IF(PflGesamt,IF(GesVersrgPfl,SUM([8]!Tabelle2[[#This Row],[Spalte2]:[Spalte8]]),0),0)</f>
        <v>#REF!</v>
      </c>
      <c r="B80" s="1971" t="e">
        <f>IF(BerGesamt,SUM('[8]Berechnungen BVerfG'!P80:R80)+'[8]Berechnungen BVerfG'!N80,0)</f>
        <v>#REF!</v>
      </c>
      <c r="C80" s="1971">
        <f>IF(GesVersrgPfl,SUM([8]!Tabelle2[[#This Row],[Spalte2]:[Spalte8]]),0)</f>
        <v>0</v>
      </c>
      <c r="D80" s="1971" t="e">
        <f>SUM('[8]Berechnungen BVerfG'!R80:T80)+'[8]Berechnungen BVerfG'!P80</f>
        <v>#REF!</v>
      </c>
    </row>
    <row r="81" spans="1:4">
      <c r="A81" s="1971" t="e">
        <f>IF(PflGesamt,IF(GesVersrgPfl,SUM([8]!Tabelle2[[#This Row],[Spalte2]:[Spalte8]]),0),0)</f>
        <v>#REF!</v>
      </c>
      <c r="B81" s="1971" t="e">
        <f>IF(BerGesamt,SUM('[8]Berechnungen BVerfG'!P81:R81)+'[8]Berechnungen BVerfG'!N81,0)</f>
        <v>#REF!</v>
      </c>
      <c r="C81" s="1971">
        <f>IF(GesVersrgPfl,SUM([8]!Tabelle2[[#This Row],[Spalte2]:[Spalte8]]),0)</f>
        <v>0</v>
      </c>
      <c r="D81" s="1971" t="e">
        <f>SUM('[8]Berechnungen BVerfG'!R81:T81)+'[8]Berechnungen BVerfG'!P81</f>
        <v>#REF!</v>
      </c>
    </row>
    <row r="82" spans="1:4">
      <c r="A82" s="1971" t="e">
        <f>IF(PflGesamt,IF(GesVersrgPfl,SUM([8]!Tabelle2[[#This Row],[Spalte2]:[Spalte8]]),0),0)</f>
        <v>#REF!</v>
      </c>
      <c r="B82" s="1971" t="e">
        <f>IF(BerGesamt,SUM('[8]Berechnungen BVerfG'!P82:R82)+'[8]Berechnungen BVerfG'!N82,0)</f>
        <v>#REF!</v>
      </c>
      <c r="C82" s="1971">
        <f>IF(GesVersrgPfl,SUM([8]!Tabelle2[[#This Row],[Spalte2]:[Spalte8]]),0)</f>
        <v>0</v>
      </c>
      <c r="D82" s="1971" t="e">
        <f>SUM('[8]Berechnungen BVerfG'!R82:T82)+'[8]Berechnungen BVerfG'!P82</f>
        <v>#REF!</v>
      </c>
    </row>
    <row r="83" spans="1:4">
      <c r="A83" s="1971" t="e">
        <f>IF(PflGesamt,IF(GesVersrgPfl,SUM([8]!Tabelle2[[#This Row],[Spalte2]:[Spalte8]]),0),0)</f>
        <v>#REF!</v>
      </c>
      <c r="B83" s="1971" t="e">
        <f>IF(BerGesamt,SUM('[8]Berechnungen BVerfG'!P83:R83)+'[8]Berechnungen BVerfG'!N83,0)</f>
        <v>#REF!</v>
      </c>
      <c r="C83" s="1971">
        <f>IF(GesVersrgPfl,SUM([8]!Tabelle2[[#This Row],[Spalte2]:[Spalte8]]),0)</f>
        <v>0</v>
      </c>
      <c r="D83" s="1971" t="e">
        <f>SUM('[8]Berechnungen BVerfG'!R83:T83)+'[8]Berechnungen BVerfG'!P83</f>
        <v>#REF!</v>
      </c>
    </row>
    <row r="84" spans="1:4">
      <c r="A84" s="1971" t="e">
        <f>IF(PflGesamt,IF(GesVersrgPfl,SUM([8]!Tabelle2[[#This Row],[Spalte2]:[Spalte8]]),0),0)</f>
        <v>#REF!</v>
      </c>
      <c r="B84" s="1971" t="e">
        <f>IF(BerGesamt,SUM('[8]Berechnungen BVerfG'!P84:R84)+'[8]Berechnungen BVerfG'!N84,0)</f>
        <v>#REF!</v>
      </c>
      <c r="C84" s="1971">
        <f>IF(GesVersrgPfl,SUM([8]!Tabelle2[[#This Row],[Spalte2]:[Spalte8]]),0)</f>
        <v>0</v>
      </c>
      <c r="D84" s="1971" t="e">
        <f>SUM('[8]Berechnungen BVerfG'!R84:T84)+'[8]Berechnungen BVerfG'!P84</f>
        <v>#REF!</v>
      </c>
    </row>
    <row r="85" spans="1:4">
      <c r="A85" s="1971" t="e">
        <f>IF(PflGesamt,IF(GesVersrgPfl,SUM([8]!Tabelle2[[#This Row],[Spalte2]:[Spalte8]]),0),0)</f>
        <v>#REF!</v>
      </c>
      <c r="B85" s="1971" t="e">
        <f>IF(BerGesamt,SUM('[8]Berechnungen BVerfG'!P85:R85)+'[8]Berechnungen BVerfG'!N85,0)</f>
        <v>#REF!</v>
      </c>
      <c r="C85" s="1971">
        <f>IF(GesVersrgPfl,SUM([8]!Tabelle2[[#This Row],[Spalte2]:[Spalte8]]),0)</f>
        <v>0</v>
      </c>
      <c r="D85" s="1971" t="e">
        <f>SUM('[8]Berechnungen BVerfG'!R85:T85)+'[8]Berechnungen BVerfG'!P85</f>
        <v>#REF!</v>
      </c>
    </row>
    <row r="86" spans="1:4">
      <c r="A86" s="1971" t="e">
        <f>IF(PflGesamt,IF(GesVersrgPfl,SUM([8]!Tabelle2[[#This Row],[Spalte2]:[Spalte8]]),0),0)</f>
        <v>#REF!</v>
      </c>
      <c r="B86" s="1971" t="e">
        <f>IF(BerGesamt,SUM('[8]Berechnungen BVerfG'!P86:R86)+'[8]Berechnungen BVerfG'!N86,0)</f>
        <v>#REF!</v>
      </c>
      <c r="C86" s="1971">
        <f>IF(GesVersrgPfl,SUM([8]!Tabelle2[[#This Row],[Spalte2]:[Spalte8]]),0)</f>
        <v>0</v>
      </c>
      <c r="D86" s="1971" t="e">
        <f>SUM('[8]Berechnungen BVerfG'!R86:T86)+'[8]Berechnungen BVerfG'!P86</f>
        <v>#REF!</v>
      </c>
    </row>
    <row r="87" spans="1:4">
      <c r="A87" s="1971" t="e">
        <f>IF(PflGesamt,IF(GesVersrgPfl,SUM([8]!Tabelle2[[#This Row],[Spalte2]:[Spalte8]]),0),0)</f>
        <v>#REF!</v>
      </c>
      <c r="B87" s="1971" t="e">
        <f>IF(BerGesamt,SUM('[8]Berechnungen BVerfG'!P87:R87)+'[8]Berechnungen BVerfG'!N87,0)</f>
        <v>#REF!</v>
      </c>
      <c r="C87" s="1971">
        <f>IF(GesVersrgPfl,SUM([8]!Tabelle2[[#This Row],[Spalte2]:[Spalte8]]),0)</f>
        <v>0</v>
      </c>
      <c r="D87" s="1971" t="e">
        <f>SUM('[8]Berechnungen BVerfG'!R87:T87)+'[8]Berechnungen BVerfG'!P87</f>
        <v>#REF!</v>
      </c>
    </row>
    <row r="88" spans="1:4">
      <c r="A88" s="1971" t="e">
        <f>IF(PflGesamt,IF(GesVersrgPfl,SUM([8]!Tabelle2[[#This Row],[Spalte2]:[Spalte8]]),0),0)</f>
        <v>#REF!</v>
      </c>
      <c r="B88" s="1971" t="e">
        <f>IF(BerGesamt,SUM('[8]Berechnungen BVerfG'!P88:R88)+'[8]Berechnungen BVerfG'!N88,0)</f>
        <v>#REF!</v>
      </c>
      <c r="C88" s="1971">
        <f>IF(GesVersrgPfl,SUM([8]!Tabelle2[[#This Row],[Spalte2]:[Spalte8]]),0)</f>
        <v>0</v>
      </c>
      <c r="D88" s="1971" t="e">
        <f>SUM('[8]Berechnungen BVerfG'!R88:T88)+'[8]Berechnungen BVerfG'!P88</f>
        <v>#REF!</v>
      </c>
    </row>
    <row r="89" spans="1:4">
      <c r="A89" s="1971" t="e">
        <f>IF(PflGesamt,IF(GesVersrgPfl,SUM([8]!Tabelle2[[#This Row],[Spalte2]:[Spalte8]]),0),0)</f>
        <v>#REF!</v>
      </c>
      <c r="B89" s="1971" t="e">
        <f>IF(BerGesamt,SUM('[8]Berechnungen BVerfG'!P89:R89)+'[8]Berechnungen BVerfG'!N89,0)</f>
        <v>#REF!</v>
      </c>
      <c r="C89" s="1971">
        <f>IF(GesVersrgPfl,SUM([8]!Tabelle2[[#This Row],[Spalte2]:[Spalte8]]),0)</f>
        <v>0</v>
      </c>
      <c r="D89" s="1971" t="e">
        <f>SUM('[8]Berechnungen BVerfG'!R89:T89)+'[8]Berechnungen BVerfG'!P89</f>
        <v>#REF!</v>
      </c>
    </row>
    <row r="90" spans="1:4">
      <c r="A90" s="1971" t="e">
        <f>IF(PflGesamt,IF(GesVersrgPfl,SUM([8]!Tabelle2[[#This Row],[Spalte2]:[Spalte8]]),0),0)</f>
        <v>#REF!</v>
      </c>
      <c r="B90" s="1971" t="e">
        <f>IF(BerGesamt,SUM('[8]Berechnungen BVerfG'!P90:R90)+'[8]Berechnungen BVerfG'!N90,0)</f>
        <v>#REF!</v>
      </c>
      <c r="C90" s="1971">
        <f>IF(GesVersrgPfl,SUM([8]!Tabelle2[[#This Row],[Spalte2]:[Spalte8]]),0)</f>
        <v>0</v>
      </c>
      <c r="D90" s="1971" t="e">
        <f>SUM('[8]Berechnungen BVerfG'!R90:T90)+'[8]Berechnungen BVerfG'!P90</f>
        <v>#REF!</v>
      </c>
    </row>
    <row r="91" spans="1:4">
      <c r="A91" s="1971" t="e">
        <f>IF(PflGesamt,IF(GesVersrgPfl,SUM([8]!Tabelle2[[#This Row],[Spalte2]:[Spalte8]]),0),0)</f>
        <v>#REF!</v>
      </c>
      <c r="B91" s="1971" t="e">
        <f>IF(BerGesamt,SUM('[8]Berechnungen BVerfG'!P91:R91)+'[8]Berechnungen BVerfG'!N91,0)</f>
        <v>#REF!</v>
      </c>
      <c r="C91" s="1971">
        <f>IF(GesVersrgPfl,SUM([8]!Tabelle2[[#This Row],[Spalte2]:[Spalte8]]),0)</f>
        <v>0</v>
      </c>
      <c r="D91" s="1971" t="e">
        <f>SUM('[8]Berechnungen BVerfG'!R91:T91)+'[8]Berechnungen BVerfG'!P91</f>
        <v>#REF!</v>
      </c>
    </row>
    <row r="92" spans="1:4">
      <c r="A92" s="1971" t="e">
        <f>IF(PflGesamt,IF(GesVersrgPfl,SUM([8]!Tabelle2[[#This Row],[Spalte2]:[Spalte8]]),0),0)</f>
        <v>#REF!</v>
      </c>
      <c r="B92" s="1971" t="e">
        <f>IF(BerGesamt,SUM('[8]Berechnungen BVerfG'!P92:R92)+'[8]Berechnungen BVerfG'!N92,0)</f>
        <v>#REF!</v>
      </c>
      <c r="C92" s="1971">
        <f>IF(GesVersrgPfl,SUM([8]!Tabelle2[[#This Row],[Spalte2]:[Spalte8]]),0)</f>
        <v>0</v>
      </c>
      <c r="D92" s="1971" t="e">
        <f>SUM('[8]Berechnungen BVerfG'!R92:T92)+'[8]Berechnungen BVerfG'!P92</f>
        <v>#REF!</v>
      </c>
    </row>
    <row r="93" spans="1:4">
      <c r="A93" s="1971" t="e">
        <f>IF(PflGesamt,IF(GesVersrgPfl,SUM([8]!Tabelle2[[#This Row],[Spalte2]:[Spalte8]]),0),0)</f>
        <v>#REF!</v>
      </c>
      <c r="B93" s="1971" t="e">
        <f>IF(BerGesamt,SUM('[8]Berechnungen BVerfG'!P93:R93)+'[8]Berechnungen BVerfG'!N93,0)</f>
        <v>#REF!</v>
      </c>
      <c r="C93" s="1971">
        <f>IF(GesVersrgPfl,SUM([8]!Tabelle2[[#This Row],[Spalte2]:[Spalte8]]),0)</f>
        <v>0</v>
      </c>
      <c r="D93" s="1971" t="e">
        <f>SUM('[8]Berechnungen BVerfG'!R93:T93)+'[8]Berechnungen BVerfG'!P93</f>
        <v>#REF!</v>
      </c>
    </row>
    <row r="94" spans="1:4">
      <c r="A94" s="1971" t="e">
        <f>IF(PflGesamt,IF(GesVersrgPfl,SUM([8]!Tabelle2[[#This Row],[Spalte2]:[Spalte8]]),0),0)</f>
        <v>#REF!</v>
      </c>
      <c r="B94" s="1971" t="e">
        <f>IF(BerGesamt,SUM('[8]Berechnungen BVerfG'!P94:R94)+'[8]Berechnungen BVerfG'!N94,0)</f>
        <v>#REF!</v>
      </c>
      <c r="C94" s="1971">
        <f>IF(GesVersrgPfl,SUM([8]!Tabelle2[[#This Row],[Spalte2]:[Spalte8]]),0)</f>
        <v>0</v>
      </c>
      <c r="D94" s="1971" t="e">
        <f>SUM('[8]Berechnungen BVerfG'!R94:T94)+'[8]Berechnungen BVerfG'!P94</f>
        <v>#REF!</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25"/>
  <sheetData>
    <row r="16" spans="2:2" ht="28.5">
      <c r="B16" s="1970" t="s">
        <v>1884</v>
      </c>
    </row>
    <row r="17" spans="2:2">
      <c r="B17" s="239"/>
    </row>
    <row r="18" spans="2:2">
      <c r="B18" s="1971" t="e">
        <f>IF(BerGesamt,SUM('[8]Berechnungen BVerfG'!P18:R18)+'[8]Berechnungen BVerfG'!N18,0)</f>
        <v>#REF!</v>
      </c>
    </row>
    <row r="19" spans="2:2">
      <c r="B19" s="1971" t="e">
        <f>IF(BerGesamt,SUM('[8]Berechnungen BVerfG'!P19:R19)+'[8]Berechnungen BVerfG'!N19,0)</f>
        <v>#REF!</v>
      </c>
    </row>
    <row r="20" spans="2:2">
      <c r="B20" s="1971" t="e">
        <f>IF(BerGesamt,SUM('[8]Berechnungen BVerfG'!P20:R20)+'[8]Berechnungen BVerfG'!N20,0)</f>
        <v>#REF!</v>
      </c>
    </row>
    <row r="21" spans="2:2">
      <c r="B21" s="1971" t="e">
        <f>IF(BerGesamt,SUM('[8]Berechnungen BVerfG'!P21:R21)+'[8]Berechnungen BVerfG'!N21,0)</f>
        <v>#REF!</v>
      </c>
    </row>
    <row r="22" spans="2:2">
      <c r="B22" s="1971" t="e">
        <f>IF(BerGesamt,SUM('[8]Berechnungen BVerfG'!P22:R22)+'[8]Berechnungen BVerfG'!N22,0)</f>
        <v>#REF!</v>
      </c>
    </row>
    <row r="23" spans="2:2">
      <c r="B23" s="1971" t="e">
        <f>IF(BerGesamt,SUM('[8]Berechnungen BVerfG'!P23:R23)+'[8]Berechnungen BVerfG'!N23,0)</f>
        <v>#REF!</v>
      </c>
    </row>
    <row r="24" spans="2:2">
      <c r="B24" s="1971" t="e">
        <f>IF(BerGesamt,SUM('[8]Berechnungen BVerfG'!P24:R24)+'[8]Berechnungen BVerfG'!N24,0)</f>
        <v>#REF!</v>
      </c>
    </row>
    <row r="25" spans="2:2">
      <c r="B25" s="1971" t="e">
        <f>IF(BerGesamt,SUM('[8]Berechnungen BVerfG'!P25:R25)+'[8]Berechnungen BVerfG'!N25,0)</f>
        <v>#REF!</v>
      </c>
    </row>
    <row r="26" spans="2:2">
      <c r="B26" s="1971" t="e">
        <f>IF(BerGesamt,SUM('[8]Berechnungen BVerfG'!P26:R26)+'[8]Berechnungen BVerfG'!N26,0)</f>
        <v>#REF!</v>
      </c>
    </row>
    <row r="27" spans="2:2">
      <c r="B27" s="1971" t="e">
        <f>IF(BerGesamt,SUM('[8]Berechnungen BVerfG'!P27:R27)+'[8]Berechnungen BVerfG'!N27,0)</f>
        <v>#REF!</v>
      </c>
    </row>
    <row r="28" spans="2:2">
      <c r="B28" s="1971" t="e">
        <f>IF(BerGesamt,SUM('[8]Berechnungen BVerfG'!P28:R28)+'[8]Berechnungen BVerfG'!N28,0)</f>
        <v>#REF!</v>
      </c>
    </row>
    <row r="29" spans="2:2">
      <c r="B29" s="1971" t="e">
        <f>IF(BerGesamt,SUM('[8]Berechnungen BVerfG'!P29:R29)+'[8]Berechnungen BVerfG'!N29,0)</f>
        <v>#REF!</v>
      </c>
    </row>
    <row r="30" spans="2:2">
      <c r="B30" s="1971" t="e">
        <f>IF(BerGesamt,SUM('[8]Berechnungen BVerfG'!P30:R30)+'[8]Berechnungen BVerfG'!N30,0)</f>
        <v>#REF!</v>
      </c>
    </row>
    <row r="31" spans="2:2">
      <c r="B31" s="1971" t="e">
        <f>IF(BerGesamt,SUM('[8]Berechnungen BVerfG'!P31:R31)+'[8]Berechnungen BVerfG'!N31,0)</f>
        <v>#REF!</v>
      </c>
    </row>
    <row r="32" spans="2:2">
      <c r="B32" s="1971" t="e">
        <f>IF(BerGesamt,SUM('[8]Berechnungen BVerfG'!P32:R32)+'[8]Berechnungen BVerfG'!N32,0)</f>
        <v>#REF!</v>
      </c>
    </row>
    <row r="33" spans="2:2">
      <c r="B33" s="1971" t="e">
        <f>IF(BerGesamt,SUM('[8]Berechnungen BVerfG'!P33:R33)+'[8]Berechnungen BVerfG'!N33,0)</f>
        <v>#REF!</v>
      </c>
    </row>
    <row r="34" spans="2:2">
      <c r="B34" s="1971" t="e">
        <f>IF(BerGesamt,SUM('[8]Berechnungen BVerfG'!P34:R34)+'[8]Berechnungen BVerfG'!N34,0)</f>
        <v>#REF!</v>
      </c>
    </row>
    <row r="35" spans="2:2">
      <c r="B35" s="1971" t="e">
        <f>IF(BerGesamt,SUM('[8]Berechnungen BVerfG'!P35:R35)+'[8]Berechnungen BVerfG'!N35,0)</f>
        <v>#REF!</v>
      </c>
    </row>
    <row r="36" spans="2:2">
      <c r="B36" s="1971" t="e">
        <f>IF(BerGesamt,SUM('[8]Berechnungen BVerfG'!P36:R36)+'[8]Berechnungen BVerfG'!N36,0)</f>
        <v>#REF!</v>
      </c>
    </row>
    <row r="37" spans="2:2">
      <c r="B37" s="1971" t="e">
        <f>IF(BerGesamt,SUM('[8]Berechnungen BVerfG'!P37:R37)+'[8]Berechnungen BVerfG'!N37,0)</f>
        <v>#REF!</v>
      </c>
    </row>
    <row r="38" spans="2:2">
      <c r="B38" s="1971" t="e">
        <f>IF(BerGesamt,SUM('[8]Berechnungen BVerfG'!P38:R38)+'[8]Berechnungen BVerfG'!N38,0)</f>
        <v>#REF!</v>
      </c>
    </row>
    <row r="39" spans="2:2">
      <c r="B39" s="1971" t="e">
        <f>IF(BerGesamt,SUM('[8]Berechnungen BVerfG'!P39:R39)+'[8]Berechnungen BVerfG'!N39,0)</f>
        <v>#REF!</v>
      </c>
    </row>
    <row r="40" spans="2:2">
      <c r="B40" s="1971" t="e">
        <f>IF(BerGesamt,SUM('[8]Berechnungen BVerfG'!P40:R40)+'[8]Berechnungen BVerfG'!N40,0)</f>
        <v>#REF!</v>
      </c>
    </row>
    <row r="41" spans="2:2">
      <c r="B41" s="1971" t="e">
        <f>IF(BerGesamt,SUM('[8]Berechnungen BVerfG'!P41:R41)+'[8]Berechnungen BVerfG'!N41,0)</f>
        <v>#REF!</v>
      </c>
    </row>
    <row r="42" spans="2:2">
      <c r="B42" s="1971" t="e">
        <f>IF(BerGesamt,SUM('[8]Berechnungen BVerfG'!P42:R42)+'[8]Berechnungen BVerfG'!N42,0)</f>
        <v>#REF!</v>
      </c>
    </row>
    <row r="43" spans="2:2">
      <c r="B43" s="1971" t="e">
        <f>IF(BerGesamt,SUM('[8]Berechnungen BVerfG'!P43:R43)+'[8]Berechnungen BVerfG'!N43,0)</f>
        <v>#REF!</v>
      </c>
    </row>
    <row r="44" spans="2:2">
      <c r="B44" s="1971" t="e">
        <f>IF(BerGesamt,SUM('[8]Berechnungen BVerfG'!P44:R44)+'[8]Berechnungen BVerfG'!N44,0)</f>
        <v>#REF!</v>
      </c>
    </row>
    <row r="45" spans="2:2">
      <c r="B45" s="1971" t="e">
        <f>IF(BerGesamt,SUM('[8]Berechnungen BVerfG'!P45:R45)+'[8]Berechnungen BVerfG'!N45,0)</f>
        <v>#REF!</v>
      </c>
    </row>
    <row r="46" spans="2:2">
      <c r="B46" s="1971" t="e">
        <f>IF(BerGesamt,SUM('[8]Berechnungen BVerfG'!P46:R46)+'[8]Berechnungen BVerfG'!N46,0)</f>
        <v>#REF!</v>
      </c>
    </row>
    <row r="47" spans="2:2">
      <c r="B47" s="1971" t="e">
        <f>IF(BerGesamt,SUM('[8]Berechnungen BVerfG'!P47:R47)+'[8]Berechnungen BVerfG'!N47,0)</f>
        <v>#REF!</v>
      </c>
    </row>
    <row r="48" spans="2:2">
      <c r="B48" s="1971" t="e">
        <f>IF(BerGesamt,SUM('[8]Berechnungen BVerfG'!P48:R48)+'[8]Berechnungen BVerfG'!N48,0)</f>
        <v>#REF!</v>
      </c>
    </row>
    <row r="49" spans="2:2">
      <c r="B49" s="1971" t="e">
        <f>IF(BerGesamt,SUM('[8]Berechnungen BVerfG'!P49:R49)+'[8]Berechnungen BVerfG'!N49,0)</f>
        <v>#REF!</v>
      </c>
    </row>
    <row r="50" spans="2:2">
      <c r="B50" s="1971" t="e">
        <f>IF(BerGesamt,SUM('[8]Berechnungen BVerfG'!P50:R50)+'[8]Berechnungen BVerfG'!N50,0)</f>
        <v>#REF!</v>
      </c>
    </row>
    <row r="51" spans="2:2">
      <c r="B51" s="1971" t="e">
        <f>IF(BerGesamt,SUM('[8]Berechnungen BVerfG'!P51:R51)+'[8]Berechnungen BVerfG'!N51,0)</f>
        <v>#REF!</v>
      </c>
    </row>
    <row r="52" spans="2:2">
      <c r="B52" s="1971" t="e">
        <f>IF(BerGesamt,SUM('[8]Berechnungen BVerfG'!P52:R52)+'[8]Berechnungen BVerfG'!N52,0)</f>
        <v>#REF!</v>
      </c>
    </row>
    <row r="53" spans="2:2">
      <c r="B53" s="1971" t="e">
        <f>IF(BerGesamt,SUM('[8]Berechnungen BVerfG'!P53:R53)+'[8]Berechnungen BVerfG'!N53,0)</f>
        <v>#REF!</v>
      </c>
    </row>
    <row r="54" spans="2:2">
      <c r="B54" s="1971" t="e">
        <f>IF(BerGesamt,SUM('[8]Berechnungen BVerfG'!P54:R54)+'[8]Berechnungen BVerfG'!N54,0)</f>
        <v>#REF!</v>
      </c>
    </row>
    <row r="55" spans="2:2">
      <c r="B55" s="1971" t="e">
        <f>IF(BerGesamt,SUM('[8]Berechnungen BVerfG'!P55:R55)+'[8]Berechnungen BVerfG'!N55,0)</f>
        <v>#REF!</v>
      </c>
    </row>
    <row r="56" spans="2:2">
      <c r="B56" s="1971" t="e">
        <f>IF(BerGesamt,SUM('[8]Berechnungen BVerfG'!P56:R56)+'[8]Berechnungen BVerfG'!N56,0)</f>
        <v>#REF!</v>
      </c>
    </row>
    <row r="57" spans="2:2">
      <c r="B57" s="1971" t="e">
        <f>IF(BerGesamt,SUM('[8]Berechnungen BVerfG'!P57:R57)+'[8]Berechnungen BVerfG'!N57,0)</f>
        <v>#REF!</v>
      </c>
    </row>
    <row r="58" spans="2:2">
      <c r="B58" s="1971" t="e">
        <f>IF(BerGesamt,SUM('[8]Berechnungen BVerfG'!P58:R58)+'[8]Berechnungen BVerfG'!N58,0)</f>
        <v>#REF!</v>
      </c>
    </row>
    <row r="59" spans="2:2">
      <c r="B59" s="1971" t="e">
        <f>IF(BerGesamt,SUM('[8]Berechnungen BVerfG'!P59:R59)+'[8]Berechnungen BVerfG'!N59,0)</f>
        <v>#REF!</v>
      </c>
    </row>
    <row r="60" spans="2:2">
      <c r="B60" s="1971" t="e">
        <f>IF(BerGesamt,SUM('[8]Berechnungen BVerfG'!P60:R60)+'[8]Berechnungen BVerfG'!N60,0)</f>
        <v>#REF!</v>
      </c>
    </row>
    <row r="61" spans="2:2">
      <c r="B61" s="1971" t="e">
        <f>IF(BerGesamt,SUM('[8]Berechnungen BVerfG'!P61:R61)+'[8]Berechnungen BVerfG'!N61,0)</f>
        <v>#REF!</v>
      </c>
    </row>
    <row r="62" spans="2:2">
      <c r="B62" s="1971" t="e">
        <f>IF(BerGesamt,SUM('[8]Berechnungen BVerfG'!P62:R62)+'[8]Berechnungen BVerfG'!N62,0)</f>
        <v>#REF!</v>
      </c>
    </row>
    <row r="63" spans="2:2">
      <c r="B63" s="1971" t="e">
        <f>IF(BerGesamt,SUM('[8]Berechnungen BVerfG'!P63:R63)+'[8]Berechnungen BVerfG'!N63,0)</f>
        <v>#REF!</v>
      </c>
    </row>
    <row r="64" spans="2:2">
      <c r="B64" s="1971" t="e">
        <f>IF(BerGesamt,SUM('[8]Berechnungen BVerfG'!P64:R64)+'[8]Berechnungen BVerfG'!N64,0)</f>
        <v>#REF!</v>
      </c>
    </row>
    <row r="65" spans="2:2">
      <c r="B65" s="1971" t="e">
        <f>IF(BerGesamt,SUM('[8]Berechnungen BVerfG'!P65:R65)+'[8]Berechnungen BVerfG'!N65,0)</f>
        <v>#REF!</v>
      </c>
    </row>
    <row r="66" spans="2:2">
      <c r="B66" s="1971" t="e">
        <f>IF(BerGesamt,SUM('[8]Berechnungen BVerfG'!P66:R66)+'[8]Berechnungen BVerfG'!N66,0)</f>
        <v>#REF!</v>
      </c>
    </row>
    <row r="67" spans="2:2">
      <c r="B67" s="1971" t="e">
        <f>IF(BerGesamt,SUM('[8]Berechnungen BVerfG'!P67:R67)+'[8]Berechnungen BVerfG'!N67,0)</f>
        <v>#REF!</v>
      </c>
    </row>
    <row r="68" spans="2:2">
      <c r="B68" s="1971" t="e">
        <f>IF(BerGesamt,SUM('[8]Berechnungen BVerfG'!P68:R68)+'[8]Berechnungen BVerfG'!N68,0)</f>
        <v>#REF!</v>
      </c>
    </row>
    <row r="69" spans="2:2">
      <c r="B69" s="1971" t="e">
        <f>IF(BerGesamt,SUM('[8]Berechnungen BVerfG'!P69:R69)+'[8]Berechnungen BVerfG'!N69,0)</f>
        <v>#REF!</v>
      </c>
    </row>
    <row r="70" spans="2:2">
      <c r="B70" s="1971" t="e">
        <f>IF(BerGesamt,SUM('[8]Berechnungen BVerfG'!P70:R70)+'[8]Berechnungen BVerfG'!N70,0)</f>
        <v>#REF!</v>
      </c>
    </row>
    <row r="71" spans="2:2">
      <c r="B71" s="1971" t="e">
        <f>IF(BerGesamt,SUM('[8]Berechnungen BVerfG'!P71:R71)+'[8]Berechnungen BVerfG'!N71,0)</f>
        <v>#REF!</v>
      </c>
    </row>
    <row r="72" spans="2:2">
      <c r="B72" s="1971" t="e">
        <f>IF(BerGesamt,SUM('[8]Berechnungen BVerfG'!P72:R72)+'[8]Berechnungen BVerfG'!N72,0)</f>
        <v>#REF!</v>
      </c>
    </row>
    <row r="73" spans="2:2">
      <c r="B73" s="1971" t="e">
        <f>IF(BerGesamt,SUM('[8]Berechnungen BVerfG'!P73:R73)+'[8]Berechnungen BVerfG'!N73,0)</f>
        <v>#REF!</v>
      </c>
    </row>
    <row r="74" spans="2:2">
      <c r="B74" s="1971" t="e">
        <f>IF(BerGesamt,SUM('[8]Berechnungen BVerfG'!P74:R74)+'[8]Berechnungen BVerfG'!N74,0)</f>
        <v>#REF!</v>
      </c>
    </row>
    <row r="75" spans="2:2">
      <c r="B75" s="1971" t="e">
        <f>IF(BerGesamt,SUM('[8]Berechnungen BVerfG'!P75:R75)+'[8]Berechnungen BVerfG'!N75,0)</f>
        <v>#REF!</v>
      </c>
    </row>
    <row r="76" spans="2:2">
      <c r="B76" s="1971" t="e">
        <f>IF(BerGesamt,SUM('[8]Berechnungen BVerfG'!P76:R76)+'[8]Berechnungen BVerfG'!N76,0)</f>
        <v>#REF!</v>
      </c>
    </row>
    <row r="77" spans="2:2">
      <c r="B77" s="1971" t="e">
        <f>IF(BerGesamt,SUM('[8]Berechnungen BVerfG'!P77:R77)+'[8]Berechnungen BVerfG'!N77,0)</f>
        <v>#REF!</v>
      </c>
    </row>
    <row r="78" spans="2:2">
      <c r="B78" s="1971" t="e">
        <f>IF(BerGesamt,SUM('[8]Berechnungen BVerfG'!P78:R78)+'[8]Berechnungen BVerfG'!N78,0)</f>
        <v>#REF!</v>
      </c>
    </row>
    <row r="79" spans="2:2">
      <c r="B79" s="1971" t="e">
        <f>IF(BerGesamt,SUM('[8]Berechnungen BVerfG'!P79:R79)+'[8]Berechnungen BVerfG'!N79,0)</f>
        <v>#REF!</v>
      </c>
    </row>
    <row r="80" spans="2:2">
      <c r="B80" s="1971" t="e">
        <f>IF(BerGesamt,SUM('[8]Berechnungen BVerfG'!P80:R80)+'[8]Berechnungen BVerfG'!N80,0)</f>
        <v>#REF!</v>
      </c>
    </row>
    <row r="81" spans="2:2">
      <c r="B81" s="1971" t="e">
        <f>IF(BerGesamt,SUM('[8]Berechnungen BVerfG'!P81:R81)+'[8]Berechnungen BVerfG'!N81,0)</f>
        <v>#REF!</v>
      </c>
    </row>
    <row r="82" spans="2:2">
      <c r="B82" s="1971" t="e">
        <f>IF(BerGesamt,SUM('[8]Berechnungen BVerfG'!P82:R82)+'[8]Berechnungen BVerfG'!N82,0)</f>
        <v>#REF!</v>
      </c>
    </row>
    <row r="83" spans="2:2">
      <c r="B83" s="1971" t="e">
        <f>IF(BerGesamt,SUM('[8]Berechnungen BVerfG'!P83:R83)+'[8]Berechnungen BVerfG'!N83,0)</f>
        <v>#REF!</v>
      </c>
    </row>
    <row r="84" spans="2:2">
      <c r="B84" s="1971" t="e">
        <f>IF(BerGesamt,SUM('[8]Berechnungen BVerfG'!P84:R84)+'[8]Berechnungen BVerfG'!N84,0)</f>
        <v>#REF!</v>
      </c>
    </row>
    <row r="85" spans="2:2">
      <c r="B85" s="1971" t="e">
        <f>IF(BerGesamt,SUM('[8]Berechnungen BVerfG'!P85:R85)+'[8]Berechnungen BVerfG'!N85,0)</f>
        <v>#REF!</v>
      </c>
    </row>
    <row r="86" spans="2:2">
      <c r="B86" s="1971" t="e">
        <f>IF(BerGesamt,SUM('[8]Berechnungen BVerfG'!P86:R86)+'[8]Berechnungen BVerfG'!N86,0)</f>
        <v>#REF!</v>
      </c>
    </row>
    <row r="87" spans="2:2">
      <c r="B87" s="1971" t="e">
        <f>IF(BerGesamt,SUM('[8]Berechnungen BVerfG'!P87:R87)+'[8]Berechnungen BVerfG'!N87,0)</f>
        <v>#REF!</v>
      </c>
    </row>
    <row r="88" spans="2:2">
      <c r="B88" s="1971" t="e">
        <f>IF(BerGesamt,SUM('[8]Berechnungen BVerfG'!P88:R88)+'[8]Berechnungen BVerfG'!N88,0)</f>
        <v>#REF!</v>
      </c>
    </row>
    <row r="89" spans="2:2">
      <c r="B89" s="1971" t="e">
        <f>IF(BerGesamt,SUM('[8]Berechnungen BVerfG'!P89:R89)+'[8]Berechnungen BVerfG'!N89,0)</f>
        <v>#REF!</v>
      </c>
    </row>
    <row r="90" spans="2:2">
      <c r="B90" s="1971" t="e">
        <f>IF(BerGesamt,SUM('[8]Berechnungen BVerfG'!P90:R90)+'[8]Berechnungen BVerfG'!N90,0)</f>
        <v>#REF!</v>
      </c>
    </row>
    <row r="91" spans="2:2">
      <c r="B91" s="1971" t="e">
        <f>IF(BerGesamt,SUM('[8]Berechnungen BVerfG'!P91:R91)+'[8]Berechnungen BVerfG'!N91,0)</f>
        <v>#REF!</v>
      </c>
    </row>
    <row r="92" spans="2:2">
      <c r="B92" s="1971" t="e">
        <f>IF(BerGesamt,SUM('[8]Berechnungen BVerfG'!P92:R92)+'[8]Berechnungen BVerfG'!N92,0)</f>
        <v>#REF!</v>
      </c>
    </row>
    <row r="93" spans="2:2">
      <c r="B93" s="1971" t="e">
        <f>IF(BerGesamt,SUM('[8]Berechnungen BVerfG'!P93:R93)+'[8]Berechnungen BVerfG'!N93,0)</f>
        <v>#REF!</v>
      </c>
    </row>
    <row r="94" spans="2:2">
      <c r="B94" s="1971" t="e">
        <f>IF(BerGesamt,SUM('[8]Berechnungen BVerfG'!P94:R94)+'[8]Berechnungen BVerfG'!N94,0)</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Normal="100" workbookViewId="0">
      <selection activeCell="C20" sqref="C20"/>
    </sheetView>
  </sheetViews>
  <sheetFormatPr baseColWidth="10" defaultColWidth="0" defaultRowHeight="14.25" zeroHeight="1"/>
  <cols>
    <col min="1" max="1" width="2.125" style="524" customWidth="1"/>
    <col min="2" max="2" width="72.125" style="211" customWidth="1"/>
    <col min="3" max="4" width="14.625" style="211" customWidth="1"/>
    <col min="5" max="5" width="15.625" style="212" customWidth="1"/>
    <col min="6" max="7" width="14.625" customWidth="1"/>
    <col min="8" max="8" width="15.625" customWidth="1"/>
    <col min="9" max="11" width="13.625" hidden="1" customWidth="1"/>
    <col min="12" max="12" width="2.125" customWidth="1"/>
    <col min="13" max="13" width="10.125" hidden="1" customWidth="1"/>
    <col min="14" max="14" width="14.625" hidden="1" customWidth="1"/>
    <col min="15" max="15" width="20.625" hidden="1" customWidth="1"/>
    <col min="16" max="23" width="15.625" hidden="1" customWidth="1"/>
    <col min="24" max="25" width="41.625" customWidth="1"/>
    <col min="26" max="26" width="1.125" customWidth="1"/>
    <col min="27" max="27" width="27.625" customWidth="1"/>
    <col min="28" max="28" width="1.125" style="25" customWidth="1"/>
    <col min="29" max="30" width="13.125" hidden="1" customWidth="1"/>
    <col min="31" max="31" width="75.625" hidden="1" customWidth="1"/>
    <col min="32" max="32" width="13.125" hidden="1" customWidth="1"/>
    <col min="33" max="33" width="16.625" hidden="1" customWidth="1"/>
    <col min="34" max="35" width="13.125" hidden="1" customWidth="1"/>
    <col min="36" max="36" width="14.625" hidden="1" customWidth="1"/>
    <col min="37" max="39" width="11.125" hidden="1" customWidth="1"/>
    <col min="40" max="47" width="13.125" hidden="1" customWidth="1"/>
    <col min="48" max="48" width="14.125" hidden="1" customWidth="1"/>
    <col min="49" max="824" width="0" hidden="1" customWidth="1"/>
    <col min="825" max="16384" width="13.125" hidden="1"/>
  </cols>
  <sheetData>
    <row r="1" spans="1:42" ht="25.5" customHeight="1" thickBot="1">
      <c r="A1" s="2946"/>
      <c r="B1" s="2946"/>
      <c r="C1" s="2946"/>
      <c r="D1" s="2946"/>
      <c r="E1" s="2946"/>
      <c r="F1" s="2946"/>
      <c r="G1" s="2946"/>
      <c r="H1" s="2946"/>
      <c r="I1" s="2946"/>
      <c r="J1" s="2946"/>
      <c r="K1" s="2946"/>
      <c r="L1" s="2946"/>
      <c r="M1" s="2946"/>
      <c r="N1" s="2946"/>
      <c r="O1" s="2946"/>
      <c r="P1" s="2946"/>
      <c r="Q1" s="2946"/>
      <c r="R1" s="2946"/>
      <c r="S1" s="2946"/>
      <c r="T1" s="2946"/>
      <c r="U1" s="2946"/>
      <c r="V1" s="2946"/>
      <c r="W1" s="2946"/>
      <c r="X1" s="2946"/>
      <c r="Y1" s="2946"/>
      <c r="Z1" s="2946"/>
      <c r="AA1" s="2946"/>
    </row>
    <row r="2" spans="1:42" ht="38.25" customHeight="1" thickBot="1">
      <c r="A2" s="1490">
        <v>1</v>
      </c>
      <c r="B2" s="1192" t="s">
        <v>1145</v>
      </c>
      <c r="C2" s="1191" t="s">
        <v>1146</v>
      </c>
      <c r="D2" s="2964" t="str">
        <f>"Zur Anzeige der Werte bitte die Check-Boxen für die einzelnen Versorgungen aktivieren"</f>
        <v>Zur Anzeige der Werte bitte die Check-Boxen für die einzelnen Versorgungen aktivieren</v>
      </c>
      <c r="E2" s="2965"/>
      <c r="F2" s="1827"/>
      <c r="G2" s="1827"/>
      <c r="H2" s="2947" t="s">
        <v>885</v>
      </c>
      <c r="I2" s="2947"/>
      <c r="J2" s="2947"/>
      <c r="K2" s="2948"/>
      <c r="L2" s="620"/>
      <c r="M2" s="66"/>
      <c r="N2" s="66" t="s">
        <v>857</v>
      </c>
      <c r="O2" s="66" t="s">
        <v>1486</v>
      </c>
      <c r="P2" s="661"/>
      <c r="Q2" s="661"/>
      <c r="R2" s="661" t="s">
        <v>219</v>
      </c>
      <c r="T2" t="s">
        <v>21</v>
      </c>
      <c r="U2" t="s">
        <v>61</v>
      </c>
      <c r="V2" s="661"/>
      <c r="W2" s="661"/>
      <c r="X2" s="661"/>
      <c r="AA2" s="2962" t="s">
        <v>879</v>
      </c>
      <c r="AC2" s="768"/>
    </row>
    <row r="3" spans="1:42" ht="45" customHeight="1" thickBot="1">
      <c r="A3" s="1491">
        <v>2</v>
      </c>
      <c r="B3" s="1183" t="s">
        <v>1147</v>
      </c>
      <c r="C3" s="981" t="s">
        <v>384</v>
      </c>
      <c r="D3" s="509" t="s">
        <v>2010</v>
      </c>
      <c r="E3" s="693" t="str">
        <f>"DRV"&amp;CHAR(10)&amp;IF(SUM(K4:K5)&gt;0,"",IF(E6+K4+K5&gt;0,"manuell eingegeben"," aus "&amp;IF(E20&gt;0,TEXT(IF(D21&gt;0,D21,D20),"#.###.##0 €"),"")))</f>
        <v>DRV
 aus 0 €</v>
      </c>
      <c r="F3" s="709" t="str">
        <f>"VerAusglK"&amp;IF(_xlfn.ISFORMULA(Adaequanz_RentenhoeheVersAusglK),"",IF(VersAusglKJa,IF(Adaequanz_RentenhoeheVersAusglK&gt;0," aus "&amp;TEXT(IF(Adaequanz_AusglWertQuelle&gt;0,Adaequanz_AusglWertQuelle,Adaequanz_errechneterKapWert),"#.##0,00 €"),""),""))</f>
        <v>VerAusglK</v>
      </c>
      <c r="G3" s="510" t="s">
        <v>1640</v>
      </c>
      <c r="H3" s="1065" t="s">
        <v>886</v>
      </c>
      <c r="I3" s="769"/>
      <c r="J3" s="602" t="s">
        <v>585</v>
      </c>
      <c r="K3" s="603" t="s">
        <v>586</v>
      </c>
      <c r="L3" s="25"/>
      <c r="M3" s="66" t="s">
        <v>572</v>
      </c>
      <c r="N3" s="66">
        <f>YEAR(Adaequanz_GebDat)+IF(MONTH(Adaequanz_GebDat)&gt;6,1,0)</f>
        <v>1900</v>
      </c>
      <c r="O3" s="66">
        <f>+VersGebJahrgPfl-1900+2</f>
        <v>2</v>
      </c>
      <c r="R3" t="s">
        <v>265</v>
      </c>
      <c r="S3" t="s">
        <v>1019</v>
      </c>
      <c r="T3" s="149" t="e">
        <f>VLOOKUP(YEAR(B_Dat),MonatlicheBezugsgröße,4)</f>
        <v>#VALUE!</v>
      </c>
      <c r="U3" s="149" t="e">
        <f>VLOOKUP(YEAR(B_Dat),MonatlicheBezugsgröße,5)</f>
        <v>#VALUE!</v>
      </c>
      <c r="AA3" s="2963"/>
      <c r="AB3" s="2037"/>
    </row>
    <row r="4" spans="1:42" ht="17.100000000000001" customHeight="1">
      <c r="A4" s="1491">
        <v>3</v>
      </c>
      <c r="B4" s="1284" t="s">
        <v>1487</v>
      </c>
      <c r="C4" s="1283" t="str">
        <f>IF(D4&gt;0,D4,IF(Dat_EzE&gt;0,Dat_EzE,""))</f>
        <v/>
      </c>
      <c r="D4" s="1266"/>
      <c r="E4" s="2050" t="str">
        <f>IF(B_Dat="","",IF(AND(Adaequanz_Zugangsfaktor&lt;1,E9&gt;0)," § 77 SGB VI",IF(Adaequanz_DRV_Alter&gt;E9,"§ 187 IV SGB VI !","")))</f>
        <v/>
      </c>
      <c r="F4" s="2955" t="s">
        <v>389</v>
      </c>
      <c r="G4" s="2949" t="s">
        <v>317</v>
      </c>
      <c r="H4" s="806"/>
      <c r="I4" s="770" t="s">
        <v>838</v>
      </c>
      <c r="J4" s="480"/>
      <c r="K4" s="604"/>
      <c r="L4" s="25"/>
      <c r="M4" s="3" t="s">
        <v>573</v>
      </c>
      <c r="N4" s="66">
        <f>YEAR(Adaequanz_GebDatAglBer)+IF(MONTH(Adaequanz_GebDatAglBer)&gt;6,1,0)</f>
        <v>1900</v>
      </c>
      <c r="O4" s="66">
        <f>+N4-1900+2</f>
        <v>2</v>
      </c>
      <c r="P4" s="15"/>
      <c r="R4" t="s">
        <v>386</v>
      </c>
      <c r="S4" s="149"/>
      <c r="V4" s="149"/>
      <c r="AA4" s="846" t="str">
        <f>+AE10</f>
        <v xml:space="preserve">XY-AG </v>
      </c>
      <c r="AB4" s="2038"/>
      <c r="AE4" t="s">
        <v>376</v>
      </c>
    </row>
    <row r="5" spans="1:42" ht="17.25" customHeight="1" thickBot="1">
      <c r="A5" s="1491">
        <v>4</v>
      </c>
      <c r="B5" s="2967" t="s">
        <v>314</v>
      </c>
      <c r="C5" s="2968"/>
      <c r="D5" s="335"/>
      <c r="E5" s="1147" t="str">
        <f>"Rentenerwerb"&amp;Zeichen!B7</f>
        <v>Rentenerwerb↓</v>
      </c>
      <c r="F5" s="2956"/>
      <c r="G5" s="2950"/>
      <c r="H5" s="1147" t="str">
        <f>"Rentenerwerb"&amp;Zeichen!B7</f>
        <v>Rentenerwerb↓</v>
      </c>
      <c r="I5" s="771" t="s">
        <v>839</v>
      </c>
      <c r="J5" s="605"/>
      <c r="K5" s="606"/>
      <c r="L5" s="25"/>
      <c r="M5" t="s">
        <v>319</v>
      </c>
      <c r="N5" s="15">
        <v>1</v>
      </c>
      <c r="O5" s="373" t="str">
        <f>IF(BerechnetAuf=1,B_Dat,D5)</f>
        <v/>
      </c>
      <c r="P5" s="15"/>
      <c r="AA5" s="846" t="str">
        <f>+AF10</f>
        <v xml:space="preserve">DRV </v>
      </c>
      <c r="AB5" s="2038"/>
      <c r="AE5" s="25" t="e">
        <f>(VLOOKUP(B_Dat,VPI,2)/VLOOKUP(DATE(YEAR(B_Dat)-10,MONTH(B_Dat),DAY(B_Dat)),VPI,2))-1</f>
        <v>#N/A</v>
      </c>
    </row>
    <row r="6" spans="1:42" ht="17.25" customHeight="1">
      <c r="A6" s="1491">
        <v>5</v>
      </c>
      <c r="B6" s="1182" t="str">
        <f>"Geschlecht "&amp;IF(BGHXIIZB23016,"ausgleichsber.","ausgleichspfl.")&amp;" Person eingeben (m/w/d)"</f>
        <v>Geschlecht ausgleichspfl. Person eingeben (m/w/d)</v>
      </c>
      <c r="C6" s="51"/>
      <c r="D6" s="804"/>
      <c r="E6" s="803"/>
      <c r="F6" s="2956"/>
      <c r="G6" s="2951"/>
      <c r="H6" s="803"/>
      <c r="I6" s="609"/>
      <c r="J6" s="607"/>
      <c r="K6" s="608"/>
      <c r="L6" s="25"/>
      <c r="M6" t="s">
        <v>322</v>
      </c>
      <c r="N6" s="15" t="b">
        <v>0</v>
      </c>
      <c r="AA6" s="846" t="str">
        <f>+AG10</f>
        <v xml:space="preserve">VersAusglK </v>
      </c>
      <c r="AB6" s="2038"/>
      <c r="AE6" s="338" t="e">
        <f>_xlfn.RRI(YEARFRAC(DATE(YEAR(B_Dat)-10,MONTH(B_Dat),DAY(B_Dat)),B_Dat,0),VLOOKUP(DATE(YEAR(B_Dat)-10,MONTH(B_Dat),DAY(B_Dat)),VPI,2),VLOOKUP(DATE(YEAR(B_Dat),MONTH(B_Dat),DAY(B_Dat)),VPI,2))</f>
        <v>#VALUE!</v>
      </c>
      <c r="AF6" t="s">
        <v>384</v>
      </c>
      <c r="AG6" s="15" t="b">
        <v>0</v>
      </c>
    </row>
    <row r="7" spans="1:42" ht="17.25" customHeight="1">
      <c r="A7" s="1491">
        <v>6</v>
      </c>
      <c r="B7" s="1207" t="str">
        <f>"Geburtsdatum der "&amp;IF(BGHXIIZB23016,"ausgleichsberechtigten ","ausgleichspflichtigen ")&amp;"Person eingeben: (ggfls. aus Datenerfassung)"</f>
        <v>Geburtsdatum der ausgleichspflichtigen Person eingeben: (ggfls. aus Datenerfassung)</v>
      </c>
      <c r="C7" s="1285">
        <f>IF(D7&gt;0,D7,IF(D7="",IF(D6="m",Dat_GebDat_M,IF(D6="w",Dat_GebDat_F,IF(D6="d","Gebdat Eingabe!",0)))))</f>
        <v>0</v>
      </c>
      <c r="D7" s="1266"/>
      <c r="E7" s="694" t="str">
        <f>IF(Adaequanz_GebDat=0,"",Adaequanz_GebDat)</f>
        <v/>
      </c>
      <c r="F7" s="694" t="str">
        <f>+E7</f>
        <v/>
      </c>
      <c r="G7" s="1282" t="str">
        <f>+F7</f>
        <v/>
      </c>
      <c r="H7" s="748"/>
      <c r="I7" s="511">
        <f>+Adaequanz_GebDatAglBer</f>
        <v>0</v>
      </c>
      <c r="J7" s="489">
        <f>+I7</f>
        <v>0</v>
      </c>
      <c r="K7" s="490">
        <f>+J7</f>
        <v>0</v>
      </c>
      <c r="L7" s="25"/>
      <c r="M7" t="s">
        <v>692</v>
      </c>
      <c r="N7" t="e">
        <f>VLOOKUP(B_Dat,aktRW,WO_Schalter)</f>
        <v>#N/A</v>
      </c>
      <c r="AA7" s="846" t="str">
        <f>+AH10</f>
        <v xml:space="preserve">Sonstige </v>
      </c>
      <c r="AB7" s="2038"/>
    </row>
    <row r="8" spans="1:42" ht="17.25" customHeight="1">
      <c r="A8" s="1491">
        <v>7</v>
      </c>
      <c r="B8" s="2969" t="str">
        <f>IF(D5="","Alter im Ehezeitende "&amp;IF(Adaequanz_GebDat="","",TEXT(B_Dat,"TT.MM.JJJJ")),"Alter im Berechnungszeitpunkt "&amp;IF(Adaequanz_GebDat="","",TEXT(D5,"TT.MM.JJJJ")))</f>
        <v xml:space="preserve">Alter im Ehezeitende </v>
      </c>
      <c r="C8" s="2970"/>
      <c r="D8" s="205" t="str">
        <f>IFERROR(IF(D7+Adaequanz_GebDat=0,"",IFERROR(IF(AND(Adaequanz_GebDat="",Adaequanz_GebDatDRV=""),"",ROUND(YEARFRAC(Adaequanz_GebDat,IF(AND(BerechnetAuf=2,D5&gt;0),D5,B_Dat),0),2)),"")),"")</f>
        <v/>
      </c>
      <c r="E8" s="1286" t="str">
        <f>IFERROR(IF(E7="","",ROUND(YEARFRAC(E7,IF(AND(BerechnetAuf=2,D5&gt;0),$D5,B_Dat),0),2)),"")</f>
        <v/>
      </c>
      <c r="F8" s="1286" t="str">
        <f>IFERROR(IF(F7="","",ROUND(YEARFRAC(F7,IF(AND(BerechnetAuf=2,E5&gt;0),$D5,B_Dat),0),2)),"")</f>
        <v/>
      </c>
      <c r="G8" s="1287" t="str">
        <f>IFERROR(IF(G7="","",ROUND(YEARFRAC(G7,IF(AND(BerechnetAuf=2,F5&gt;0),$D5,B_Dat),0),2)),"")</f>
        <v/>
      </c>
      <c r="H8" s="1288" t="str">
        <f>IFERROR(IF(AND(Adaequanz_GebDat="",H7=""),"",ROUND(YEARFRAC(H7,IF(AND(BerechnetAuf=2,$D5&gt;0),$D5,B_Dat),0),2)),"")</f>
        <v/>
      </c>
      <c r="I8" s="1289" t="str">
        <f>IFERROR(IF(AND(Adaequanz_GebDat="",I7=""),"",ROUND(YEARFRAC(I7,IF(AND(BerechnetAuf=2,$D5&gt;0),$D5,B_Dat),0),2)),"")</f>
        <v/>
      </c>
      <c r="J8" s="1290" t="str">
        <f>IFERROR(IF(AND(Adaequanz_GebDat="",J7=""),"",ROUND(YEARFRAC(J7,IF(AND(BerechnetAuf=2,$D5&gt;0),$D5,B_Dat),0),2)),"")</f>
        <v/>
      </c>
      <c r="K8" s="1291" t="str">
        <f>IFERROR(IF(AND(Adaequanz_GebDat="",K7=""),"",ROUND(YEARFRAC(K7,IF(AND(BerechnetAuf=2,$D5&gt;0),$D5,B_Dat),0),2)),"")</f>
        <v/>
      </c>
      <c r="L8" s="25"/>
      <c r="M8" t="s">
        <v>385</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6" t="str">
        <f>+AI10</f>
        <v xml:space="preserve">∑ Versorg. </v>
      </c>
      <c r="AB8" s="2038"/>
      <c r="AE8" t="s">
        <v>387</v>
      </c>
      <c r="AF8" t="s">
        <v>388</v>
      </c>
      <c r="AO8" t="s">
        <v>882</v>
      </c>
      <c r="AP8" t="s">
        <v>883</v>
      </c>
    </row>
    <row r="9" spans="1:42" ht="17.25" customHeight="1">
      <c r="A9" s="1491">
        <v>8</v>
      </c>
      <c r="B9" s="692"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7"/>
      <c r="D9" s="336"/>
      <c r="E9" s="695" t="str">
        <f>IFERROR(IF(E7="","",IF(Invaliditätsrente,Adaequanz_ReEintrittPfl,Adaequanz_Renteneintritt)),"")</f>
        <v/>
      </c>
      <c r="F9" s="262"/>
      <c r="G9" s="543"/>
      <c r="H9" s="718" t="str">
        <f>IF(H7="","",VLOOKUP(YEAR(Adaequanz_GebDatAglBer),Renteneintrittstabelle,3))</f>
        <v/>
      </c>
      <c r="I9" s="512"/>
      <c r="J9" s="475"/>
      <c r="K9" s="482"/>
      <c r="L9" s="25"/>
      <c r="O9" s="15"/>
      <c r="AA9" s="846" t="str">
        <f>+AJ10</f>
        <v>DRV-Ber.</v>
      </c>
      <c r="AB9" s="2038"/>
      <c r="AE9" s="15" t="b">
        <v>1</v>
      </c>
      <c r="AF9" s="15" t="b">
        <v>1</v>
      </c>
      <c r="AG9" s="15" t="b">
        <v>0</v>
      </c>
      <c r="AH9" s="15" t="b">
        <v>0</v>
      </c>
      <c r="AI9" s="15" t="b">
        <v>0</v>
      </c>
      <c r="AJ9" s="15" t="b">
        <v>0</v>
      </c>
      <c r="AO9" s="15" t="b">
        <v>0</v>
      </c>
      <c r="AP9" s="15" t="b">
        <v>0</v>
      </c>
    </row>
    <row r="10" spans="1:42" ht="17.25" customHeight="1">
      <c r="A10" s="1491">
        <v>9</v>
      </c>
      <c r="B10" s="1182" t="s">
        <v>258</v>
      </c>
      <c r="C10" s="686"/>
      <c r="D10" s="205">
        <f>IFERROR(+P11,"")</f>
        <v>0</v>
      </c>
      <c r="E10" s="2211">
        <f>IFERROR(Q11,"")</f>
        <v>0</v>
      </c>
      <c r="F10" s="2212">
        <f>IFERROR(R11,"")</f>
        <v>0</v>
      </c>
      <c r="G10" s="2213">
        <f>IFERROR(+S11,"")</f>
        <v>0</v>
      </c>
      <c r="H10" s="718">
        <f>+T11</f>
        <v>0</v>
      </c>
      <c r="I10" s="772">
        <f>+U11</f>
        <v>0</v>
      </c>
      <c r="J10" s="744">
        <f>+V11</f>
        <v>0</v>
      </c>
      <c r="K10" s="743">
        <f>+W11</f>
        <v>0</v>
      </c>
      <c r="L10" s="25"/>
      <c r="M10" t="s">
        <v>297</v>
      </c>
      <c r="N10" s="15" t="b">
        <v>0</v>
      </c>
      <c r="O10" s="3"/>
      <c r="P10" s="66" t="s">
        <v>288</v>
      </c>
      <c r="Q10" s="66" t="s">
        <v>126</v>
      </c>
      <c r="R10" s="66" t="s">
        <v>289</v>
      </c>
      <c r="S10" s="66" t="s">
        <v>309</v>
      </c>
      <c r="T10" s="66" t="s">
        <v>331</v>
      </c>
      <c r="U10" s="66" t="s">
        <v>567</v>
      </c>
      <c r="V10" s="66" t="s">
        <v>568</v>
      </c>
      <c r="W10" s="66" t="s">
        <v>568</v>
      </c>
      <c r="X10" s="3"/>
      <c r="AA10" s="622"/>
      <c r="AE10" s="4" t="str">
        <f>D3&amp;" "&amp;IF(D6&lt;&gt;"",CHOOSE(Sexwahl,männlich,weiblich,"AusglPfl. "),"")</f>
        <v xml:space="preserve">XY-AG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91">
        <v>10</v>
      </c>
      <c r="B11" s="1182" t="s">
        <v>259</v>
      </c>
      <c r="C11" s="686"/>
      <c r="D11" s="205" t="str">
        <f>IF(D8="","",IF(D9&gt;D8,D9-D8,0))</f>
        <v/>
      </c>
      <c r="E11" s="2211" t="str">
        <f>IF(E8="","",IF(E9&gt;E8,E9-E8,0))</f>
        <v/>
      </c>
      <c r="F11" s="2211" t="str">
        <f>IF(F8="","",IF(F9&gt;F8,F9-F8,0))</f>
        <v/>
      </c>
      <c r="G11" s="2211" t="str">
        <f>IF(G8="","",IF(G9&gt;G8,G9-G8,0))</f>
        <v/>
      </c>
      <c r="H11" s="718" t="str">
        <f>IFERROR(IF(H8="","",IF(H9&gt;H8,H9-H8,0)),"")</f>
        <v/>
      </c>
      <c r="I11" s="513" t="str">
        <f>IF(I8="","",IF(I9&gt;I8,I9-I8,0))</f>
        <v/>
      </c>
      <c r="J11" s="312" t="str">
        <f>IF(J8="","",IF(J9&gt;J8,J9-J8,0))</f>
        <v/>
      </c>
      <c r="K11" s="481" t="str">
        <f>IF(K8="","",IF(K9&gt;K8,K9-K8,0))</f>
        <v/>
      </c>
      <c r="L11" s="25"/>
      <c r="N11" s="15"/>
      <c r="O11" s="3" t="s">
        <v>856</v>
      </c>
      <c r="P11" s="1051">
        <f>IF(Adaequanz_ReEintrittPfl="",0,IFERROR(VLOOKUP(IF(Adaequanz_ReEintrittPfl&lt;Adaequanz_QV_Alter,Adaequanz_QV_Alter,Adaequanz_ReEintrittPfl),CHOOSE(Sexwahl,Lebenserwartung_M_V2,Lebenserwartung_F_V2,Lebenserwartung_N_V2),YEAR(Adaequanz_GebDat)+IF(MONTH(Adaequanz_GebDat)&gt;6,1,0)-1900+2),0))</f>
        <v>0</v>
      </c>
      <c r="Q11" s="1051">
        <f>IF(E9="",0,IFERROR(VLOOKUP(IF(E9&lt;Adaequanz_DRV_Alter,Adaequanz_DRV_Alter,E9),CHOOSE(Sexwahl,Lebenserwartung_M_V2,Lebenserwartung_F_V2,Lebenserwartung_N_V2),YEAR(Adaequanz_GebDat)+IF(MONTH(Adaequanz_GebDat)&gt;6,1,0)-1900+2),0))</f>
        <v>0</v>
      </c>
      <c r="R11" s="1051">
        <f>IF(Adaequanz_RenteneintrittVersAusglK="",0,IFERROR(VLOOKUP(IF(F9&lt;F8,F8,F9),CHOOSE(Sexwahl,Lebenserwartung_M_V2,Lebenserwartung_F_V2,Lebenserwartung_N_V2),YEAR(Adaequanz_GebDat)+IF(MONTH(Adaequanz_GebDat)&gt;6,1,0)-1900+2),0))</f>
        <v>0</v>
      </c>
      <c r="S11" s="1051">
        <f>IF(Adaequanz_Reintritt="",0,IFERROR(VLOOKUP(IF(G9&lt;G8,G8,G9),CHOOSE(Sexwahl,Lebenserwartung_M_V2,Lebenserwartung_F_V2,Lebenserwartung_N_V2),YEAR(Adaequanz_GebDat)+IF(MONTH(Adaequanz_GebDat)&gt;6,1,0)-1900+2),0))</f>
        <v>0</v>
      </c>
      <c r="T11" s="1051">
        <f>IF(H9="",0,IFERROR(VLOOKUP(IF(H9&lt;H8,H8,H9),CHOOSE(IF(Sexwahl=1,2,IF(Sexwahl=2,1,3)),Lebenserwartung_M_V2,Lebenserwartung_F_V2,Lebenserwartung_N_V2),YEAR(Adaequanz_GebDatAglBer)+IF(MONTH(Adaequanz_GebDatAglBer)&gt;6,1,0)-1900+2),0))</f>
        <v>0</v>
      </c>
      <c r="U11" s="1051">
        <f>IF(I9="",0,IFERROR(VLOOKUP(IF(I9&lt;I8,I8,I9),CHOOSE(IF(Sexwahl=1,2,IF(Sexwahl=2,1,3)),Lebenserwartung_M_V2,Lebenserwartung_F_V2,Lebenserwartung_N_V2),YEAR(Adaequanz_GebDatAglBer)+IF(MONTH(Adaequanz_GebDatAglBer)&gt;6,1,0)-1900+2),0))</f>
        <v>0</v>
      </c>
      <c r="V11" s="1051">
        <f>IF(J9="",0,IFERROR(VLOOKUP(IF(J9&lt;J8,J8,J9),CHOOSE(IF(Sexwahl=1,2,IF(Sexwahl=2,1,3)),Lebenserwartung_M_V2,Lebenserwartung_F_V2,Lebenserwartung_N_V2),YEAR(Adaequanz_GebDatAglBer)+IF(MONTH(Adaequanz_GebDatAglBer)&gt;6,1,0)-1900+2),0))</f>
        <v>0</v>
      </c>
      <c r="W11" s="1051">
        <f>IF(K9="",0,IFERROR(VLOOKUP(IF(K9&lt;K8,K8,K9),CHOOSE(IF(Sexwahl=1,2,IF(Sexwahl=2,1,3)),Lebenserwartung_M_V2,Lebenserwartung_F_V2,Lebenserwartung_N_V2),YEAR(Adaequanz_GebDatAglBer)+IF(MONTH(Adaequanz_GebDatAglBer)&gt;6,1,0)-1900+2),0))</f>
        <v>0</v>
      </c>
      <c r="X11" s="1062"/>
      <c r="AA11" s="622"/>
    </row>
    <row r="12" spans="1:42" ht="17.25" customHeight="1" thickBot="1">
      <c r="A12" s="1491">
        <v>11</v>
      </c>
      <c r="B12" s="1162" t="str">
        <f>"hälftiger ehezeitl. Versorgungserwerb (Ausgleichswert) am "&amp;IF(D5="",IF(B_Dat&gt;0,TEXT(B_Dat,"T.M.JJ"),""),IF(BerechnetAuf=2,TEXT(D5,"TT.MM.JJJJ"),TEXT(C4,"TT.MM.JJJJ"))&amp;":")</f>
        <v xml:space="preserve">hälftiger ehezeitl. Versorgungserwerb (Ausgleichswert) am </v>
      </c>
      <c r="C12" s="1165" t="str">
        <f>IFERROR(IF(D12&gt;0,IF(AND(Adaequanz_RentePfl&lt;BagatellgrenzeRente,Adaequanz_RentePfl&gt;0),"Bagatellwert!",""),""),"")</f>
        <v/>
      </c>
      <c r="D12" s="2007"/>
      <c r="E12" s="696"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72"/>
      <c r="G12" s="1071"/>
      <c r="H12" s="755"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73"/>
      <c r="J12" s="476"/>
      <c r="K12" s="483"/>
      <c r="L12" s="264"/>
      <c r="M12" t="s">
        <v>262</v>
      </c>
      <c r="N12" s="91">
        <f>VLOOKUP(YEAR(Adaequanz_GebDat),Renteneintrittstabelle,3)</f>
        <v>65</v>
      </c>
      <c r="O12" s="213" t="s">
        <v>1225</v>
      </c>
      <c r="P12" s="619" t="e">
        <f>IF(Invaliditätsrente,0,VLOOKUP(D8,CHOOSE(IF(D9&lt;60,60,IF(D9&gt;67,67,D9))-59,HRIR60,HRIR61,HRIR62,HRIR63,HRIR64,HRIR,HRIR66,HRIR67),CHOOSE(Sexwahl,7,16,25))*Adaequanz_IRPfl)</f>
        <v>#N/A</v>
      </c>
      <c r="Q12" s="891">
        <f>IFERROR(ROUND(VLOOKUP(E8,CHOOSE(IF(E9&lt;60,60,IF(E9&gt;67,67,E9))-59,HRIR60,HRIR61,HRIR62,HRIR63,HRIR64,HRIR,HRIR66,HRIR67),CHOOSE(Sexwahl,7,16,25)),4)*E17,0)</f>
        <v>0</v>
      </c>
      <c r="R12" s="891">
        <v>0</v>
      </c>
      <c r="S12" s="891">
        <f>IFERROR(ROUND(VLOOKUP(G8,CHOOSE(IF(G9&lt;60,60,IF(G9&gt;67,67,G9))-59,HRIR60,HRIR61,HRIR62,HRIR63,HRIR64,HRIR,HRIR66,HRIR67),CHOOSE(Sexwahl,7,16,25)),4)*G17,0)</f>
        <v>0</v>
      </c>
      <c r="T12" s="265">
        <f>IFERROR(ROUND(VLOOKUP(H8,CHOOSE(IF(H9&lt;60,60,IF(H9&gt;67,67,H9))-59,HRIR60,HRIR61,HRIR62,HRIR63,HRIR64,HRIR,HRIR66,HRIR67),CHOOSE(Sexwahl,16,7,25)),4)*H17,0)</f>
        <v>0</v>
      </c>
      <c r="U12" s="265">
        <f>IFERROR(ROUND(VLOOKUP(I8,CHOOSE(IF(I9&lt;60,60,IF(I9&gt;67,67,I9))-59,HRIR60,HRIR61,HRIR62,HRIR63,HRIR64,HRIR,HRIR66,HRIR67),CHOOSE(Sexwahl,16,7,25)),4)*I17,0)</f>
        <v>0</v>
      </c>
      <c r="V12" s="265">
        <f>IFERROR(ROUND(VLOOKUP(J8,CHOOSE(IF(J9&lt;60,60,IF(J9&gt;67,67,J9))-59,HRIR60,HRIR61,HRIR62,HRIR63,HRIR64,HRIR,HRIR66,HRIR67),CHOOSE(Sexwahl,16,7,25)),4)*J17,0)</f>
        <v>0</v>
      </c>
      <c r="W12" s="265">
        <f>IFERROR(ROUND(VLOOKUP(K8,CHOOSE(IF(K9&lt;60,60,IF(K9&gt;67,67,K9))-59,HRIR60,HRIR61,HRIR62,HRIR63,HRIR64,HRIR,HRIR66,HRIR67),CHOOSE(Sexwahl,16,7,25)),4)*K17,0)</f>
        <v>0</v>
      </c>
      <c r="X12" s="3"/>
      <c r="AA12" s="622"/>
      <c r="AE12" t="s">
        <v>390</v>
      </c>
      <c r="AF12" t="str">
        <f>IF(BGHXIIZB23016,"Alter AusglBer.","AlterAusglPfl.")</f>
        <v>AlterAusglPfl.</v>
      </c>
      <c r="AG12" t="str">
        <f>IF(AF12="AlterAusglPfl.","AlterAusglBer.","AlterAusglPfl.")</f>
        <v>AlterAusglBer.</v>
      </c>
    </row>
    <row r="13" spans="1:42" ht="17.25" customHeight="1">
      <c r="A13" s="1491">
        <v>12</v>
      </c>
      <c r="B13" s="688" t="s">
        <v>260</v>
      </c>
      <c r="C13" s="689"/>
      <c r="D13" s="337"/>
      <c r="E13" s="697">
        <f>+RententrendDRV</f>
        <v>2.5999999999999999E-2</v>
      </c>
      <c r="F13" s="697">
        <f>+AW_DynamikVersAusglK</f>
        <v>0.01</v>
      </c>
      <c r="G13" s="1073"/>
      <c r="H13" s="720">
        <f>+E13</f>
        <v>2.5999999999999999E-2</v>
      </c>
      <c r="I13" s="514"/>
      <c r="J13" s="477"/>
      <c r="K13" s="484"/>
      <c r="L13" s="264"/>
      <c r="M13" t="s">
        <v>1694</v>
      </c>
      <c r="O13" s="213" t="s">
        <v>1226</v>
      </c>
      <c r="P13" s="1052">
        <f>IFERROR(ROUND(VLOOKUP(D8,CHOOSE(IF(D9&lt;60,60,IF(D9&gt;67,67,D9))-59,HRIR60,HRIR61,HRIR62,HRIR63,HRIR64,HRIR,HRIR66,HRIR67),CHOOSE(Sexwahl,8,17,26)),4)*Adaequanz_HRPfl,0)</f>
        <v>0</v>
      </c>
      <c r="Q13" s="619">
        <f>IFERROR(ROUND(VLOOKUP(E8,CHOOSE(IF(E9&lt;60,60,IF(E9&gt;67,67,E9))-59,HRIR60,HRIR61,HRIR62,HRIR63,HRIR64,HRIR,HRIR66,HRIR67),CHOOSE(Sexwahl,8,17,26)),4)*E18,0)</f>
        <v>0</v>
      </c>
      <c r="R13" s="619">
        <v>0</v>
      </c>
      <c r="S13" s="619">
        <f>IFERROR(ROUND(VLOOKUP(G8,CHOOSE(IF(G9&lt;60,60,IF(G9&gt;67,67,G9))-59,HRIR60,HRIR61,HRIR62,HRIR63,HRIR64,HRIR,HRIR66,HRIR67),CHOOSE(Sexwahl,8,17,26)),4)*G18,0)</f>
        <v>0</v>
      </c>
      <c r="T13" s="619">
        <f>IFERROR(ROUND(VLOOKUP(H8,CHOOSE(IF(H9&lt;60,60,IF(H9&gt;67,67,H9))-59,HRIR60,HRIR61,HRIR62,HRIR63,HRIR64,HRIR,HRIR66,HRIR67),CHOOSE(Sexwahl,17,8,26)),4)*H18,0)</f>
        <v>0</v>
      </c>
      <c r="U13" s="619">
        <f>IFERROR(ROUND(VLOOKUP(I8,CHOOSE(IF(I9&lt;60,60,IF(I9&gt;67,67,I9))-59,HRIR60,HRIR61,HRIR62,HRIR63,HRIR64,HRIR,HRIR66,HRIR67),CHOOSE(Sexwahl,17,8,26)),4)*I18,0)</f>
        <v>0</v>
      </c>
      <c r="V13" s="619">
        <f>IFERROR(ROUND(VLOOKUP(J8,CHOOSE(IF(J9&lt;60,60,IF(J9&gt;67,67,J9))-59,HRIR60,HRIR61,HRIR62,HRIR63,HRIR64,HRIR,HRIR66,HRIR67),CHOOSE(Sexwahl,17,8,26)),4)*J18,0)</f>
        <v>0</v>
      </c>
      <c r="W13" s="619">
        <f>IFERROR(ROUND(VLOOKUP(K8,CHOOSE(IF(K9&lt;60,60,IF(K9&gt;67,67,K9))-59,HRIR60,HRIR61,HRIR62,HRIR63,HRIR64,HRIR,HRIR66,HRIR67),CHOOSE(Sexwahl,17,8,26)),4)*K18,0)</f>
        <v>0</v>
      </c>
      <c r="X13" s="3"/>
      <c r="AA13" s="622"/>
      <c r="AL13" s="416">
        <f>E31-(E29-E33)</f>
        <v>0</v>
      </c>
    </row>
    <row r="14" spans="1:42" ht="17.25" customHeight="1">
      <c r="A14" s="1491">
        <v>13</v>
      </c>
      <c r="B14" s="1272" t="s">
        <v>318</v>
      </c>
      <c r="C14" s="1273"/>
      <c r="D14" s="337"/>
      <c r="E14" s="697">
        <f>+RententrendDRV</f>
        <v>2.5999999999999999E-2</v>
      </c>
      <c r="F14" s="697">
        <f>+L_DynamikVersAusglK</f>
        <v>0.01</v>
      </c>
      <c r="G14" s="1073"/>
      <c r="H14" s="721">
        <f>+E13</f>
        <v>2.5999999999999999E-2</v>
      </c>
      <c r="I14" s="514"/>
      <c r="J14" s="477"/>
      <c r="K14" s="484"/>
      <c r="L14" s="264"/>
      <c r="M14" s="68"/>
      <c r="O14" s="3" t="s">
        <v>310</v>
      </c>
      <c r="P14" s="1256">
        <f>IFERROR(ROUND(P13+P12,4),0)</f>
        <v>0</v>
      </c>
      <c r="Q14" s="1256">
        <f>ROUND(Q13+Q12,4)</f>
        <v>0</v>
      </c>
      <c r="R14" s="265">
        <v>0</v>
      </c>
      <c r="S14" s="265">
        <f>+S13+S12</f>
        <v>0</v>
      </c>
      <c r="T14" s="265">
        <f>+T13+T12</f>
        <v>0</v>
      </c>
      <c r="U14" s="265">
        <f>+U13+U12</f>
        <v>0</v>
      </c>
      <c r="V14" s="265">
        <f>+V13+V12</f>
        <v>0</v>
      </c>
      <c r="W14" s="265">
        <f>+W13+W12</f>
        <v>0</v>
      </c>
      <c r="X14" s="3"/>
      <c r="AA14" s="622"/>
      <c r="AL14" s="59">
        <f>((IF(C20&gt;0,C20,P15/100)-AJ29)/0.25)*100</f>
        <v>7.9999999999999991</v>
      </c>
    </row>
    <row r="15" spans="1:42" ht="17.25" customHeight="1">
      <c r="A15" s="1491">
        <v>14</v>
      </c>
      <c r="B15" s="1182" t="str">
        <f>"Rente bei Renteneintritt bzw im Ehezeitende: "&amp;IF(AND(Adaequanz_ReEintrittPfl&gt;D8,D13&gt;0),TEXT(E12,"#.##0,00")&amp;" x (1 + "&amp;TEXT(Adaequanz_ADynPfl,"0,00%")&amp;")^"&amp;TEXT(Adaequanz_ReEintrittPfl-D8,"0,00"),"")</f>
        <v xml:space="preserve">Rente bei Renteneintritt bzw im Ehezeitende: </v>
      </c>
      <c r="C15" s="686"/>
      <c r="D15" s="206" t="str">
        <f>IFERROR(ROUND(D12*(1+(D13))^(D11),2),"")</f>
        <v/>
      </c>
      <c r="E15" s="698" t="str">
        <f>IFERROR(ROUND(E12*(1+E13)^E11,2),"")</f>
        <v/>
      </c>
      <c r="F15" s="1070" t="str">
        <f>IFERROR(ROUND(F12*(1+(F13))^F11,2),"")</f>
        <v/>
      </c>
      <c r="G15" s="1149" t="str">
        <f>IFERROR(ROUND(G12*(1+(G13))^G11,2),"")</f>
        <v/>
      </c>
      <c r="H15" s="719" t="str">
        <f>IFERROR(H12*(1+(H13))^H11,"")</f>
        <v/>
      </c>
      <c r="I15" s="515" t="str">
        <f>IFERROR(I12*(1+I13)^I11,"")</f>
        <v/>
      </c>
      <c r="J15" s="313" t="str">
        <f>IFERROR(J12*(1+J13)^J11,"")</f>
        <v/>
      </c>
      <c r="K15" s="485" t="str">
        <f>IFERROR(K12*(1+K13)^K11,"")</f>
        <v/>
      </c>
      <c r="L15" s="25"/>
      <c r="N15" s="146"/>
      <c r="O15" s="3" t="s">
        <v>283</v>
      </c>
      <c r="P15" s="3">
        <f>IFERROR(IF(C20&gt;0,C20*100,IF(AND(D5&gt;0,BerechnetAuf=2),VLOOKUP(D5,IF(C_BilMoG10,BilMoG10,BilmoGZins),16),VLOOKUP(B_Dat,IF(C_BilMoG10,BilMoG10,BilmoGZins),16))),6)</f>
        <v>6</v>
      </c>
      <c r="Q15" s="3" t="s">
        <v>397</v>
      </c>
      <c r="R15" s="415" t="b">
        <v>1</v>
      </c>
      <c r="S15" s="3"/>
      <c r="T15" s="3"/>
      <c r="U15" s="3"/>
      <c r="V15" s="415"/>
      <c r="W15" s="3"/>
      <c r="X15" s="3"/>
      <c r="AA15" s="622"/>
    </row>
    <row r="16" spans="1:42" s="397" customFormat="1" ht="34.35" customHeight="1">
      <c r="A16" s="1491">
        <v>15</v>
      </c>
      <c r="B16" s="2973" t="s">
        <v>1847</v>
      </c>
      <c r="C16" s="2974"/>
      <c r="D16" s="1348" t="str">
        <f>IFERROR(ROUND(IF((Adaequanz_LDynPfl)=0,D15*D10*12,-PV(-Adaequanz_LDynPfl,D10,D15*12,,1)),0),"")</f>
        <v/>
      </c>
      <c r="E16" s="699" t="str">
        <f>IFERROR(ROUND(IF(E14=0,E15*12*E10,-PV(-E14,E10,E15*12,,1)),0),"")</f>
        <v/>
      </c>
      <c r="F16" s="699" t="str">
        <f>IFERROR(ROUND(IF(F14=0,F15*12*F10,-PV(-F14,F10,F15*12,,1)),0),"")</f>
        <v/>
      </c>
      <c r="G16" s="712" t="str">
        <f>IFERROR(IF(Adaequanz_Kapitalleistung,G52,IF(G14=0,G15*12*G10,-PV(-G14,G10,G15*12,,1))),"")</f>
        <v/>
      </c>
      <c r="H16" s="722" t="str">
        <f>IFERROR(ROUND(IF(H14=0,H15*12*H10,-PV(-H14,H10,H15*12,0,1)),1),"")</f>
        <v/>
      </c>
      <c r="I16" s="516" t="str">
        <f>IFERROR(ROUND(IF(I14=0,I15*I10*12,(((1+I14)^I10-1)/I14)*I15*12),0),"")</f>
        <v/>
      </c>
      <c r="J16" s="354" t="str">
        <f>IFERROR(ROUND(IF(J14=0,J15*J10*12,(((1+J14)^J10-1)/J14)*J15*12),0),"")</f>
        <v/>
      </c>
      <c r="K16" s="486" t="str">
        <f>IFERROR(ROUND(IF(K14=0,K15*12*K10,(((1+K14)^K10-1)/K14)*K15*12),0),"")</f>
        <v/>
      </c>
      <c r="L16" s="677"/>
      <c r="N16" s="398"/>
      <c r="O16" s="756" t="s">
        <v>284</v>
      </c>
      <c r="P16" s="1278">
        <f>IFERROR(-PV($P15/100-Adaequanz_LDynPfl,D10,D15*12,,0),0)</f>
        <v>0</v>
      </c>
      <c r="Q16" s="1278">
        <f t="shared" ref="Q16:W16" si="0">IFERROR(-PV($P15/100-E14,E10,E15*12,,0),0)</f>
        <v>0</v>
      </c>
      <c r="R16" s="1278">
        <f t="shared" si="0"/>
        <v>0</v>
      </c>
      <c r="S16" s="1278">
        <f t="shared" si="0"/>
        <v>0</v>
      </c>
      <c r="T16" s="1278">
        <f t="shared" si="0"/>
        <v>0</v>
      </c>
      <c r="U16" s="1278">
        <f t="shared" si="0"/>
        <v>0</v>
      </c>
      <c r="V16" s="1278">
        <f t="shared" si="0"/>
        <v>0</v>
      </c>
      <c r="W16" s="1278">
        <f t="shared" si="0"/>
        <v>0</v>
      </c>
      <c r="X16" s="756"/>
      <c r="AA16" s="847"/>
      <c r="AB16" s="1447"/>
      <c r="AC16" s="420"/>
      <c r="AD16" s="420"/>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91">
        <v>16</v>
      </c>
      <c r="B17" s="1182" t="str">
        <f>"Invaliditätsabsicherung in Quellversorgung in %: Zuschlag "&amp;IFERROR(TEXT(P12,"0,00%"),"")</f>
        <v xml:space="preserve">Invaliditätsabsicherung in Quellversorgung in %: Zuschlag </v>
      </c>
      <c r="C17" s="686"/>
      <c r="D17" s="394"/>
      <c r="E17" s="395">
        <f>IF(KeineInvaliditätinDRV,0,100%)</f>
        <v>1</v>
      </c>
      <c r="F17" s="2971"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74"/>
      <c r="H17" s="723">
        <f>+E17</f>
        <v>1</v>
      </c>
      <c r="I17" s="517">
        <v>1</v>
      </c>
      <c r="J17" s="478">
        <v>1</v>
      </c>
      <c r="K17" s="487"/>
      <c r="L17" s="678"/>
      <c r="N17" s="197"/>
      <c r="O17" s="3" t="s">
        <v>285</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21"/>
      <c r="Z17" s="849"/>
      <c r="AA17" s="848"/>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91">
        <v>17</v>
      </c>
      <c r="B18" s="1182" t="str">
        <f>"Hinterbliebenenversorgung in Quellversorgung in %: Zuschlag: "&amp;IFERROR(TEXT(P13,"0,00%"),"")</f>
        <v>Hinterbliebenenversorgung in Quellversorgung in %: Zuschlag: 0,00%</v>
      </c>
      <c r="C18" s="686"/>
      <c r="D18" s="394"/>
      <c r="E18" s="395">
        <v>0.55000000000000004</v>
      </c>
      <c r="F18" s="2972"/>
      <c r="G18" s="1074"/>
      <c r="H18" s="723">
        <f>+E18</f>
        <v>0.55000000000000004</v>
      </c>
      <c r="I18" s="521">
        <v>0.6</v>
      </c>
      <c r="J18" s="478">
        <v>0.6</v>
      </c>
      <c r="K18" s="487"/>
      <c r="L18" s="25"/>
      <c r="M18" s="202" t="s">
        <v>315</v>
      </c>
      <c r="N18" s="15">
        <v>1</v>
      </c>
      <c r="O18" s="3" t="s">
        <v>286</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2029" t="e">
        <f>VLOOKUP(ROUND(K8,0),CHOOSE(CHOOSE(Sexwahl,2,1,3),G_Kohorte_M,G_Kohorte_F,G_Kohorte_N),TabSchritteBer)</f>
        <v>#VALUE!</v>
      </c>
      <c r="X18" s="25"/>
      <c r="Y18" s="25"/>
      <c r="Z18" s="25"/>
      <c r="AA18" s="25"/>
      <c r="AC18" s="2966"/>
      <c r="AD18" s="2966"/>
      <c r="AE18" s="201"/>
    </row>
    <row r="19" spans="1:41" ht="17.25" customHeight="1" thickBot="1">
      <c r="A19" s="1491">
        <v>18</v>
      </c>
      <c r="B19" s="690" t="s">
        <v>540</v>
      </c>
      <c r="C19" s="691" t="s">
        <v>837</v>
      </c>
      <c r="D19" s="396">
        <f>IF(Adaequanz_HRPfl+Adaequanz_IRPfl=0,,ROUND(P14,4))</f>
        <v>0</v>
      </c>
      <c r="E19" s="700">
        <f>+ROUND(Q14,4)</f>
        <v>0</v>
      </c>
      <c r="F19" s="2955"/>
      <c r="G19" s="713" t="str">
        <f>IF(SonstJa=FALSE,"",ROUND(S14,4))</f>
        <v/>
      </c>
      <c r="H19" s="721">
        <f>ROUND(T14,4)</f>
        <v>0</v>
      </c>
      <c r="I19" s="519">
        <f>ROUND(U14,4)</f>
        <v>0</v>
      </c>
      <c r="J19" s="479">
        <f>ROUND(V14,4)</f>
        <v>0</v>
      </c>
      <c r="K19" s="488">
        <f>ROUND(W14,4)</f>
        <v>0</v>
      </c>
      <c r="L19" s="677"/>
      <c r="M19" t="s">
        <v>311</v>
      </c>
      <c r="N19" t="e">
        <f>VLOOKUP(YEAR(E7),Renteneintrittstabelle,3)</f>
        <v>#VALUE!</v>
      </c>
      <c r="O19" s="3" t="s">
        <v>1220</v>
      </c>
      <c r="P19" s="1279" t="e">
        <f t="shared" ref="P19:W19" si="1">IF(P17/P18&gt;1,1,ROUND(P17/P18,4))</f>
        <v>#DIV/0!</v>
      </c>
      <c r="Q19" s="3" t="e">
        <f>IF(Q17/Q18&gt;1,1,ROUND(Q17/Q18,3))</f>
        <v>#VALUE!</v>
      </c>
      <c r="R19" s="3" t="e">
        <f t="shared" si="1"/>
        <v>#VALUE!</v>
      </c>
      <c r="S19" s="1279" t="e">
        <f t="shared" si="1"/>
        <v>#VALUE!</v>
      </c>
      <c r="T19" s="1279" t="e">
        <f t="shared" si="1"/>
        <v>#VALUE!</v>
      </c>
      <c r="U19" s="1279" t="e">
        <f t="shared" si="1"/>
        <v>#VALUE!</v>
      </c>
      <c r="V19" s="1279" t="e">
        <f t="shared" si="1"/>
        <v>#VALUE!</v>
      </c>
      <c r="W19" s="2030" t="e">
        <f t="shared" si="1"/>
        <v>#VALUE!</v>
      </c>
      <c r="X19" s="3010" t="str">
        <f>IF(Tenorschalter=0,"Tenorierungsvorschlag:"&amp;CHAR(10)&amp;"Wählen Sie eine Zielversorgung über die Checkbox aus (Zeile 2)",IF(Tenorschalter&gt;1,"Tenorierungsvorschlag nur für eine einzelne Zielversorgung möglich!","Tenorierungsvorschlag:"))</f>
        <v>Tenorierungsvorschlag:</v>
      </c>
      <c r="Y19" s="3011"/>
      <c r="Z19" s="25"/>
      <c r="AA19" s="2033"/>
      <c r="AC19" s="374"/>
      <c r="AD19" s="374"/>
      <c r="AE19" s="423"/>
    </row>
    <row r="20" spans="1:41" ht="17.25" customHeight="1" thickTop="1" thickBot="1">
      <c r="A20" s="1491">
        <v>19</v>
      </c>
      <c r="B20" s="692" t="str">
        <f>IFERROR("berechneter Barwert d. Versorg., "&amp;IF(C20&gt;0,"Rezins: "&amp;TEXT(C20,"0,00%"),IF(AND(C_BilMoG10,N26&lt;&gt;10),"BilMoG-10:",IF(AND(N24&lt;&gt;10,C_BilMoG10=FALSE),"BilMoG-7:","BilMoG NV"))&amp; " "&amp;TEXT(P15/100,"0,00%")),"")</f>
        <v>berechneter Barwert d. Versorg., BilMoG NV 6,00%</v>
      </c>
      <c r="C20" s="1193"/>
      <c r="D20" s="776">
        <f>IFERROR(P22,"")</f>
        <v>0</v>
      </c>
      <c r="E20" s="710" t="str">
        <f>IF(Q23=0,"",IF(DRVJa,Q23,""))</f>
        <v/>
      </c>
      <c r="F20" s="710" t="str">
        <f>IFERROR(IF(R23=0,"",IF(VersAusglKJa,IFERROR(IF(R23=0,"",ROUND(R23,0)),""),0)),"")</f>
        <v/>
      </c>
      <c r="G20" s="714" t="str">
        <f>IF(S23=0,"",IF(SonstJa,S23,0))</f>
        <v/>
      </c>
      <c r="H20" s="724">
        <f>IF(DRVAusglBerJa,T23,0)</f>
        <v>0</v>
      </c>
      <c r="I20" s="518">
        <f>+U23</f>
        <v>0</v>
      </c>
      <c r="J20" s="491">
        <f>+V23</f>
        <v>0</v>
      </c>
      <c r="K20" s="492">
        <f>W23</f>
        <v>0</v>
      </c>
      <c r="L20" s="25"/>
      <c r="M20" s="201" t="s">
        <v>313</v>
      </c>
      <c r="N20" s="15" t="b">
        <v>0</v>
      </c>
      <c r="O20" s="3" t="s">
        <v>287</v>
      </c>
      <c r="P20" s="1280">
        <f t="shared" ref="P20:W20" si="2">1+D19</f>
        <v>1</v>
      </c>
      <c r="Q20" s="1280">
        <f t="shared" si="2"/>
        <v>1</v>
      </c>
      <c r="R20" s="1280">
        <f t="shared" si="2"/>
        <v>1</v>
      </c>
      <c r="S20" s="1281" t="e">
        <f t="shared" si="2"/>
        <v>#VALUE!</v>
      </c>
      <c r="T20" s="1280">
        <f t="shared" si="2"/>
        <v>1</v>
      </c>
      <c r="U20" s="1280">
        <f t="shared" si="2"/>
        <v>1</v>
      </c>
      <c r="V20" s="1280">
        <f t="shared" si="2"/>
        <v>1</v>
      </c>
      <c r="W20" s="2031">
        <f t="shared" si="2"/>
        <v>1</v>
      </c>
      <c r="X20" s="3012"/>
      <c r="Y20" s="3013"/>
      <c r="Z20" s="25"/>
      <c r="AA20" s="25"/>
      <c r="AC20" s="2273"/>
      <c r="AD20" s="2273"/>
      <c r="AE20" s="149"/>
    </row>
    <row r="21" spans="1:41" ht="17.25" customHeight="1" thickTop="1" thickBot="1">
      <c r="A21" s="1491">
        <v>20</v>
      </c>
      <c r="B21" s="1163" t="str">
        <f>IFERROR("anderen Ausgleichswert als: "&amp;TEXT(D20,"#.##0 €")&amp;" hier eintragen: (bei DRV mitgeteilter Kapitalwert)","")</f>
        <v>anderen Ausgleichswert als: 0 € hier eintragen: (bei DRV mitgeteilter Kapitalwert)</v>
      </c>
      <c r="C21" s="1164" t="str">
        <f>IF(Adaequanz_errechneterKapWert+Adaequanz_AusglWertQuelle&gt;0,IF(OR(Adaequanz_errechneterKapWert&lt;BagatellgrenzeKapital,AND(Adaequanz_AusglWertQuelle&gt;0,Adaequanz_AusglWertQuelle&lt;BagatellgrenzeKapital)),"Bagatelle § 18",""),"")</f>
        <v/>
      </c>
      <c r="D21" s="433"/>
      <c r="E21" s="508" t="str">
        <f>IF(BerechnetAuf=1,IF(Adaequanz_VerzinsungAusglW&gt;1,"v. "&amp;TEXT(B_Dat,"T.M.JJ")&amp; " b. "&amp;TEXT(D5,"T.M.JJ")&amp;" mit "&amp;TEXT(P15/100,"0,00%")&amp;CHOOSE(Adaequanz_VerzinsungAusglW,""," aufgezinst: "&amp;TEXT(P23,"0.00# €")," verzinst: "&amp;TEXT(P23,"0.00# €")),""),"")</f>
        <v/>
      </c>
      <c r="F21" s="508"/>
      <c r="G21" s="544"/>
      <c r="H21" s="613"/>
      <c r="I21" s="614" t="str">
        <f>IFERROR(I20/I12,"")</f>
        <v/>
      </c>
      <c r="J21" s="25"/>
      <c r="K21" s="679"/>
      <c r="L21" s="25"/>
      <c r="O21" s="3" t="s">
        <v>1221</v>
      </c>
      <c r="P21" s="254">
        <f>IFERROR(-PV($P$15/100,D11,,P16,0),0)</f>
        <v>0</v>
      </c>
      <c r="Q21" s="254" t="e">
        <f>-PV($P$15/100,E11,,Q16,1)</f>
        <v>#VALUE!</v>
      </c>
      <c r="R21" s="254" t="e">
        <f>-PV($P$15/100,F11,,R16,1)*R17/R18</f>
        <v>#VALUE!</v>
      </c>
      <c r="S21" s="254">
        <f>IFERROR(-PV($P$15/100,G11,,R16,1)*S17/S18,0)</f>
        <v>0</v>
      </c>
      <c r="T21" s="254">
        <f>IFERROR(-PV($P$15/100,H11,,T16,1)*T17/T18,0)</f>
        <v>0</v>
      </c>
      <c r="U21" s="254">
        <f t="shared" ref="S21:W22" si="3">IFERROR(-PV($P$15/100,I10,,U15,1)*U18*U19,0)</f>
        <v>0</v>
      </c>
      <c r="V21" s="254">
        <f t="shared" si="3"/>
        <v>0</v>
      </c>
      <c r="W21" s="2032">
        <f t="shared" si="3"/>
        <v>0</v>
      </c>
      <c r="X21" s="3014"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&lt;XY-AG, VersNr.: ...&gt; wird im Wege der externen Teilung zu Gunsten des Ehemannes in der DRV, VersNr. ..... ein Anrecht aus einem Ausgleichswert in Höhe von 0 €, bezogen auf den  begründet. </v>
      </c>
      <c r="Y21" s="3015"/>
      <c r="Z21" s="25"/>
      <c r="AA21" s="25"/>
      <c r="AC21" s="149"/>
      <c r="AD21" s="149"/>
      <c r="AE21" s="149"/>
    </row>
    <row r="22" spans="1:41" ht="17.25" customHeight="1" thickTop="1" thickBot="1">
      <c r="A22" s="1491">
        <v>21</v>
      </c>
      <c r="B22" s="2957" t="str">
        <f>IFERROR(IF(SUM(D22:G22)=0,"",IF(Adaequanz_AusglWertQuelle&gt;0,"Ausgleichswert der Quellversorgung bzw. Barwert der Versorgungen ","Barwert der Versorgung: ")),"")</f>
        <v/>
      </c>
      <c r="C22" s="2958"/>
      <c r="D22" s="392">
        <f>IF(Adaequanz_AusglWertQuelle&gt;0,Adaequanz_AusglWertQuelle,IF(Adaequanz_VerzinsungAusglW&gt;1,ROUND(P23,0),ROUND(Adaequanz_errechneterKapWert,0)))</f>
        <v>0</v>
      </c>
      <c r="E22" s="701">
        <f>IF(DRVJa,IFERROR(IF(Adaequanz_Kapitalleistung,ROUND(E60,0),ROUND(Q23,0)),""),"")</f>
        <v>0</v>
      </c>
      <c r="F22" s="701" t="str">
        <f>IFERROR(IF(R23=0,"",IF(VersAusglKJa,IFERROR(ROUND(R23,0),""),"")),"")</f>
        <v/>
      </c>
      <c r="G22" s="715" t="str">
        <f>IF(S23=0,"",IF(SonstJa,IFERROR(ROUND(S23,0),0),""))</f>
        <v/>
      </c>
      <c r="H22" s="725">
        <f>IF(DRVAusglBerJa,ROUND(T23,0),0)</f>
        <v>0</v>
      </c>
      <c r="I22" s="669" t="str">
        <f>IFERROR(Adaequanz_Ausgleichswert1/Adaequanz_RentePfl,"")</f>
        <v/>
      </c>
      <c r="J22" s="601" t="str">
        <f>"∑ Barwerte "&amp;CHOOSE(Sexwahl,Zeichen!B15,Zeichen!#REF!,"AuslgBer.")</f>
        <v>∑ Barwerte </v>
      </c>
      <c r="K22" s="493">
        <f>SUM(H20:K20)</f>
        <v>0</v>
      </c>
      <c r="L22" s="25"/>
      <c r="N22" s="15"/>
      <c r="O22" s="3" t="s">
        <v>1222</v>
      </c>
      <c r="P22" s="254">
        <f>IFERROR(-PV(P15/100,D11,,P16,0)*P19*P20,0)</f>
        <v>0</v>
      </c>
      <c r="Q22" s="254">
        <f>IFERROR(-PV($P15/100,E11,,Q16,1)*Q19*Q20,0)</f>
        <v>0</v>
      </c>
      <c r="R22" s="254" t="e">
        <f>-PV($P15/100,F11,,R16,1)*R19*R20</f>
        <v>#VALUE!</v>
      </c>
      <c r="S22" s="254">
        <f t="shared" si="3"/>
        <v>0</v>
      </c>
      <c r="T22" s="254">
        <f t="shared" si="3"/>
        <v>0</v>
      </c>
      <c r="U22" s="254">
        <f t="shared" si="3"/>
        <v>0</v>
      </c>
      <c r="V22" s="254">
        <f t="shared" si="3"/>
        <v>0</v>
      </c>
      <c r="W22" s="2032">
        <f t="shared" si="3"/>
        <v>0</v>
      </c>
      <c r="X22" s="3014"/>
      <c r="Y22" s="3015"/>
      <c r="Z22" s="25"/>
      <c r="AA22" s="25"/>
      <c r="AC22" s="422"/>
      <c r="AD22" s="422"/>
      <c r="AE22" s="197"/>
    </row>
    <row r="23" spans="1:41" ht="17.25" customHeight="1" thickTop="1">
      <c r="A23" s="1491">
        <v>22</v>
      </c>
      <c r="B23" s="2989" t="s">
        <v>836</v>
      </c>
      <c r="C23" s="2990"/>
      <c r="D23" s="2991"/>
      <c r="E23" s="702" t="str">
        <f>IF(AND(DRVJa,D20&gt;0),ROUND((E20/$D20)-1,4),"")</f>
        <v/>
      </c>
      <c r="F23" s="702" t="str">
        <f>IF(OR(Adaequanz_RentenhoeheVersAusglK=0,Adaequanz_RenteneintrittVersAusglK=0),"",IFERROR(1-ROUND(($D20/F20),4),""))</f>
        <v/>
      </c>
      <c r="G23" s="716" t="str">
        <f>IF(SonstJa,IF(Adaequanz_RenteBer=0,0,IFERROR(1-ROUND((D20/$G20),4),"")),"")</f>
        <v/>
      </c>
      <c r="H23" s="726" t="str">
        <f>IFERROR(ROUND((H22/$D20),4)-1,"")</f>
        <v/>
      </c>
      <c r="I23" s="149" t="str">
        <f>IFERROR(+Adaequanz_errechneterKapWert/Adaequanz_RentePfl,"")</f>
        <v/>
      </c>
      <c r="J23" s="601" t="e">
        <f>"∑ Barwerte "&amp;CHOOSE(Sexwahl,Zeichen!#REF!,Zeichen!B15,"AuslgPflr.")</f>
        <v>#REF!</v>
      </c>
      <c r="K23" s="495">
        <f>SUM(D20:G20)</f>
        <v>0</v>
      </c>
      <c r="L23" s="25"/>
      <c r="O23" s="3" t="s">
        <v>316</v>
      </c>
      <c r="P23" s="254">
        <f>ROUND(IF(AND(BerechnetAuf=1,Adaequanz_VerzinsungAusglW=1),P22,IF(AND(BerechnetAuf=2,D5&gt;0),CHOOSE(Adaequanz_VerzinsungAusglW,P22,P22*(1+P15/100)^YEARFRAC(B_Dat,D5,0),P22+P22*P15/100*YEARFRAC(B_Dat,D5,0)),P22)),0)</f>
        <v>0</v>
      </c>
      <c r="Q23" s="254">
        <f t="shared" ref="Q23:W23" si="4">+Q22</f>
        <v>0</v>
      </c>
      <c r="R23" s="254" t="e">
        <f t="shared" si="4"/>
        <v>#VALUE!</v>
      </c>
      <c r="S23" s="254">
        <f t="shared" si="4"/>
        <v>0</v>
      </c>
      <c r="T23" s="254">
        <f t="shared" si="4"/>
        <v>0</v>
      </c>
      <c r="U23" s="254">
        <f t="shared" si="4"/>
        <v>0</v>
      </c>
      <c r="V23" s="254">
        <f t="shared" si="4"/>
        <v>0</v>
      </c>
      <c r="W23" s="2032">
        <f t="shared" si="4"/>
        <v>0</v>
      </c>
      <c r="X23" s="3014"/>
      <c r="Y23" s="3015"/>
      <c r="Z23" s="25"/>
      <c r="AA23" s="25"/>
      <c r="AC23" s="149"/>
      <c r="AD23" s="149"/>
      <c r="AE23" s="197"/>
    </row>
    <row r="24" spans="1:41" ht="80.25" customHeight="1">
      <c r="A24" s="1491">
        <v>23</v>
      </c>
      <c r="B24" s="3004" t="s">
        <v>1028</v>
      </c>
      <c r="C24" s="3005"/>
      <c r="D24" s="3006"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3007"/>
      <c r="F24" s="711"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7"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7" t="str">
        <f>IFERROR("Verhältnis Barw./Beitragsw.: "&amp;CHAR(10)&amp;TEXT(H20,"#.##0,00")&amp;" / "&amp;TEXT((H12/N7*VLOOKUP(B_Dat,Umrechnung,2)),"#.##0,00")&amp;" = "&amp;TEXT(H20/(H12/N7*VLOOKUP(B_Dat,Umrechnung,2)),"0,00"),"")</f>
        <v/>
      </c>
      <c r="I24" s="668" t="str">
        <f>IFERROR(Adaequanz_AusglWertQuelle/Adaequanz_RentePfl,"")</f>
        <v/>
      </c>
      <c r="J24" s="548" t="str">
        <f>"Barwert-Differenz "&amp;TEXT(ABS(K22-K23),"#.##0,00")&amp;" = Barwertteilung: "&amp;TEXT((K23+K22)/2,"#.##0")</f>
        <v>Barwert-Differenz 0,00 = Barwertteilung: 0</v>
      </c>
      <c r="K24" s="612">
        <f>+(K23-K22)/2</f>
        <v>0</v>
      </c>
      <c r="L24" s="25"/>
      <c r="M24" s="71" t="s">
        <v>402</v>
      </c>
      <c r="N24" s="128">
        <f>_xlfn.IFNA(N27,10)</f>
        <v>10</v>
      </c>
      <c r="Q24" s="149"/>
      <c r="X24" s="3014"/>
      <c r="Y24" s="3015"/>
      <c r="Z24" s="25"/>
      <c r="AA24" s="25"/>
      <c r="AC24" s="422"/>
      <c r="AD24" s="422"/>
      <c r="AE24" s="422"/>
      <c r="AI24" s="59"/>
    </row>
    <row r="25" spans="1:41" ht="17.25" customHeight="1" thickBot="1">
      <c r="A25" s="1491">
        <v>24</v>
      </c>
      <c r="B25" s="2959" t="s">
        <v>1232</v>
      </c>
      <c r="C25" s="2960"/>
      <c r="D25" s="2961"/>
      <c r="E25" s="703" t="str">
        <f>IF(AND(DRVJa,E23&lt;-0.1),IFERROR(IF(Adaequanz_AusglWertQuelle=0,Adaequanz_errechneterKapWert,Adaequanz_AusglWertQuelle)*Adaequanz_errechneterKapWert/E22,0),"")</f>
        <v/>
      </c>
      <c r="F25" s="704" t="str">
        <f>IF(AND(VersAusglKJa,F23&lt;-0.1),IFERROR(IF(Adaequanz_AusglWertQuelle=0,Adaequanz_errechneterKapWert,Adaequanz_AusglWertQuelle)*Adaequanz_errechneterKapWert/F22,0),"")</f>
        <v/>
      </c>
      <c r="G25" s="705" t="str">
        <f>IF(AND(SonstJa,G23&lt;-0.1),IFERROR(IF(Adaequanz_AusglWertQuelle=0,Adaequanz_errechneterKapWert,Adaequanz_AusglWertQuelle)*Adaequanz_errechneterKapWert/G22,0),"")</f>
        <v/>
      </c>
      <c r="H25" s="2992"/>
      <c r="I25" s="676" t="str">
        <f>IFERROR(+I20/I15,"")</f>
        <v/>
      </c>
      <c r="J25" s="496" t="s">
        <v>572</v>
      </c>
      <c r="K25" s="497" t="s">
        <v>573</v>
      </c>
      <c r="L25" s="25"/>
      <c r="M25" t="str">
        <f>IF(F26&gt;0,F26,"")</f>
        <v/>
      </c>
      <c r="P25" s="252" t="s">
        <v>545</v>
      </c>
      <c r="Q25" s="149">
        <f>-PV(-2.6%,20.6,51.84*12,,1)</f>
        <v>16793.42985233308</v>
      </c>
      <c r="R25" s="1135"/>
      <c r="X25" s="3016"/>
      <c r="Y25" s="3017"/>
      <c r="Z25" s="25"/>
      <c r="AA25" s="25"/>
    </row>
    <row r="26" spans="1:41" ht="30" customHeight="1" thickTop="1" thickBot="1">
      <c r="A26" s="1491">
        <v>25</v>
      </c>
      <c r="B26" s="2952" t="s">
        <v>901</v>
      </c>
      <c r="C26" s="2953"/>
      <c r="D26" s="2954"/>
      <c r="E26" s="706">
        <f>IF(DRVJa,IF(E23&gt;0,0,IFERROR(+E25*0.9,"")),"")</f>
        <v>0</v>
      </c>
      <c r="F26" s="706" t="str">
        <f>IFERROR(IF(+F25*0.9&lt;=IF(D21&gt;0,D21,Adaequanz_errechneterKapWert),0,+F25*0.9),"")</f>
        <v/>
      </c>
      <c r="G26" s="707" t="str">
        <f>IFERROR(IF(+G25*0.9&lt;=IF(D21&gt;0,D21,Adaequanz_errechneterKapWert),0,+G25*0.9),"")</f>
        <v/>
      </c>
      <c r="H26" s="2993"/>
      <c r="I26" s="680" t="str">
        <f>IFERROR(H20/(H12/N7*VLOOKUP(B_Dat,UmrechnungEP_Kap,2)),"")</f>
        <v/>
      </c>
      <c r="J26" s="494">
        <f>SUM(D16:G16)</f>
        <v>0</v>
      </c>
      <c r="K26" s="501">
        <f>SUM(H16:K16)</f>
        <v>0</v>
      </c>
      <c r="L26" s="25"/>
      <c r="M26" s="71" t="s">
        <v>401</v>
      </c>
      <c r="N26" s="128">
        <f>_xlfn.IFNA(N28,10)</f>
        <v>10</v>
      </c>
      <c r="P26" s="253" t="s">
        <v>1233</v>
      </c>
      <c r="Q26" s="149">
        <f>-PV(-2.6%,20.6,34.87*12*1.026^15.45,,1)</f>
        <v>16793.958785002207</v>
      </c>
      <c r="R26">
        <f>34.86*12*1.026^15.45/12</f>
        <v>51.826765657844788</v>
      </c>
      <c r="X26" s="25"/>
      <c r="Y26" s="25"/>
      <c r="Z26" s="25"/>
      <c r="AA26" s="25"/>
      <c r="AN26" t="s">
        <v>631</v>
      </c>
      <c r="AO26">
        <f>IF(Rentner=1,10,8)</f>
        <v>8</v>
      </c>
    </row>
    <row r="27" spans="1:41" ht="17.25" customHeight="1" thickBot="1">
      <c r="A27" s="1491">
        <v>26</v>
      </c>
      <c r="B27" s="3027" t="s">
        <v>395</v>
      </c>
      <c r="C27" s="3027"/>
      <c r="D27" s="3027"/>
      <c r="E27" s="774">
        <f>IFERROR(IF(AND(DRVJa,E26-IF(Adaequanz_AusglWertQuelle&gt;0,Adaequanz_AusglWertQuelle,Adaequanz_errechneterKapWert)&gt;0),E26-IF(Adaequanz_AusglWertQuelle&gt;0,Adaequanz_AusglWertQuelle,Adaequanz_errechneterKapWert),0),"")</f>
        <v>0</v>
      </c>
      <c r="F27" s="774">
        <f>IF(AND(VersAusglKJa,F23&lt;-0.1),IF(AND(VersAusglKJa,+F26-IF(D21&gt;0,D21,Adaequanz_errechneterKapWert)&gt;0),+F26-IF(D21&gt;0,D21,Adaequanz_errechneterKapWert),0),0)</f>
        <v>0</v>
      </c>
      <c r="G27" s="775" t="str">
        <f>IFERROR(IF(AND(SonstJa,G26-IF(D21&gt;0,D21,Adaequanz_errechneterKapWert)&gt;0),+G26-IF(D21&gt;0,D21,Adaequanz_errechneterKapWert),""),"")</f>
        <v/>
      </c>
      <c r="H27" s="2994"/>
      <c r="I27" s="25"/>
      <c r="J27" s="498"/>
      <c r="K27" s="499"/>
      <c r="L27" s="25"/>
      <c r="M27" s="71" t="s">
        <v>399</v>
      </c>
      <c r="N27" s="128" t="e">
        <f>VLOOKUP(IF(BerechnetAuf=1,B_Dat,D5),BilmoGZins,16)</f>
        <v>#N/A</v>
      </c>
      <c r="P27" s="253" t="s">
        <v>1234</v>
      </c>
      <c r="X27" s="25"/>
      <c r="Y27" s="25"/>
      <c r="Z27" s="25"/>
      <c r="AA27" s="25"/>
      <c r="AF27" s="149"/>
      <c r="AN27" t="s">
        <v>630</v>
      </c>
      <c r="AO27">
        <f>IF(Adaequanz_ReEintrittPfl&lt;Adaequanz_QV_Alter,1,0)</f>
        <v>0</v>
      </c>
    </row>
    <row r="28" spans="1:41" ht="21.6" hidden="1" customHeight="1" thickBot="1">
      <c r="A28" s="1491">
        <v>27</v>
      </c>
      <c r="B28" s="3030"/>
      <c r="C28" s="3031"/>
      <c r="D28" s="3031"/>
      <c r="E28" s="3031"/>
      <c r="F28" s="3031"/>
      <c r="G28" s="3031"/>
      <c r="H28" s="3032"/>
      <c r="I28" s="25"/>
      <c r="J28" s="25"/>
      <c r="K28" s="25"/>
      <c r="L28" s="215"/>
      <c r="M28" s="71" t="s">
        <v>400</v>
      </c>
      <c r="N28" s="128" t="e">
        <f>VLOOKUP(IF(BerechnetAuf=1,B_Dat,D5),BilMoG10,16)</f>
        <v>#N/A</v>
      </c>
      <c r="R28" s="219"/>
      <c r="S28" s="219"/>
      <c r="T28" s="219"/>
      <c r="U28" s="219"/>
      <c r="V28" s="219"/>
      <c r="W28" s="219"/>
      <c r="X28" s="25"/>
      <c r="Y28" s="25"/>
      <c r="Z28" s="2034"/>
      <c r="AA28" s="2035"/>
      <c r="AB28" s="2034"/>
      <c r="AF28" s="149"/>
      <c r="AG28" s="805" t="s">
        <v>611</v>
      </c>
      <c r="AH28" s="805"/>
      <c r="AI28" s="15" t="b">
        <v>0</v>
      </c>
      <c r="AM28" t="s">
        <v>625</v>
      </c>
      <c r="AN28" t="s">
        <v>627</v>
      </c>
      <c r="AO28" t="s">
        <v>629</v>
      </c>
    </row>
    <row r="29" spans="1:41" ht="17.25" hidden="1" customHeight="1">
      <c r="A29" s="1491">
        <v>28</v>
      </c>
      <c r="B29" s="3028"/>
      <c r="C29" s="3029"/>
      <c r="D29" s="3029"/>
      <c r="E29" s="562"/>
      <c r="F29" s="3021"/>
      <c r="G29" s="3021"/>
      <c r="H29" s="3021"/>
      <c r="I29" s="3008"/>
      <c r="J29" s="3009"/>
      <c r="K29" s="610"/>
      <c r="L29" s="341"/>
      <c r="M29" s="219" t="s">
        <v>602</v>
      </c>
      <c r="N29" s="15" t="b">
        <v>0</v>
      </c>
      <c r="Q29" s="219"/>
      <c r="R29" s="219"/>
      <c r="S29" s="219"/>
      <c r="T29" s="219"/>
      <c r="U29" s="219"/>
      <c r="V29" s="219"/>
      <c r="W29" s="219"/>
      <c r="X29" s="25"/>
      <c r="Y29" s="25"/>
      <c r="Z29" s="2036"/>
      <c r="AA29" s="2036"/>
      <c r="AB29" s="2036"/>
      <c r="AD29" t="s">
        <v>396</v>
      </c>
      <c r="AE29" t="str">
        <f>IF(AE30&lt;&gt;"",AE30,IF(AE31&lt;&gt;"",AE31,IF(AE32&lt;&gt;"",AE32,"")))</f>
        <v/>
      </c>
      <c r="AG29" s="805"/>
      <c r="AH29" s="805"/>
      <c r="AI29" t="s">
        <v>616</v>
      </c>
      <c r="AJ29" s="559">
        <f>VLOOKUP(IF(C20&gt;0,C20,P15/100),BWVergl_F_DRVIR,1,TRUE)</f>
        <v>0.04</v>
      </c>
      <c r="AK29" s="558">
        <f>ROUND(AJ29/0.025%,0)</f>
        <v>160</v>
      </c>
      <c r="AL29" s="59">
        <f>+AK29*0.25/100</f>
        <v>0.4</v>
      </c>
      <c r="AM29" s="251">
        <v>0.01</v>
      </c>
      <c r="AN29" s="4">
        <v>35</v>
      </c>
      <c r="AO29" s="561" t="e">
        <f>ROUND(VLOOKUP(AJ29,IF(D6="w",BWVergl_F_VersAusglK,BWVergl_M_VersAusglK),$AH$39,TRUE),2)</f>
        <v>#REF!</v>
      </c>
    </row>
    <row r="30" spans="1:41" ht="17.25" hidden="1" customHeight="1">
      <c r="A30" s="1491">
        <v>29</v>
      </c>
      <c r="B30" s="3028"/>
      <c r="C30" s="3029"/>
      <c r="D30" s="3029"/>
      <c r="E30" s="562"/>
      <c r="F30" s="3021"/>
      <c r="G30" s="3021"/>
      <c r="H30" s="3022"/>
      <c r="I30" s="3008"/>
      <c r="J30" s="3009"/>
      <c r="K30" s="610"/>
      <c r="L30" s="215"/>
      <c r="M30" t="s">
        <v>321</v>
      </c>
      <c r="N30">
        <f>IF(EP_Ost,3,2)</f>
        <v>2</v>
      </c>
      <c r="O30" s="219"/>
      <c r="P30" s="219"/>
      <c r="Q30" s="219"/>
      <c r="R30" s="219"/>
      <c r="S30" s="219"/>
      <c r="T30" s="219"/>
      <c r="U30" s="219"/>
      <c r="V30" s="219"/>
      <c r="W30" s="219"/>
      <c r="X30" s="25"/>
      <c r="Y30" s="25"/>
      <c r="Z30" s="2036"/>
      <c r="AA30" s="2036"/>
      <c r="AB30" s="2036"/>
      <c r="AD30">
        <v>1</v>
      </c>
      <c r="AE30" t="str">
        <f>IF(AND(E27&lt;&gt;"",E27&gt;0),IF(DRVJa," sowie zu Lasten des &lt;Trägers der Quellversorgung&gt; aus einem weiteren Betrag in Höhe von "&amp;TEXT(E27,"#.##0 €"),""),"")</f>
        <v/>
      </c>
      <c r="AG30" t="s">
        <v>612</v>
      </c>
      <c r="AH30" t="e">
        <f>IF(Adaequanz_IRPfl&gt;0,IF(D6="m","BWVergl_M_DRVIR","BWVergl_M_DRV"),IF(Adaequanz_IRPfl&gt;0,BWVergl_F_DRVIR,BWVergl_F_DRV))</f>
        <v>#VALUE!</v>
      </c>
      <c r="AM30" s="560">
        <v>1.2500000000000001E-2</v>
      </c>
      <c r="AN30" s="4">
        <v>40</v>
      </c>
      <c r="AO30" s="561" t="e">
        <f>ROUND(VLOOKUP(AJ29,IF(D6="w",BWVergl_F_VersAusglK,BWVergl_M_VersAusglK),$AI$39,TRUE),2)</f>
        <v>#REF!</v>
      </c>
    </row>
    <row r="31" spans="1:41" ht="17.25" hidden="1" customHeight="1">
      <c r="A31" s="1491">
        <v>30</v>
      </c>
      <c r="B31" s="3002"/>
      <c r="C31" s="3003"/>
      <c r="D31" s="3003"/>
      <c r="E31" s="563"/>
      <c r="F31" s="3023"/>
      <c r="G31" s="3023"/>
      <c r="H31" s="3024"/>
      <c r="I31" s="3008"/>
      <c r="J31" s="3009"/>
      <c r="K31" s="610"/>
      <c r="L31" s="564"/>
      <c r="M31" s="219"/>
      <c r="N31" s="219"/>
      <c r="O31" s="219"/>
      <c r="P31" s="219"/>
      <c r="Q31" s="219"/>
      <c r="R31" s="219"/>
      <c r="S31" s="219"/>
      <c r="T31" s="219"/>
      <c r="U31" s="219"/>
      <c r="V31" s="219"/>
      <c r="W31" s="219"/>
      <c r="X31" s="25"/>
      <c r="Y31" s="25"/>
      <c r="Z31" s="2036"/>
      <c r="AA31" s="2036"/>
      <c r="AB31" s="2036"/>
      <c r="AD31">
        <v>2</v>
      </c>
      <c r="AE31" t="str">
        <f>IF(AND(VersAusglKJa,F27&gt;0)," sowie zu Lasten d. &lt;"&amp;D3&amp;"&gt; aus einem weiteren Betrag in Höhe von "&amp;TEXT(F27,"#.##0 €"),"")</f>
        <v/>
      </c>
      <c r="AG31" t="s">
        <v>612</v>
      </c>
      <c r="AH31" t="str">
        <f>IF(Adaequanz_IRPfl&gt;0,"BWVergl_F_DRVIR","BWVerrgl_F_DRV")</f>
        <v>BWVerrgl_F_DRV</v>
      </c>
      <c r="AM31" s="251">
        <v>1.4999999999999999E-2</v>
      </c>
      <c r="AN31" s="4">
        <v>45</v>
      </c>
      <c r="AO31" s="547" t="e">
        <f>AO29-(AO29-AO30)*(AH33-INT(AH33))</f>
        <v>#REF!</v>
      </c>
    </row>
    <row r="32" spans="1:41" ht="17.25" hidden="1" customHeight="1">
      <c r="A32" s="1491">
        <v>31</v>
      </c>
      <c r="B32" s="3002"/>
      <c r="C32" s="3003"/>
      <c r="D32" s="3003"/>
      <c r="E32" s="563"/>
      <c r="F32" s="3023"/>
      <c r="G32" s="3023"/>
      <c r="H32" s="3024"/>
      <c r="I32" s="3008"/>
      <c r="J32" s="3009"/>
      <c r="K32" s="610"/>
      <c r="L32" s="437"/>
      <c r="M32" s="219"/>
      <c r="N32" s="219"/>
      <c r="O32" s="219"/>
      <c r="P32" s="459"/>
      <c r="Q32" s="219"/>
      <c r="R32" s="219"/>
      <c r="S32" s="219"/>
      <c r="T32" s="219"/>
      <c r="U32" s="219"/>
      <c r="V32" s="219"/>
      <c r="W32" s="219"/>
      <c r="X32" s="25"/>
      <c r="Y32" s="25"/>
      <c r="Z32" s="2036"/>
      <c r="AA32" s="2036"/>
      <c r="AB32" s="2036"/>
      <c r="AD32">
        <v>3</v>
      </c>
      <c r="AE32" t="str">
        <f>IF(AND(SonstJa,G27&gt;0)," sowie zu Lasten d. &lt;"&amp;G3&amp;"&gt; aus einem weiteren Betrag in Höhe von "&amp;TEXT(G27,"#.##0 €"),"")</f>
        <v/>
      </c>
      <c r="AG32" t="s">
        <v>613</v>
      </c>
      <c r="AH32" t="str">
        <f>IF(D6="M",AH30,AH31)</f>
        <v>BWVerrgl_F_DRV</v>
      </c>
      <c r="AM32" s="560">
        <v>1.7500000000000002E-2</v>
      </c>
      <c r="AN32" s="4">
        <v>50</v>
      </c>
    </row>
    <row r="33" spans="1:41" ht="17.25" hidden="1" customHeight="1">
      <c r="A33" s="1491">
        <v>27</v>
      </c>
      <c r="B33" s="3002"/>
      <c r="C33" s="3003"/>
      <c r="D33" s="3003"/>
      <c r="E33" s="563"/>
      <c r="F33" s="3023"/>
      <c r="G33" s="3023"/>
      <c r="H33" s="3024"/>
      <c r="L33" s="437"/>
      <c r="M33" s="219"/>
      <c r="N33" s="219"/>
      <c r="O33" s="219"/>
      <c r="P33" s="219"/>
      <c r="Q33" s="219"/>
      <c r="R33" s="219"/>
      <c r="S33" s="219"/>
      <c r="T33" s="219"/>
      <c r="U33" s="219"/>
      <c r="V33" s="219"/>
      <c r="W33" s="219"/>
      <c r="X33" s="25"/>
      <c r="Y33" s="25"/>
      <c r="Z33" s="2036"/>
      <c r="AA33" s="2036"/>
      <c r="AB33" s="2036"/>
      <c r="AE33" t="str">
        <f>IF(D6="M"," des Ehemannes "," der Ehefrau ")</f>
        <v xml:space="preserve"> der Ehefrau </v>
      </c>
      <c r="AG33" t="s">
        <v>614</v>
      </c>
      <c r="AH33" t="e">
        <f>IF((Adaequanz_QV_Alter-35)/5+2&gt;Spalten,Spalten,(Adaequanz_QV_Alter-35)/5+2)</f>
        <v>#VALUE!</v>
      </c>
      <c r="AI33" t="e">
        <f>IF(Adaequanz_QV_Alter&lt;Adaequanz_ReEintrittPfl,IF(AH33+1&gt;8,8,AH33+1),IF(AH33+1&gt;10,10,AH33+1))</f>
        <v>#VALUE!</v>
      </c>
      <c r="AM33" s="251">
        <v>0.02</v>
      </c>
      <c r="AN33" s="4">
        <v>55</v>
      </c>
      <c r="AO33" s="561" t="e">
        <f>ROUND(VLOOKUP(AJ29+0.25%,IF($D$6="m",BWVergl_M_VersAusglK,BWVergl_F_VersAusglK),$AH$39),2)</f>
        <v>#REF!</v>
      </c>
    </row>
    <row r="34" spans="1:41" ht="17.25" hidden="1" customHeight="1" thickBot="1">
      <c r="A34" s="1491">
        <v>28</v>
      </c>
      <c r="B34" s="3033"/>
      <c r="C34" s="3034"/>
      <c r="D34" s="3034"/>
      <c r="E34" s="708"/>
      <c r="F34" s="3025"/>
      <c r="G34" s="3025"/>
      <c r="H34" s="3026"/>
      <c r="I34" s="3008"/>
      <c r="J34" s="3009"/>
      <c r="K34" s="610"/>
      <c r="L34" s="215"/>
      <c r="M34" s="459"/>
      <c r="N34" s="459"/>
      <c r="O34" s="219"/>
      <c r="P34" s="219"/>
      <c r="Q34" s="219"/>
      <c r="R34" s="219"/>
      <c r="S34" s="219"/>
      <c r="T34" s="219"/>
      <c r="U34" s="219"/>
      <c r="V34" s="219"/>
      <c r="W34" s="219"/>
      <c r="X34" s="25"/>
      <c r="Y34" s="25"/>
      <c r="Z34" s="435"/>
      <c r="AA34" s="435"/>
      <c r="AB34" s="435"/>
      <c r="AE34" t="str">
        <f>IF(AE33=" des Ehemannes "," der Ehefrau "," des Ehemannes ")</f>
        <v xml:space="preserve"> des Ehemannes </v>
      </c>
      <c r="AG34" t="s">
        <v>626</v>
      </c>
      <c r="AH34" t="e">
        <f>VLOOKUP(Adaequanz_QV_Alter,Altersstaffel,1)</f>
        <v>#N/A</v>
      </c>
      <c r="AM34" s="560">
        <v>2.2499999999999999E-2</v>
      </c>
      <c r="AN34" s="4">
        <v>60</v>
      </c>
    </row>
    <row r="35" spans="1:41" ht="17.25" hidden="1" customHeight="1">
      <c r="A35" s="1491"/>
      <c r="B35" s="3018"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3019"/>
      <c r="D35" s="3019"/>
      <c r="E35" s="3019"/>
      <c r="F35" s="3019"/>
      <c r="G35" s="3019"/>
      <c r="H35" s="3020"/>
      <c r="I35" s="460"/>
      <c r="J35" s="460"/>
      <c r="K35" s="460"/>
      <c r="L35" s="215"/>
      <c r="M35" s="219"/>
      <c r="N35" s="219" t="e">
        <f>1-N34/M34</f>
        <v>#DIV/0!</v>
      </c>
      <c r="O35" s="219"/>
      <c r="P35" s="219"/>
      <c r="Q35" s="219"/>
      <c r="R35" s="219"/>
      <c r="S35" s="219"/>
      <c r="T35" s="219"/>
      <c r="U35" s="219"/>
      <c r="V35" s="219"/>
      <c r="W35" s="219"/>
      <c r="X35" s="435"/>
      <c r="Y35" s="435"/>
      <c r="Z35" s="435"/>
      <c r="AA35" s="435"/>
      <c r="AB35" s="435"/>
      <c r="AG35" t="s">
        <v>628</v>
      </c>
      <c r="AH35" t="e">
        <f>+AH34+5</f>
        <v>#N/A</v>
      </c>
      <c r="AM35" s="251">
        <v>2.5000000000000001E-2</v>
      </c>
      <c r="AN35" s="4">
        <v>65</v>
      </c>
    </row>
    <row r="36" spans="1:41" ht="17.25" hidden="1" customHeight="1">
      <c r="A36" s="1491"/>
      <c r="B36" s="3018"/>
      <c r="C36" s="3019"/>
      <c r="D36" s="3019"/>
      <c r="E36" s="3019"/>
      <c r="F36" s="3019"/>
      <c r="G36" s="3019"/>
      <c r="H36" s="3020"/>
      <c r="I36" s="460"/>
      <c r="J36" s="460"/>
      <c r="K36" s="460"/>
      <c r="L36" s="215"/>
      <c r="M36" s="219"/>
      <c r="N36" s="219"/>
      <c r="O36" s="219"/>
      <c r="P36" s="219"/>
      <c r="Q36" s="219"/>
      <c r="R36" s="219"/>
      <c r="S36" s="219"/>
      <c r="T36" s="219"/>
      <c r="U36" s="219"/>
      <c r="V36" s="219"/>
      <c r="W36" s="219"/>
      <c r="X36" s="435"/>
      <c r="Y36" s="435"/>
      <c r="Z36" s="435"/>
      <c r="AA36" s="435"/>
      <c r="AB36" s="435"/>
      <c r="AH36" t="e">
        <f>(Adaequanz_QV_Alter/10-INT(Adaequanz_QV_Alter/10))*10</f>
        <v>#VALUE!</v>
      </c>
      <c r="AM36" s="560">
        <v>2.75E-2</v>
      </c>
      <c r="AN36" s="4">
        <v>70</v>
      </c>
    </row>
    <row r="37" spans="1:41" ht="17.25" hidden="1" customHeight="1">
      <c r="A37" s="1491"/>
      <c r="B37" s="3018"/>
      <c r="C37" s="3019"/>
      <c r="D37" s="3019"/>
      <c r="E37" s="3019"/>
      <c r="F37" s="3019"/>
      <c r="G37" s="3019"/>
      <c r="H37" s="3020"/>
      <c r="I37" s="460"/>
      <c r="J37" s="460"/>
      <c r="K37" s="460"/>
      <c r="L37" s="215"/>
      <c r="M37" s="219"/>
      <c r="N37" s="219"/>
      <c r="O37" s="219"/>
      <c r="P37" s="219"/>
      <c r="Q37" s="219"/>
      <c r="R37" s="219"/>
      <c r="S37" s="219"/>
      <c r="T37" s="219"/>
      <c r="U37" s="219"/>
      <c r="V37" s="219"/>
      <c r="W37" s="219"/>
      <c r="X37" s="435"/>
      <c r="Y37" s="435"/>
      <c r="Z37" s="435"/>
      <c r="AA37" s="435"/>
      <c r="AB37" s="435"/>
      <c r="AM37" s="251">
        <v>0.03</v>
      </c>
      <c r="AN37" s="4">
        <v>75</v>
      </c>
    </row>
    <row r="38" spans="1:41" ht="17.25" hidden="1" customHeight="1">
      <c r="A38" s="1491"/>
      <c r="B38" s="3018"/>
      <c r="C38" s="3019"/>
      <c r="D38" s="3019"/>
      <c r="E38" s="3019"/>
      <c r="F38" s="3019"/>
      <c r="G38" s="3019"/>
      <c r="H38" s="3020"/>
      <c r="I38" s="460"/>
      <c r="J38" s="460"/>
      <c r="K38" s="460"/>
      <c r="L38" s="215"/>
      <c r="M38" s="219"/>
      <c r="N38" s="219"/>
      <c r="O38" s="219"/>
      <c r="P38" s="219"/>
      <c r="Q38" s="219"/>
      <c r="R38" s="219"/>
      <c r="S38" s="219"/>
      <c r="T38" s="219"/>
      <c r="U38" s="219"/>
      <c r="V38" s="219"/>
      <c r="W38" s="219"/>
      <c r="X38" s="435"/>
      <c r="Y38" s="435"/>
      <c r="Z38" s="435"/>
      <c r="AA38" s="435"/>
      <c r="AB38" s="435"/>
      <c r="AM38" s="560">
        <v>3.2500000000000001E-2</v>
      </c>
    </row>
    <row r="39" spans="1:41">
      <c r="A39" s="1491"/>
      <c r="B39" s="25" t="s">
        <v>117</v>
      </c>
      <c r="C39" s="979" t="str">
        <f>"Version "&amp;TEXT(MONTH(Enddatum),"00")&amp;"/"&amp;TEXT(YEAR(Enddatum),"####")</f>
        <v>Version 03/2025</v>
      </c>
      <c r="D39" s="979"/>
      <c r="E39" s="980" t="s">
        <v>846</v>
      </c>
      <c r="F39" s="980"/>
      <c r="G39" s="980"/>
      <c r="H39" s="980"/>
      <c r="I39" s="461"/>
      <c r="J39" s="461"/>
      <c r="K39" s="461"/>
      <c r="L39" s="215"/>
      <c r="M39" s="219"/>
      <c r="N39" s="219"/>
      <c r="O39" s="219"/>
      <c r="P39" s="219"/>
      <c r="Q39" s="219"/>
      <c r="R39" s="219"/>
      <c r="S39" s="219"/>
      <c r="T39" s="219"/>
      <c r="U39" s="219"/>
      <c r="V39" s="219"/>
      <c r="W39" s="219"/>
      <c r="X39" s="435"/>
      <c r="Y39" s="435"/>
      <c r="Z39" s="435"/>
      <c r="AA39" s="435"/>
      <c r="AB39" s="435"/>
      <c r="AD39" t="s">
        <v>288</v>
      </c>
      <c r="AE39" t="s">
        <v>504</v>
      </c>
      <c r="AG39" t="s">
        <v>615</v>
      </c>
      <c r="AH39" t="e">
        <f>INT(AH33)</f>
        <v>#VALUE!</v>
      </c>
      <c r="AI39" t="e">
        <f>INT(AI33)</f>
        <v>#VALUE!</v>
      </c>
      <c r="AM39" s="251">
        <v>3.5000000000000003E-2</v>
      </c>
    </row>
    <row r="40" spans="1:41" ht="15" hidden="1">
      <c r="B40" s="779" t="s">
        <v>324</v>
      </c>
      <c r="C40" s="780"/>
      <c r="D40" s="781" t="str">
        <f>IFERROR(D20/D12,"")</f>
        <v/>
      </c>
      <c r="E40" s="781" t="str">
        <f t="shared" ref="E40:K40" si="5">IFERROR(E20/E12,"")</f>
        <v/>
      </c>
      <c r="F40" s="781" t="str">
        <f t="shared" si="5"/>
        <v/>
      </c>
      <c r="G40" s="781" t="str">
        <f t="shared" si="5"/>
        <v/>
      </c>
      <c r="H40" s="781" t="str">
        <f t="shared" si="5"/>
        <v/>
      </c>
      <c r="I40" s="781" t="str">
        <f t="shared" si="5"/>
        <v/>
      </c>
      <c r="J40" s="781" t="str">
        <f t="shared" si="5"/>
        <v/>
      </c>
      <c r="K40" s="781" t="str">
        <f t="shared" si="5"/>
        <v/>
      </c>
      <c r="L40" s="25"/>
      <c r="AC40" t="s">
        <v>561</v>
      </c>
      <c r="AD40" s="149">
        <v>150027</v>
      </c>
      <c r="AE40" s="149">
        <v>98164</v>
      </c>
      <c r="AM40" s="560">
        <v>3.7499999999999999E-2</v>
      </c>
    </row>
    <row r="41" spans="1:41" ht="15" hidden="1">
      <c r="B41" s="779"/>
      <c r="C41" s="780"/>
      <c r="D41" s="781" t="s">
        <v>13</v>
      </c>
      <c r="E41" s="781"/>
      <c r="F41" s="781"/>
      <c r="G41" s="781"/>
      <c r="H41" s="781"/>
      <c r="I41" s="781" t="s">
        <v>13</v>
      </c>
      <c r="J41" s="781"/>
      <c r="K41" s="781"/>
      <c r="L41" s="25"/>
      <c r="AD41" s="149"/>
      <c r="AE41" s="149"/>
      <c r="AM41" s="560"/>
    </row>
    <row r="42" spans="1:41" ht="15" hidden="1">
      <c r="B42" s="779"/>
      <c r="C42" s="780"/>
      <c r="D42" s="783"/>
      <c r="E42" s="783"/>
      <c r="F42" s="783"/>
      <c r="G42" s="783"/>
      <c r="H42" s="783"/>
      <c r="I42" s="784" t="e">
        <f>+I40/D40</f>
        <v>#VALUE!</v>
      </c>
      <c r="J42" s="783"/>
      <c r="K42" s="783"/>
      <c r="L42" s="25"/>
      <c r="AD42" s="149"/>
      <c r="AE42" s="149"/>
      <c r="AM42" s="560"/>
    </row>
    <row r="43" spans="1:41" ht="15" hidden="1">
      <c r="B43" s="2996" t="str">
        <f>"Alters-Rentenertrag / Kapitalwert: "&amp;TEXT(D16,"#.##0,00")&amp;" / "&amp;TEXT(Adaequanz_errechneterKapWert,"#.##0,00")</f>
        <v>Alters-Rentenertrag / Kapitalwert:  / 0,00</v>
      </c>
      <c r="C43" s="2997"/>
      <c r="D43" s="782" t="e">
        <f>+D16/D20</f>
        <v>#VALUE!</v>
      </c>
      <c r="E43" s="782" t="e">
        <f>+E16/E20</f>
        <v>#VALUE!</v>
      </c>
      <c r="G43">
        <v>51863</v>
      </c>
      <c r="L43" s="25"/>
      <c r="AC43" t="s">
        <v>21</v>
      </c>
      <c r="AD43" s="149">
        <v>571</v>
      </c>
      <c r="AE43" s="149">
        <v>434.37</v>
      </c>
      <c r="AM43" s="251">
        <v>0.04</v>
      </c>
    </row>
    <row r="44" spans="1:41" ht="15" hidden="1">
      <c r="B44" s="2996" t="s">
        <v>323</v>
      </c>
      <c r="C44" s="2997"/>
      <c r="D44" s="2995" t="e">
        <f>(E43/D43)</f>
        <v>#VALUE!</v>
      </c>
      <c r="E44" s="2995"/>
      <c r="F44">
        <v>150027</v>
      </c>
      <c r="G44">
        <v>229290</v>
      </c>
      <c r="H44">
        <f>+G44+F44</f>
        <v>379317</v>
      </c>
      <c r="L44" s="25"/>
      <c r="O44" s="250"/>
      <c r="P44" s="149"/>
      <c r="Q44" s="149"/>
      <c r="R44" s="149"/>
      <c r="S44" s="249"/>
      <c r="V44" s="249"/>
      <c r="AC44" t="s">
        <v>562</v>
      </c>
      <c r="AD44" s="149">
        <f>+AD40/AD43</f>
        <v>262.74430823117336</v>
      </c>
      <c r="AE44" s="149">
        <f>+AE40/AE43</f>
        <v>225.99166609112046</v>
      </c>
    </row>
    <row r="45" spans="1:41" ht="15" hidden="1">
      <c r="B45" s="2996" t="str">
        <f>"Alters- &amp; Nebenleistungs-Rentenertrag / Kapitalwert: "&amp;TEXT(D18,"#.##0,00")&amp;" / "&amp;TEXT(Adaequanz_errechneterKapWert,"#.##0,00")</f>
        <v>Alters- &amp; Nebenleistungs-Rentenertrag / Kapitalwert: 0,00 / 0,00</v>
      </c>
      <c r="C45" s="2997"/>
      <c r="D45" s="255" t="e">
        <f>+D22/D20</f>
        <v>#DIV/0!</v>
      </c>
      <c r="E45" s="255" t="e">
        <f>+E22/E20</f>
        <v>#VALUE!</v>
      </c>
      <c r="F45">
        <f>+F44/H44</f>
        <v>0.39551878771581556</v>
      </c>
      <c r="G45">
        <f>+G44/H44</f>
        <v>0.6044812122841845</v>
      </c>
      <c r="L45" s="25"/>
      <c r="O45" s="250"/>
      <c r="P45" s="149"/>
      <c r="Q45" s="149"/>
      <c r="R45" s="149"/>
      <c r="AC45" t="s">
        <v>563</v>
      </c>
      <c r="AD45" s="201">
        <f>1-AE45+1</f>
        <v>1.1398798793681819</v>
      </c>
      <c r="AE45" s="421">
        <f>+AE44/AD44</f>
        <v>0.8601201206318182</v>
      </c>
    </row>
    <row r="46" spans="1:41" ht="15" hidden="1">
      <c r="B46" s="2996" t="s">
        <v>323</v>
      </c>
      <c r="C46" s="2997"/>
      <c r="D46" s="2995" t="e">
        <f>(E45/D45)</f>
        <v>#VALUE!</v>
      </c>
      <c r="E46" s="2995"/>
      <c r="L46" s="25"/>
    </row>
    <row r="47" spans="1:41" hidden="1">
      <c r="E47" s="371" t="e">
        <f>+E61/Adaequanz_errechneterKapWert-1</f>
        <v>#VALUE!</v>
      </c>
      <c r="L47" s="25"/>
    </row>
    <row r="48" spans="1:41" hidden="1">
      <c r="B48" s="3001" t="str">
        <f>"Beitrag von "&amp;TEXT(Adaequanz_Ausgleichswert1,"#.##0 €")&amp;" führt bez. auf den "&amp;TEXT(B_Dat,"T.M.J")&amp;" zu DRV-Rentenbarwert i.H.v. "&amp;TEXT(E60,"#.##0 €")&amp;"."</f>
        <v>Beitrag von 0 € führt bez. auf den  zu DRV-Rentenbarwert i.H.v. 0 €.</v>
      </c>
      <c r="C48" s="3001"/>
      <c r="D48" s="3001"/>
      <c r="F48" t="e">
        <f>E15*12/5.19%+1/(1.0519^19.92)</f>
        <v>#VALUE!</v>
      </c>
      <c r="L48" s="25"/>
    </row>
    <row r="49" spans="2:17" hidden="1">
      <c r="E49" s="212" t="e">
        <f>(E15*12)*(1/(P15/100)-1/5.16%*(1+5.16%)^19.92)</f>
        <v>#VALUE!</v>
      </c>
      <c r="L49" s="25"/>
    </row>
    <row r="50" spans="2:17" hidden="1">
      <c r="E50" s="246">
        <f>PV(5.19%-2%,19.92,409.41*12)</f>
        <v>-71617.514554685782</v>
      </c>
      <c r="F50">
        <f>409.41*(1/5%-1/(5%*(1+5%)^19))</f>
        <v>4947.851213156262</v>
      </c>
      <c r="L50" s="25"/>
    </row>
    <row r="51" spans="2:17" ht="22.5" hidden="1">
      <c r="B51" s="211" t="s">
        <v>329</v>
      </c>
      <c r="C51" s="260" t="b">
        <v>0</v>
      </c>
      <c r="F51" t="e">
        <f>VLOOKUP(IF(AND(D5&gt;0,BerechnetAuf=2),D5,B_Dat),Umrechnungsfaktoren,WO_Schalter)</f>
        <v>#N/A</v>
      </c>
      <c r="L51" s="25"/>
    </row>
    <row r="52" spans="2:17" hidden="1">
      <c r="B52" s="139" t="s">
        <v>327</v>
      </c>
      <c r="C52" s="139"/>
      <c r="D52" s="259">
        <f>+D10</f>
        <v>0</v>
      </c>
      <c r="E52" s="258">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8"/>
    </row>
    <row r="53" spans="2:17" hidden="1">
      <c r="B53" s="139" t="s">
        <v>328</v>
      </c>
      <c r="C53" s="139"/>
      <c r="D53" s="259">
        <f>D9+D10</f>
        <v>0</v>
      </c>
      <c r="E53" s="259">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t="15" hidden="1">
      <c r="B55" s="3000"/>
      <c r="C55" s="3000"/>
      <c r="D55" s="376"/>
      <c r="H55" s="266" t="e">
        <f>+H54*H53</f>
        <v>#N/A</v>
      </c>
      <c r="I55" s="462"/>
      <c r="J55" s="462"/>
      <c r="K55" s="462"/>
      <c r="L55" s="25"/>
    </row>
    <row r="56" spans="2:17" ht="20.25" hidden="1">
      <c r="B56" s="2998" t="s">
        <v>507</v>
      </c>
      <c r="C56" s="2999"/>
      <c r="D56" s="2999"/>
      <c r="E56" s="2999"/>
      <c r="F56" s="390"/>
      <c r="G56" s="390"/>
      <c r="H56" s="391"/>
      <c r="I56" s="463"/>
      <c r="J56" s="463"/>
      <c r="K56" s="463"/>
      <c r="L56" s="25"/>
      <c r="O56" s="149"/>
    </row>
    <row r="57" spans="2:17" hidden="1">
      <c r="B57" s="2977" t="s">
        <v>403</v>
      </c>
      <c r="C57" s="2978"/>
      <c r="D57" s="2978"/>
      <c r="E57" s="354">
        <f>+Q16</f>
        <v>0</v>
      </c>
      <c r="F57" s="354">
        <f>+R16</f>
        <v>0</v>
      </c>
      <c r="G57" s="377">
        <f>ROUND(S16,0)</f>
        <v>0</v>
      </c>
      <c r="H57" s="377">
        <f>ROUND(T16,0)</f>
        <v>0</v>
      </c>
      <c r="I57" s="464"/>
      <c r="J57" s="464"/>
      <c r="K57" s="464"/>
      <c r="L57" s="25"/>
      <c r="O57" s="149"/>
    </row>
    <row r="58" spans="2:17" hidden="1">
      <c r="B58" s="2977" t="s">
        <v>525</v>
      </c>
      <c r="C58" s="2978"/>
      <c r="D58" s="2978"/>
      <c r="E58" s="354" t="str">
        <f>IFERROR(IF(E11&gt;0,-PV($P$15/100,E11,,E57),E57),"")</f>
        <v/>
      </c>
      <c r="F58" s="354" t="str">
        <f>IFERROR(IF(F11&gt;0,-PV($P$15/100,F11,,F57),F57),"")</f>
        <v/>
      </c>
      <c r="G58" s="377" t="str">
        <f>IFERROR(IF(G11&gt;0,-PV($P$15/100,G11,,G57),G57),"")</f>
        <v/>
      </c>
      <c r="H58" s="377" t="str">
        <f>IFERROR(IF(H11&gt;0,-PV($P$15/100,H11,,H57),H57),"")</f>
        <v/>
      </c>
      <c r="I58" s="464"/>
      <c r="J58" s="464"/>
      <c r="K58" s="464"/>
      <c r="L58" s="25"/>
    </row>
    <row r="59" spans="2:17" hidden="1">
      <c r="B59" s="2977" t="s">
        <v>404</v>
      </c>
      <c r="C59" s="2978"/>
      <c r="D59" s="2978"/>
      <c r="E59" s="355" t="str">
        <f>IFERROR(+Q19,"")</f>
        <v/>
      </c>
      <c r="F59" s="355" t="str">
        <f>IFERROR(+R19,"")</f>
        <v/>
      </c>
      <c r="G59" s="378" t="str">
        <f>IFERROR(+S19,"")</f>
        <v/>
      </c>
      <c r="H59" s="384" t="e">
        <f>T19</f>
        <v>#VALUE!</v>
      </c>
      <c r="I59" s="465"/>
      <c r="J59" s="465"/>
      <c r="K59" s="465"/>
      <c r="L59" s="25"/>
      <c r="O59" s="250"/>
      <c r="P59" s="149"/>
      <c r="Q59" s="149"/>
    </row>
    <row r="60" spans="2:17" hidden="1">
      <c r="B60" s="2977" t="s">
        <v>405</v>
      </c>
      <c r="C60" s="2978"/>
      <c r="D60" s="2978"/>
      <c r="E60" s="356">
        <f>+IFERROR(E19,"")</f>
        <v>0</v>
      </c>
      <c r="F60" s="356">
        <f>+F19</f>
        <v>0</v>
      </c>
      <c r="G60" s="379" t="str">
        <f>+G19</f>
        <v/>
      </c>
      <c r="H60" s="385">
        <f>+H19</f>
        <v>0</v>
      </c>
      <c r="I60" s="466"/>
      <c r="J60" s="466"/>
      <c r="K60" s="466"/>
      <c r="L60" s="25"/>
    </row>
    <row r="61" spans="2:17" ht="15" hidden="1">
      <c r="B61" s="2984" t="s">
        <v>537</v>
      </c>
      <c r="C61" s="2985"/>
      <c r="D61" s="2985"/>
      <c r="E61" s="357" t="str">
        <f>IFERROR(IF(DRVJa,ROUND(E58*E59*(1+E60),0),""),"")</f>
        <v/>
      </c>
      <c r="F61" s="357" t="str">
        <f>IFERROR(IF(VersAusglKJa,ROUND(F58*F59*(1+F60),0),""),"")</f>
        <v/>
      </c>
      <c r="G61" s="380" t="str">
        <f>IFERROR(IF(SonstJa,ROUND(G58*G59*(1+G60),0),""),"")</f>
        <v/>
      </c>
      <c r="H61" s="386" t="str">
        <f>IFERROR(IF(DRVAusglBerJa,ROUND(H58*H59*(1+H60),0),"")+SUM(I20:K20),"")</f>
        <v/>
      </c>
      <c r="I61" s="467"/>
      <c r="J61" s="467"/>
      <c r="K61" s="467"/>
      <c r="L61" s="25"/>
    </row>
    <row r="62" spans="2:17" ht="15" hidden="1">
      <c r="B62" s="2986" t="s">
        <v>536</v>
      </c>
      <c r="C62" s="2987"/>
      <c r="D62" s="2988"/>
      <c r="E62" s="372" t="str">
        <f>IFERROR(IF(E61&gt;0,E61/Adaequanz_errechneterKapWert-1,""),"")</f>
        <v/>
      </c>
      <c r="F62" s="372" t="str">
        <f>IFERROR(IF(F61&gt;0,F61/Adaequanz_errechneterKapWert-1,""),"")</f>
        <v/>
      </c>
      <c r="G62" s="381" t="str">
        <f>IFERROR(IF(G61&gt;0,G61/Adaequanz_errechneterKapWert-1,""),"")</f>
        <v/>
      </c>
      <c r="H62" s="387" t="str">
        <f>IFERROR(IF(H61&gt;0,H61/Adaequanz_errechneterKapWert-1,""),"")</f>
        <v/>
      </c>
      <c r="I62" s="468"/>
      <c r="J62" s="468"/>
      <c r="K62" s="468"/>
      <c r="L62" s="25"/>
    </row>
    <row r="63" spans="2:17" hidden="1">
      <c r="B63" s="2977" t="s">
        <v>406</v>
      </c>
      <c r="C63" s="2978"/>
      <c r="D63" s="2978"/>
      <c r="E63" s="372" t="str">
        <f>IFERROR(IF(+Adaequanz_errechneterKapWert/E61&gt;1,+Adaequanz_errechneterKapWert/E61,0),"")</f>
        <v/>
      </c>
      <c r="F63" s="372" t="str">
        <f>IFERROR(IF(+Adaequanz_errechneterKapWert/F61&gt;1,+Adaequanz_errechneterKapWert/F61,0),"")</f>
        <v/>
      </c>
      <c r="G63" s="381" t="str">
        <f>IFERROR(IF(+Adaequanz_errechneterKapWert/G61&gt;1,+Adaequanz_errechneterKapWert/G61,0),"")</f>
        <v/>
      </c>
      <c r="H63" s="393" t="str">
        <f>IFERROR(IF(+Adaequanz_errechneterKapWert/H61&gt;1,+Adaequanz_errechneterKapWert/H61,0),"")</f>
        <v/>
      </c>
      <c r="I63" s="469"/>
      <c r="J63" s="469"/>
      <c r="K63" s="469"/>
      <c r="L63" s="25"/>
    </row>
    <row r="64" spans="2:17" ht="15" hidden="1" thickBot="1">
      <c r="B64" s="2982" t="str">
        <f>"Aufstockung des Ausgleichswerts von "&amp;TEXT(Adaequanz_errechneterKapWert,"#.##0")&amp;" zur Erreichung von 90% des Barwerts der Quellversorgung auf:"</f>
        <v>Aufstockung des Ausgleichswerts von 0 zur Erreichung von 90% des Barwerts der Quellversorgung auf:</v>
      </c>
      <c r="C64" s="2983"/>
      <c r="D64" s="2983"/>
      <c r="E64" s="358" t="str">
        <f>IFERROR(IF(E63&gt;1,E63*Adaequanz_errechneterKapWert*0.9,""),"")</f>
        <v/>
      </c>
      <c r="F64" s="358" t="str">
        <f>IFERROR(IF(F63&gt;1,F63*Adaequanz_errechneterKapWert*0.9,""),"")</f>
        <v/>
      </c>
      <c r="G64" s="382" t="str">
        <f>IFERROR(IF(G63&gt;1,G63*Adaequanz_errechneterKapWert*0.9,""),"")</f>
        <v/>
      </c>
      <c r="H64" s="388" t="str">
        <f>IFERROR(IF(H63&gt;1,H63*Adaequanz_errechneterKapWert*0.9,""),"")</f>
        <v/>
      </c>
      <c r="I64" s="464"/>
      <c r="J64" s="464"/>
      <c r="K64" s="464"/>
      <c r="L64" s="25"/>
    </row>
    <row r="65" spans="1:11" ht="15.75" hidden="1" thickBot="1">
      <c r="B65" s="2979" t="str">
        <f>+B27</f>
        <v>Zuschlag zum Ausgleichswert zur Erreichung einer adäquaten Versorgung in der Zielversorgung:</v>
      </c>
      <c r="C65" s="2980"/>
      <c r="D65" s="2981"/>
      <c r="E65" s="359" t="str">
        <f>IFERROR(IF(AND(DRVJa,E64-Adaequanz_errechneterKapWert&gt;0),E64-Adaequanz_errechneterKapWert,0),"")</f>
        <v/>
      </c>
      <c r="F65" s="360" t="str">
        <f>IFERROR(IF(AND(VersAusglKJa,+F64-Adaequanz_errechneterKapWert&gt;0),+F64-Adaequanz_errechneterKapWert,0),"")</f>
        <v/>
      </c>
      <c r="G65" s="383" t="str">
        <f>IFERROR(IF(AND(SonstJa,G64-Adaequanz_errechneterKapWert&gt;0),+G64-Adaequanz_errechneterKapWert,0),"")</f>
        <v/>
      </c>
      <c r="H65" s="389"/>
      <c r="I65" s="467"/>
      <c r="J65" s="467"/>
      <c r="K65" s="467"/>
    </row>
    <row r="68" spans="1:11" hidden="1">
      <c r="A68" s="1491">
        <v>28</v>
      </c>
      <c r="B68" s="2975" t="s">
        <v>564</v>
      </c>
      <c r="C68" s="2976"/>
      <c r="D68" s="452">
        <f>IFERROR(IF(E23&gt;0,(Adaequanz_Ausgleichswert1+E22)/2,""),"")</f>
        <v>0</v>
      </c>
      <c r="E68" s="452"/>
      <c r="F68" s="453"/>
      <c r="G68" s="453"/>
      <c r="H68" s="456"/>
      <c r="I68" s="470"/>
      <c r="J68" s="470"/>
      <c r="K68" s="470"/>
    </row>
    <row r="69" spans="1:11" hidden="1">
      <c r="A69" s="1491">
        <v>29</v>
      </c>
      <c r="B69" s="2975"/>
      <c r="C69" s="2976"/>
      <c r="D69" s="449" t="str">
        <f>IFERROR(IF(F23&gt;0,(Adaequanz_Ausgleichswert1+F22)/2,""),"")</f>
        <v/>
      </c>
      <c r="E69" s="449"/>
      <c r="F69" s="449"/>
      <c r="G69" s="454"/>
      <c r="H69" s="436"/>
      <c r="I69" s="471"/>
      <c r="J69" s="471"/>
      <c r="K69" s="471"/>
    </row>
    <row r="70" spans="1:11" hidden="1">
      <c r="A70" s="1491">
        <v>30</v>
      </c>
      <c r="B70" s="2975"/>
      <c r="C70" s="2976"/>
      <c r="D70" s="450" t="str">
        <f>IFERROR(IF(G23&gt;0,(Adaequanz_errechneterKapWert+G22)/2,""),"")</f>
        <v/>
      </c>
      <c r="E70" s="451"/>
      <c r="F70" s="451"/>
      <c r="G70" s="451"/>
      <c r="H70" s="436"/>
      <c r="I70" s="471"/>
      <c r="J70" s="471"/>
      <c r="K70" s="471"/>
    </row>
    <row r="71" spans="1:11" hidden="1">
      <c r="A71" s="1491">
        <v>31</v>
      </c>
      <c r="B71" s="2975"/>
      <c r="C71" s="2976"/>
      <c r="D71" s="455">
        <f>IFERROR(IF(H23&gt;0,(Adaequanz_errechneterKapWert+H22)/2,""),"")</f>
        <v>0</v>
      </c>
      <c r="E71" s="455"/>
      <c r="F71" s="455"/>
      <c r="G71" s="455"/>
      <c r="H71" s="457"/>
      <c r="I71" s="472"/>
      <c r="J71" s="472"/>
      <c r="K71" s="472"/>
    </row>
  </sheetData>
  <sheetProtection selectLockedCells="1"/>
  <scenarios current="0" show="0">
    <scenario name="Nullstellung des Blattes" locked="1" count="32" user="Jörn Hauß" comment="Erstellt von Hauß am 23.05.2021_x000a_Modifiziert von Hauß am 23.05.2021_x000a_Modifiziert von Hauß am 05.06.2021_x000a_Modifiziert von Hauß am 20.10.2021_x000a_Modifiziert von Hauß am 29.12.2021_x000a_Modifiziert von Hauß am 09.07.2022_x000a_Modifiziert von Hauß am 14.07.2022_x000a_Modifizie">
      <inputCells r="C4" val=""/>
      <inputCells r="D6" val=""/>
      <inputCells r="C7" val=""/>
      <inputCells r="D9" val=""/>
      <inputCells r="D12" val=""/>
      <inputCells r="D13" val=""/>
      <inputCells r="D14" val=""/>
      <inputCells r="D17" val=""/>
      <inputCells r="D18" val=""/>
      <inputCells r="C20" val=""/>
      <inputCells r="F12" val=""/>
      <inputCells r="F9" val=""/>
      <inputCells r="G9" val=""/>
      <inputCells r="G12" val=""/>
      <inputCells r="G13" val=""/>
      <inputCells r="G14" val=""/>
      <inputCells r="G17" val=""/>
      <inputCells r="G18" val=""/>
      <inputCells r="H6" val=""/>
      <inputCells r="H7" val=""/>
      <inputCells r="AG6" val="FALSCH"/>
      <inputCells r="N10" val="FALSCH"/>
      <inputCells r="N20" val="FALSCH"/>
      <inputCells r="N5" val="1"/>
      <inputCells r="D21" val=""/>
      <inputCells r="J4" val=""/>
      <inputCells r="K4" val=""/>
      <inputCells r="J5" val=""/>
      <inputCells r="K5" val=""/>
      <inputCells r="I6" val=""/>
      <inputCells r="J6" val=""/>
      <inputCells r="K6" val=""/>
    </scenario>
    <scenario name="Frau" locked="1" count="25" user="Hauß" comment="Erstellt von Hauß am 19.10.2021_x000a_Modifiziert von Hauß am 19.10.2021_x000a_Modifiziert von Hauß am 20.10.2021">
      <inputCells r="C4" val="44286" numFmtId="14"/>
      <inputCells r="D5" val=""/>
      <inputCells r="D6" val="w"/>
      <inputCells r="C7" val="27119" numFmtId="14"/>
      <inputCells r="D9" val="67" numFmtId="2"/>
      <inputCells r="D12" val="700"/>
      <inputCells r="D13" val="0,02" numFmtId="10"/>
      <inputCells r="D14" val="0,02" numFmtId="10"/>
      <inputCells r="D17" val="1" numFmtId="9"/>
      <inputCells r="D18" val="0,55" numFmtId="9"/>
      <inputCells r="C20" val=""/>
      <inputCells r="F12" val=""/>
      <inputCells r="F9" val=""/>
      <inputCells r="G9" val=""/>
      <inputCells r="G12" val=""/>
      <inputCells r="G13" val=""/>
      <inputCells r="G14" val=""/>
      <inputCells r="G17" val=""/>
      <inputCells r="G18" val=""/>
      <inputCells r="H7" val=""/>
      <inputCells r="AG6" val=""/>
      <inputCells r="N10" val=""/>
      <inputCells r="N20" val=""/>
      <inputCells r="N5" val=""/>
      <inputCells r="D20" undone="1" val=""/>
    </scenario>
    <scenario name="NullstellungExpert" locked="1" count="25" user="Hauß" comment="Erstellt von Hauß am 29.12.2021_x000a_Modifiziert von Hauß am 14.07.2022">
      <inputCells r="J4" val="" numFmtId="185"/>
      <inputCells r="K4" val="" numFmtId="185"/>
      <inputCells r="J5" val=""/>
      <inputCells r="K5" val=""/>
      <inputCells r="J6" val=""/>
      <inputCells r="K6" val=""/>
      <inputCells r="I6" val=""/>
      <inputCells r="I9" val=""/>
      <inputCells r="J9" val="" numFmtId="2"/>
      <inputCells r="K9" val=""/>
      <inputCells r="I12" val=""/>
      <inputCells r="J12" val=""/>
      <inputCells r="K12" val=""/>
      <inputCells r="I13" val="" numFmtId="10"/>
      <inputCells r="J13" val=""/>
      <inputCells r="K13" val=""/>
      <inputCells r="I14" val=""/>
      <inputCells r="J14" val="" numFmtId="10"/>
      <inputCells r="K14" val=""/>
      <inputCells r="I17" val="" numFmtId="9"/>
      <inputCells r="J17" val="" numFmtId="9"/>
      <inputCells r="K17" val=""/>
      <inputCells r="I18" val=""/>
      <inputCells r="J18" val="" numFmtId="9"/>
      <inputCells r="K18" val=""/>
    </scenario>
  </scenarios>
  <dataConsolidate/>
  <mergeCells count="59">
    <mergeCell ref="B35:H38"/>
    <mergeCell ref="F29:H30"/>
    <mergeCell ref="F31:H34"/>
    <mergeCell ref="B27:D27"/>
    <mergeCell ref="B29:D29"/>
    <mergeCell ref="B28:H28"/>
    <mergeCell ref="B30:D30"/>
    <mergeCell ref="B31:D31"/>
    <mergeCell ref="B32:D32"/>
    <mergeCell ref="B34:D34"/>
    <mergeCell ref="I30:J30"/>
    <mergeCell ref="I34:J34"/>
    <mergeCell ref="I31:J31"/>
    <mergeCell ref="I32:J32"/>
    <mergeCell ref="X19:Y20"/>
    <mergeCell ref="I29:J29"/>
    <mergeCell ref="X21:Y25"/>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B71:C71"/>
    <mergeCell ref="B68:C68"/>
    <mergeCell ref="B59:D59"/>
    <mergeCell ref="B60:D60"/>
    <mergeCell ref="B65:D65"/>
    <mergeCell ref="B69:C69"/>
    <mergeCell ref="B64:D64"/>
    <mergeCell ref="B63:D63"/>
    <mergeCell ref="B61:D61"/>
    <mergeCell ref="B62:D62"/>
    <mergeCell ref="B70:C70"/>
    <mergeCell ref="AC18:AD18"/>
    <mergeCell ref="AC20:AD20"/>
    <mergeCell ref="B5:C5"/>
    <mergeCell ref="B8:C8"/>
    <mergeCell ref="F17:F19"/>
    <mergeCell ref="B16:C16"/>
    <mergeCell ref="A1:AA1"/>
    <mergeCell ref="H2:K2"/>
    <mergeCell ref="G4:G6"/>
    <mergeCell ref="B26:D26"/>
    <mergeCell ref="F4:F6"/>
    <mergeCell ref="B22:C22"/>
    <mergeCell ref="B25:D25"/>
    <mergeCell ref="AA2:AA3"/>
    <mergeCell ref="D2:E2"/>
  </mergeCells>
  <conditionalFormatting sqref="B27">
    <cfRule type="expression" dxfId="312" priority="312">
      <formula>SUM(E23:H23&lt;=0)</formula>
    </cfRule>
  </conditionalFormatting>
  <conditionalFormatting sqref="B29:B30">
    <cfRule type="expression" dxfId="311" priority="97">
      <formula>Algleichsgewinn=FALSE</formula>
    </cfRule>
  </conditionalFormatting>
  <conditionalFormatting sqref="B56">
    <cfRule type="expression" dxfId="310" priority="135">
      <formula>AND(Adaequanz_Kapitalleistung,D21=0)</formula>
    </cfRule>
  </conditionalFormatting>
  <conditionalFormatting sqref="B29:H34">
    <cfRule type="expression" dxfId="309" priority="540">
      <formula>AND(DFGT=TRUE,$C$4&gt;0,$D$6&lt;&gt;"",$C$7&gt;0,$D$9&gt;0,$D$12&gt;0)</formula>
    </cfRule>
  </conditionalFormatting>
  <conditionalFormatting sqref="B35:K38">
    <cfRule type="expression" dxfId="308" priority="98">
      <formula>Ausgleichsgewinn</formula>
    </cfRule>
  </conditionalFormatting>
  <conditionalFormatting sqref="B60:K60">
    <cfRule type="expression" dxfId="307" priority="136">
      <formula>Adaequanz_Kapitalleistung</formula>
    </cfRule>
  </conditionalFormatting>
  <conditionalFormatting sqref="B61:K61 B62 E62:K62">
    <cfRule type="expression" dxfId="306" priority="129">
      <formula>GrafikSchalter</formula>
    </cfRule>
  </conditionalFormatting>
  <conditionalFormatting sqref="C4">
    <cfRule type="expression" dxfId="305" priority="3">
      <formula>D4&lt;&gt;""</formula>
    </cfRule>
  </conditionalFormatting>
  <conditionalFormatting sqref="C7">
    <cfRule type="expression" dxfId="303" priority="5">
      <formula>AND($D$7="",$C$7&gt;0)</formula>
    </cfRule>
    <cfRule type="expression" dxfId="302" priority="8">
      <formula>OR(C7=0,C7=FALSE,D7&lt;&gt;"")</formula>
    </cfRule>
  </conditionalFormatting>
  <conditionalFormatting sqref="C12">
    <cfRule type="expression" dxfId="301" priority="12">
      <formula>AND(D12&gt;0,$D$12&lt;$T$3)</formula>
    </cfRule>
  </conditionalFormatting>
  <conditionalFormatting sqref="C21">
    <cfRule type="expression" dxfId="300" priority="11">
      <formula>AND(($D$20+$D$21)&gt;0,OR($D$20&lt;U3,AND(D21&gt;0,D21&lt;U3)))</formula>
    </cfRule>
  </conditionalFormatting>
  <conditionalFormatting sqref="C27">
    <cfRule type="expression" dxfId="299" priority="320">
      <formula>SUM(F23:K23&lt;=0)</formula>
    </cfRule>
  </conditionalFormatting>
  <conditionalFormatting sqref="D2">
    <cfRule type="expression" dxfId="298" priority="442">
      <formula>#REF!="nein"</formula>
    </cfRule>
    <cfRule type="expression" dxfId="297" priority="441">
      <formula>#REF!="Ja"</formula>
    </cfRule>
    <cfRule type="expression" dxfId="296" priority="440">
      <formula>#REF!=""</formula>
    </cfRule>
    <cfRule type="expression" dxfId="295" priority="439">
      <formula>#REF!="Jein"</formula>
    </cfRule>
  </conditionalFormatting>
  <conditionalFormatting sqref="D4">
    <cfRule type="expression" dxfId="294" priority="1">
      <formula>BerechnetAuf = 2</formula>
    </cfRule>
    <cfRule type="expression" dxfId="293" priority="2">
      <formula>AND($C$4="",$D$4=0)</formula>
    </cfRule>
  </conditionalFormatting>
  <conditionalFormatting sqref="D5">
    <cfRule type="expression" dxfId="292" priority="67">
      <formula>BerechnetAuf=1</formula>
    </cfRule>
    <cfRule type="expression" dxfId="291" priority="119">
      <formula>AND(N5=2,D5="")</formula>
    </cfRule>
  </conditionalFormatting>
  <conditionalFormatting sqref="D6">
    <cfRule type="expression" dxfId="290" priority="148">
      <formula>D6=""</formula>
    </cfRule>
  </conditionalFormatting>
  <conditionalFormatting sqref="D7">
    <cfRule type="expression" dxfId="289" priority="7">
      <formula>AND(D7="",C7=0)</formula>
    </cfRule>
  </conditionalFormatting>
  <conditionalFormatting sqref="D9">
    <cfRule type="expression" dxfId="288" priority="116">
      <formula>D9=""</formula>
    </cfRule>
    <cfRule type="expression" dxfId="287" priority="208">
      <formula>D9=""</formula>
    </cfRule>
  </conditionalFormatting>
  <conditionalFormatting sqref="D12">
    <cfRule type="expression" dxfId="286" priority="13">
      <formula>AND(D12&gt;0,$D$12&lt;$T$3)</formula>
    </cfRule>
    <cfRule type="expression" dxfId="285" priority="115">
      <formula>D12=""</formula>
    </cfRule>
  </conditionalFormatting>
  <conditionalFormatting sqref="D12:D14">
    <cfRule type="expression" dxfId="284" priority="205">
      <formula>D12=""</formula>
    </cfRule>
  </conditionalFormatting>
  <conditionalFormatting sqref="D17:D18">
    <cfRule type="expression" dxfId="283" priority="203">
      <formula>D17=""</formula>
    </cfRule>
  </conditionalFormatting>
  <conditionalFormatting sqref="D20">
    <cfRule type="expression" dxfId="282" priority="10">
      <formula>AND(D20&gt;0,$D$20&lt;BagatellgrenzeKapital)</formula>
    </cfRule>
    <cfRule type="colorScale" priority="60">
      <colorScale>
        <cfvo type="min"/>
        <cfvo type="percentile" val="50"/>
        <cfvo type="max"/>
        <color rgb="FFFF0000"/>
        <color rgb="FFFFEB84"/>
        <color rgb="FF00B050"/>
      </colorScale>
    </cfRule>
    <cfRule type="colorScale" priority="59">
      <colorScale>
        <cfvo type="min"/>
        <cfvo type="max"/>
        <color rgb="FFFF0000"/>
        <color rgb="FF92D050"/>
      </colorScale>
    </cfRule>
  </conditionalFormatting>
  <conditionalFormatting sqref="D21">
    <cfRule type="expression" dxfId="281" priority="9">
      <formula>AND($D$21&gt;0,$D$21&lt;$U$3)</formula>
    </cfRule>
  </conditionalFormatting>
  <conditionalFormatting sqref="D22">
    <cfRule type="colorScale" priority="163">
      <colorScale>
        <cfvo type="min"/>
        <cfvo type="percentile" val="50"/>
        <cfvo type="max"/>
        <color rgb="FFFF0000"/>
        <color rgb="FFFFEB84"/>
        <color rgb="FF00B050"/>
      </colorScale>
    </cfRule>
    <cfRule type="colorScale" priority="162">
      <colorScale>
        <cfvo type="min"/>
        <cfvo type="max"/>
        <color rgb="FFFF0000"/>
        <color rgb="FF92D050"/>
      </colorScale>
    </cfRule>
  </conditionalFormatting>
  <conditionalFormatting sqref="D24">
    <cfRule type="expression" dxfId="280" priority="153">
      <formula>AND(E8&lt;E9,E8&lt;&gt;"",E23&lt;-0.1,DRVJa)</formula>
    </cfRule>
  </conditionalFormatting>
  <conditionalFormatting sqref="D24:E24">
    <cfRule type="expression" dxfId="279" priority="55">
      <formula>AND($E$23&gt;0.1,$E$20&gt;0,DRVJa,$D$22+$E$22&gt;0)</formula>
    </cfRule>
  </conditionalFormatting>
  <conditionalFormatting sqref="D27:E27">
    <cfRule type="expression" dxfId="278"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77" priority="454">
      <formula>E20=0</formula>
    </cfRule>
    <cfRule type="expression" dxfId="276" priority="455">
      <formula>AND(E22&gt;0,E26=#REF!)</formula>
    </cfRule>
  </conditionalFormatting>
  <conditionalFormatting sqref="E4">
    <cfRule type="expression" dxfId="275" priority="75">
      <formula>DRVJa=FALSE</formula>
    </cfRule>
    <cfRule type="expression" dxfId="274" priority="120">
      <formula>AND(E8&gt;=E9,E8&lt;&gt;"",DRVJa)</formula>
    </cfRule>
  </conditionalFormatting>
  <conditionalFormatting sqref="E6">
    <cfRule type="expression" dxfId="273" priority="46">
      <formula>OR(RentenerwerbDRV,$E$6&gt;0)</formula>
    </cfRule>
  </conditionalFormatting>
  <conditionalFormatting sqref="E7:E9 E11:E19">
    <cfRule type="expression" dxfId="272" priority="70">
      <formula>DRVJa=FALSE</formula>
    </cfRule>
  </conditionalFormatting>
  <conditionalFormatting sqref="E10">
    <cfRule type="expression" dxfId="271" priority="54">
      <formula>DRVJa=FALSE</formula>
    </cfRule>
  </conditionalFormatting>
  <conditionalFormatting sqref="E17:E18">
    <cfRule type="expression" dxfId="270" priority="191">
      <formula>E17=""</formula>
    </cfRule>
  </conditionalFormatting>
  <conditionalFormatting sqref="E20:E21">
    <cfRule type="expression" dxfId="269" priority="19">
      <formula>DRVJa=FALSE</formula>
    </cfRule>
  </conditionalFormatting>
  <conditionalFormatting sqref="E26">
    <cfRule type="expression" dxfId="268" priority="155">
      <formula>$E$22=0</formula>
    </cfRule>
  </conditionalFormatting>
  <conditionalFormatting sqref="E26:F26">
    <cfRule type="expression" dxfId="267"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66" priority="137">
      <formula>Adaequanz_Kapitalleistung</formula>
    </cfRule>
  </conditionalFormatting>
  <conditionalFormatting sqref="F4">
    <cfRule type="expression" dxfId="265" priority="78">
      <formula>VersAusglKJa=FALSE</formula>
    </cfRule>
  </conditionalFormatting>
  <conditionalFormatting sqref="F7">
    <cfRule type="expression" dxfId="264" priority="74" stopIfTrue="1">
      <formula>VersAusglKJa=FALSE</formula>
    </cfRule>
  </conditionalFormatting>
  <conditionalFormatting sqref="F8">
    <cfRule type="expression" dxfId="263" priority="33">
      <formula>VersAusglKJa=FALSE</formula>
    </cfRule>
  </conditionalFormatting>
  <conditionalFormatting sqref="F9">
    <cfRule type="expression" dxfId="262" priority="29">
      <formula>VersAusglKJa=FALSE</formula>
    </cfRule>
  </conditionalFormatting>
  <conditionalFormatting sqref="F10">
    <cfRule type="expression" dxfId="261" priority="22">
      <formula>VersAusglKJa=FALSE</formula>
    </cfRule>
  </conditionalFormatting>
  <conditionalFormatting sqref="F11">
    <cfRule type="expression" dxfId="260" priority="21">
      <formula>VersAusglKJa=FALSE</formula>
    </cfRule>
  </conditionalFormatting>
  <conditionalFormatting sqref="F12">
    <cfRule type="expression" dxfId="259" priority="23">
      <formula>VersAusglKJa=FALSE</formula>
    </cfRule>
  </conditionalFormatting>
  <conditionalFormatting sqref="F13:F21">
    <cfRule type="expression" dxfId="258" priority="34">
      <formula>VersAusglKJa=FALSE</formula>
    </cfRule>
  </conditionalFormatting>
  <conditionalFormatting sqref="F27">
    <cfRule type="expression" dxfId="257" priority="453">
      <formula>SUM(I23:N23&lt;=0)</formula>
    </cfRule>
    <cfRule type="expression" dxfId="256" priority="122">
      <formula>F27=0</formula>
    </cfRule>
  </conditionalFormatting>
  <conditionalFormatting sqref="F9:G9">
    <cfRule type="expression" dxfId="255" priority="131">
      <formula>F9=""</formula>
    </cfRule>
  </conditionalFormatting>
  <conditionalFormatting sqref="F12:G12">
    <cfRule type="expression" dxfId="254" priority="27">
      <formula>F12=""</formula>
    </cfRule>
  </conditionalFormatting>
  <conditionalFormatting sqref="G4:G8">
    <cfRule type="expression" dxfId="253" priority="31">
      <formula>SonstJa=FALSE</formula>
    </cfRule>
  </conditionalFormatting>
  <conditionalFormatting sqref="G9">
    <cfRule type="expression" dxfId="252" priority="30">
      <formula>SonstJa=FALSE</formula>
    </cfRule>
  </conditionalFormatting>
  <conditionalFormatting sqref="G10">
    <cfRule type="expression" dxfId="251" priority="49">
      <formula>SonstJa=FALSE</formula>
    </cfRule>
  </conditionalFormatting>
  <conditionalFormatting sqref="G11">
    <cfRule type="expression" dxfId="250" priority="26">
      <formula>SonstJa=FALSE</formula>
    </cfRule>
  </conditionalFormatting>
  <conditionalFormatting sqref="G12">
    <cfRule type="expression" dxfId="249" priority="24">
      <formula>SonstJa=FALSE</formula>
    </cfRule>
  </conditionalFormatting>
  <conditionalFormatting sqref="G13:G14">
    <cfRule type="expression" dxfId="248" priority="16">
      <formula>SonstJa</formula>
    </cfRule>
  </conditionalFormatting>
  <conditionalFormatting sqref="G15">
    <cfRule type="expression" dxfId="247" priority="14">
      <formula>SonstJa</formula>
    </cfRule>
  </conditionalFormatting>
  <conditionalFormatting sqref="G17:G18">
    <cfRule type="expression" dxfId="246" priority="15">
      <formula>SonstJa</formula>
    </cfRule>
  </conditionalFormatting>
  <conditionalFormatting sqref="G26">
    <cfRule type="expression" dxfId="245" priority="157">
      <formula>$G$26=0</formula>
    </cfRule>
  </conditionalFormatting>
  <conditionalFormatting sqref="G27">
    <cfRule type="expression" dxfId="244" priority="121">
      <formula>G26=0</formula>
    </cfRule>
    <cfRule type="expression" dxfId="243" priority="451">
      <formula>SUM(M23:N23&lt;=0)</formula>
    </cfRule>
  </conditionalFormatting>
  <conditionalFormatting sqref="H6">
    <cfRule type="expression" dxfId="242" priority="44">
      <formula>RentenerwerbDRVBer</formula>
    </cfRule>
  </conditionalFormatting>
  <conditionalFormatting sqref="H7">
    <cfRule type="expression" dxfId="241" priority="264">
      <formula>AND(A2=1,H7&lt;&gt;"")</formula>
    </cfRule>
    <cfRule type="expression" dxfId="240" priority="265">
      <formula>AND(A2=1,H7="")</formula>
    </cfRule>
  </conditionalFormatting>
  <conditionalFormatting sqref="H7:H23 I10:K10">
    <cfRule type="expression" dxfId="239" priority="76">
      <formula>DRVAusglBerJa=FALSE</formula>
    </cfRule>
  </conditionalFormatting>
  <conditionalFormatting sqref="H8:H20 I10:K11 H22:H25 I8:K8 I15:K15 I18:I19 J19:K20 J25:K26">
    <cfRule type="expression" dxfId="238" priority="298">
      <formula>AND($H$7&gt;0,DRVAusglBerJa)</formula>
    </cfRule>
  </conditionalFormatting>
  <conditionalFormatting sqref="I5">
    <cfRule type="expression" dxfId="237" priority="390">
      <formula>#REF!=1</formula>
    </cfRule>
  </conditionalFormatting>
  <conditionalFormatting sqref="I9:K9">
    <cfRule type="expression" dxfId="236" priority="68">
      <formula>I9=""</formula>
    </cfRule>
  </conditionalFormatting>
  <conditionalFormatting sqref="I12:K12">
    <cfRule type="expression" dxfId="235" priority="61">
      <formula>I12=""</formula>
    </cfRule>
  </conditionalFormatting>
  <conditionalFormatting sqref="J27">
    <cfRule type="expression" dxfId="234" priority="449">
      <formula>SUM(#REF!&lt;=0)</formula>
    </cfRule>
  </conditionalFormatting>
  <conditionalFormatting sqref="J6:K6">
    <cfRule type="expression" dxfId="233" priority="392">
      <formula>#REF!=1</formula>
    </cfRule>
  </conditionalFormatting>
  <conditionalFormatting sqref="K27">
    <cfRule type="expression" dxfId="232"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180975</xdr:rowOff>
                  </from>
                  <to>
                    <xdr:col>1</xdr:col>
                    <xdr:colOff>3800475</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4676775</xdr:colOff>
                    <xdr:row>8</xdr:row>
                    <xdr:rowOff>0</xdr:rowOff>
                  </from>
                  <to>
                    <xdr:col>2</xdr:col>
                    <xdr:colOff>809625</xdr:colOff>
                    <xdr:row>9</xdr:row>
                    <xdr:rowOff>28575</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371475</xdr:rowOff>
                  </from>
                  <to>
                    <xdr:col>4</xdr:col>
                    <xdr:colOff>257175</xdr:colOff>
                    <xdr:row>3</xdr:row>
                    <xdr:rowOff>47625</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28575</xdr:colOff>
                    <xdr:row>2</xdr:row>
                    <xdr:rowOff>371475</xdr:rowOff>
                  </from>
                  <to>
                    <xdr:col>5</xdr:col>
                    <xdr:colOff>228600</xdr:colOff>
                    <xdr:row>3</xdr:row>
                    <xdr:rowOff>28575</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28575</xdr:colOff>
                    <xdr:row>2</xdr:row>
                    <xdr:rowOff>371475</xdr:rowOff>
                  </from>
                  <to>
                    <xdr:col>6</xdr:col>
                    <xdr:colOff>276225</xdr:colOff>
                    <xdr:row>3</xdr:row>
                    <xdr:rowOff>28575</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66675</xdr:colOff>
                    <xdr:row>3</xdr:row>
                    <xdr:rowOff>66675</xdr:rowOff>
                  </from>
                  <to>
                    <xdr:col>1</xdr:col>
                    <xdr:colOff>1476375</xdr:colOff>
                    <xdr:row>3</xdr:row>
                    <xdr:rowOff>180975</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28575</xdr:rowOff>
                  </from>
                  <to>
                    <xdr:col>1</xdr:col>
                    <xdr:colOff>1876425</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28575</xdr:rowOff>
                  </from>
                  <to>
                    <xdr:col>7</xdr:col>
                    <xdr:colOff>1019175</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371475</xdr:rowOff>
                  </from>
                  <to>
                    <xdr:col>7</xdr:col>
                    <xdr:colOff>1019175</xdr:colOff>
                    <xdr:row>3</xdr:row>
                    <xdr:rowOff>28575</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4448175</xdr:colOff>
                    <xdr:row>4</xdr:row>
                    <xdr:rowOff>190500</xdr:rowOff>
                  </from>
                  <to>
                    <xdr:col>2</xdr:col>
                    <xdr:colOff>990600</xdr:colOff>
                    <xdr:row>6</xdr:row>
                    <xdr:rowOff>47625</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180975</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4295775</xdr:colOff>
                    <xdr:row>19</xdr:row>
                    <xdr:rowOff>28575</xdr:rowOff>
                  </from>
                  <to>
                    <xdr:col>2</xdr:col>
                    <xdr:colOff>0</xdr:colOff>
                    <xdr:row>19</xdr:row>
                    <xdr:rowOff>200025</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4714875</xdr:colOff>
                    <xdr:row>16</xdr:row>
                    <xdr:rowOff>28575</xdr:rowOff>
                  </from>
                  <to>
                    <xdr:col>2</xdr:col>
                    <xdr:colOff>485775</xdr:colOff>
                    <xdr:row>17</xdr:row>
                    <xdr:rowOff>28575</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219075</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3571875</xdr:colOff>
                    <xdr:row>19</xdr:row>
                    <xdr:rowOff>0</xdr:rowOff>
                  </from>
                  <to>
                    <xdr:col>1</xdr:col>
                    <xdr:colOff>4295775</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28575</xdr:rowOff>
                  </from>
                  <to>
                    <xdr:col>4</xdr:col>
                    <xdr:colOff>180975</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28575</xdr:colOff>
                    <xdr:row>2</xdr:row>
                    <xdr:rowOff>561975</xdr:rowOff>
                  </from>
                  <to>
                    <xdr:col>26</xdr:col>
                    <xdr:colOff>257175</xdr:colOff>
                    <xdr:row>4</xdr:row>
                    <xdr:rowOff>28575</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28575</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28575</xdr:colOff>
                    <xdr:row>4</xdr:row>
                    <xdr:rowOff>28575</xdr:rowOff>
                  </from>
                  <to>
                    <xdr:col>26</xdr:col>
                    <xdr:colOff>266700</xdr:colOff>
                    <xdr:row>5</xdr:row>
                    <xdr:rowOff>28575</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28575</xdr:colOff>
                    <xdr:row>6</xdr:row>
                    <xdr:rowOff>219075</xdr:rowOff>
                  </from>
                  <to>
                    <xdr:col>26</xdr:col>
                    <xdr:colOff>295275</xdr:colOff>
                    <xdr:row>7</xdr:row>
                    <xdr:rowOff>219075</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28575</xdr:colOff>
                    <xdr:row>5</xdr:row>
                    <xdr:rowOff>219075</xdr:rowOff>
                  </from>
                  <to>
                    <xdr:col>26</xdr:col>
                    <xdr:colOff>266700</xdr:colOff>
                    <xdr:row>6</xdr:row>
                    <xdr:rowOff>219075</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28575</xdr:colOff>
                    <xdr:row>7</xdr:row>
                    <xdr:rowOff>219075</xdr:rowOff>
                  </from>
                  <to>
                    <xdr:col>26</xdr:col>
                    <xdr:colOff>295275</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28575</xdr:colOff>
                    <xdr:row>5</xdr:row>
                    <xdr:rowOff>28575</xdr:rowOff>
                  </from>
                  <to>
                    <xdr:col>26</xdr:col>
                    <xdr:colOff>219075</xdr:colOff>
                    <xdr:row>5</xdr:row>
                    <xdr:rowOff>219075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25" zeroHeight="1"/>
  <cols>
    <col min="1" max="1" width="2.625" customWidth="1"/>
    <col min="2" max="2" width="80.125" customWidth="1"/>
    <col min="3" max="4" width="13.625" customWidth="1"/>
    <col min="5" max="5" width="2.625" customWidth="1"/>
    <col min="6" max="6" width="38.5" hidden="1" customWidth="1"/>
    <col min="7" max="16384" width="11" hidden="1"/>
  </cols>
  <sheetData>
    <row r="2" spans="1:8" ht="15" thickBot="1">
      <c r="A2" s="1922">
        <v>160</v>
      </c>
      <c r="B2" s="25"/>
      <c r="C2" s="25"/>
      <c r="D2" s="25"/>
      <c r="E2" s="25"/>
    </row>
    <row r="3" spans="1:8" ht="15.75">
      <c r="A3" s="25"/>
      <c r="B3" s="3042" t="str">
        <f>IF(Gewinn,"Verteilung von Gewinnen der externen Teilung betrieblicher Versorgungen in die DRV","Berechnung des Ausgleichs des Transferverlustes bei externer Teilung in die DRV")</f>
        <v>Verteilung von Gewinnen der externen Teilung betrieblicher Versorgungen in die DRV</v>
      </c>
      <c r="C3" s="3043"/>
      <c r="D3" s="3044"/>
      <c r="E3" s="998"/>
      <c r="G3" t="s">
        <v>902</v>
      </c>
      <c r="H3" t="b">
        <f>IF('BVerfG 1 BvL 5-18'!E23&lt;0,FALSE,TRUE)</f>
        <v>1</v>
      </c>
    </row>
    <row r="4" spans="1:8" ht="16.5" customHeight="1" thickBot="1">
      <c r="A4" s="25"/>
      <c r="B4" s="3045" t="s">
        <v>842</v>
      </c>
      <c r="C4" s="3046"/>
      <c r="D4" s="3047"/>
      <c r="E4" s="214"/>
    </row>
    <row r="5" spans="1:8">
      <c r="A5" s="25"/>
      <c r="B5" s="736" t="s">
        <v>633</v>
      </c>
      <c r="C5" s="3038" t="str">
        <f>+'BVerfG 1 BvL 5-18'!C4</f>
        <v/>
      </c>
      <c r="D5" s="3039"/>
      <c r="E5" s="214"/>
    </row>
    <row r="6" spans="1:8" ht="36.75" customHeight="1">
      <c r="A6" s="25"/>
      <c r="B6" s="750" t="s">
        <v>859</v>
      </c>
      <c r="C6" s="728" t="str">
        <f>IF(BGHXIIZB23016,"AusglBer.","AusglPfl.")&amp;"("&amp;Adaequanz_QV_Alter&amp;") Quellversorgung"</f>
        <v>AusglPfl.() Quellversorgung</v>
      </c>
      <c r="D6" s="729" t="str">
        <f>IF(BGHXIIZB23016,"AusglBer.","AusglPfl.")&amp;" DRV"</f>
        <v>AusglPfl. DRV</v>
      </c>
      <c r="E6" s="999"/>
    </row>
    <row r="7" spans="1:8" ht="15">
      <c r="A7" s="25"/>
      <c r="B7" s="731" t="s">
        <v>854</v>
      </c>
      <c r="C7" s="810">
        <f>IF(Adaequanz_AusglWertQuelle=0,Adaequanz_errechneterKapWert,Adaequanz_AusglWertQuelle)</f>
        <v>0</v>
      </c>
      <c r="D7" s="3048" t="s">
        <v>843</v>
      </c>
      <c r="E7" s="1000"/>
    </row>
    <row r="8" spans="1:8" ht="15">
      <c r="A8" s="25"/>
      <c r="B8" s="731" t="s">
        <v>884</v>
      </c>
      <c r="C8" s="810">
        <f>+Adaequanz_RentePfl</f>
        <v>0</v>
      </c>
      <c r="D8" s="3049"/>
      <c r="E8" s="1000"/>
    </row>
    <row r="9" spans="1:8" ht="15">
      <c r="A9" s="25"/>
      <c r="B9" s="732" t="str">
        <f>"errechneter Barwert der vom Versorgungsträger mitgeteilten Rente von "&amp;TEXT(C8,"#.##0,00 €")&amp;" ReZins: "&amp;TEXT('BVerfG 1 BvL 5-18'!P15,"0,00")&amp;" %"</f>
        <v>errechneter Barwert der vom Versorgungsträger mitgeteilten Rente von 0,00 € ReZins: 6,00 %</v>
      </c>
      <c r="C9" s="839">
        <f>+Adaequanz_errechneterKapWert</f>
        <v>0</v>
      </c>
      <c r="D9" s="809" t="s">
        <v>844</v>
      </c>
      <c r="E9" s="1001"/>
    </row>
    <row r="10" spans="1:8">
      <c r="A10" s="25"/>
      <c r="B10" s="733" t="str">
        <f>IFERROR("DRV-Rente aus dem vom VT der Quellversorgung mitgeteilten Ausgleichswert für F:"&amp;CHAR(10)&amp;"AusglW x U-Faktor x aktRW = "&amp;TEXT(C7,"#.##0,00")&amp;" x "&amp;TEXT(VLOOKUP(C5,Umrechnungsfaktoren,2),"0,0000000000")&amp;" x "&amp;TEXT(VLOOKUP(C5,aktRW,2),"0,00 €"),"")</f>
        <v/>
      </c>
      <c r="C10" s="811"/>
      <c r="D10" s="812" t="str">
        <f>IFERROR(C7*VLOOKUP(C5,Umrechnungsfaktoren,2)*VLOOKUP(C5,aktRW,2),"")</f>
        <v/>
      </c>
      <c r="E10" s="1002"/>
    </row>
    <row r="11" spans="1:8">
      <c r="A11" s="25"/>
      <c r="B11" s="732" t="str">
        <f>"Barwert einer DRV-Rente von "&amp;TEXT(D10,"#.##0,00 €")&amp;" im EzE"</f>
        <v>Barwert einer DRV-Rente von  im EzE</v>
      </c>
      <c r="C11" s="730" t="s">
        <v>844</v>
      </c>
      <c r="D11" s="838" t="str">
        <f>+'BVerfG 1 BvL 5-18'!E20</f>
        <v/>
      </c>
      <c r="E11" s="1003"/>
    </row>
    <row r="12" spans="1:8" ht="28.5">
      <c r="A12" s="25"/>
      <c r="B12" s="733" t="str">
        <f>"Beitrag zur Erlangung eines Barwerts von "&amp;TEXT(C9,"#.##0,00")&amp;" in DRV: "&amp;CHAR(10)&amp;TEXT(C7,"#.##0,00")&amp;" x "&amp;TEXT(C9,"#.##0,00")&amp;" / "&amp;TEXT(D11,"#.##0,00")</f>
        <v xml:space="preserve">Beitrag zur Erlangung eines Barwerts von 0,00 in DRV: 
0,00 x 0,00 / </v>
      </c>
      <c r="C12" s="813"/>
      <c r="D12" s="838" t="str">
        <f>IFERROR(C7*C9/D11,"")</f>
        <v/>
      </c>
      <c r="E12" s="1003"/>
      <c r="F12" s="149"/>
    </row>
    <row r="13" spans="1:8">
      <c r="A13" s="25"/>
      <c r="B13" s="733" t="str">
        <f>IFERROR("DRV-Rente im EzE aus Beitrag von "&amp;TEXT(D12,"#.##0,00 €")&amp;" x "&amp;TEXT(VLOOKUP(C5,Umrechnungsfaktoren,2),"0,0000000000")&amp;" x "&amp;TEXT(VLOOKUP(C5,aktRW,2),"0,00 €"),"")</f>
        <v/>
      </c>
      <c r="C13" s="813"/>
      <c r="D13" s="812" t="str">
        <f>IFERROR(+D12*VLOOKUP(C5,Umrechnungsfaktoren,2)*VLOOKUP(C5,aktRW,2),"")</f>
        <v/>
      </c>
      <c r="E13" s="1002"/>
      <c r="F13" s="149"/>
    </row>
    <row r="14" spans="1:8">
      <c r="A14" s="25"/>
      <c r="B14" s="732" t="str">
        <f>"Barwert einer DRV-Rente zum EzE i.H.v. "&amp;TEXT(D13,"#.##0,00 €")&amp;", Rentenalter: "&amp;TEXT('BVerfG 1 BvL 5-18'!E9,"0,0")&amp;", ReZins: "&amp;TEXT('BVerfG 1 BvL 5-18'!P15,"0,00")&amp;" %"</f>
        <v>Barwert einer DRV-Rente zum EzE i.H.v. , Rentenalter: , ReZins: 6,00 %</v>
      </c>
      <c r="C14" s="808" t="s">
        <v>844</v>
      </c>
      <c r="D14" s="838">
        <f>+C9</f>
        <v>0</v>
      </c>
      <c r="E14" s="1003"/>
      <c r="F14" s="149"/>
    </row>
    <row r="15" spans="1:8">
      <c r="A15" s="25"/>
      <c r="B15" s="732" t="str">
        <f>"die Barwertgleiche "&amp;IF(Gewinn,"überschießender ","unterschreitender ")&amp;"Ausgleichswert: "&amp;TEXT(C7,"#.##0,00")&amp;" - "&amp;TEXT(D12,"#.##0")</f>
        <v xml:space="preserve">die Barwertgleiche überschießender Ausgleichswert: 0,00 - </v>
      </c>
      <c r="C15" s="3040" t="str">
        <f>IFERROR(ROUND(+C7-D12,0),"")</f>
        <v/>
      </c>
      <c r="D15" s="3041"/>
      <c r="E15" s="1002"/>
    </row>
    <row r="16" spans="1:8" ht="28.5" customHeight="1">
      <c r="A16" s="25"/>
      <c r="B16" s="840" t="str">
        <f>IF(Gewinn,"","zur Erreichung von 90% des Barwerts der Quellversorgung sind zu Lasten des Versorgungsträgers "&amp;TEXT(D12*0.9-C7,"#.##0,00")&amp;" erforderlich ("&amp;TEXT(D12,"#.##0,00")&amp;" x 90% - "&amp;TEXT(C7,"#.##0,00")&amp;"), insgesamt mithin:")</f>
        <v/>
      </c>
      <c r="C16" s="817"/>
      <c r="D16" s="818" t="e">
        <f>+D12*0.9</f>
        <v>#VALUE!</v>
      </c>
      <c r="E16" s="1004"/>
    </row>
    <row r="17" spans="1:6">
      <c r="A17" s="25"/>
      <c r="B17" s="732" t="str">
        <f>"Kosten pro Euro Barwert: "&amp;TEXT(C7,"#.##0,00 €")&amp;" / "&amp;TEXT(C9,"#.##0,00")&amp;" bzw. "&amp;TEXT(D12,"#.##0,00")&amp;" / "&amp;TEXT(D14,"#.##0,00")</f>
        <v>Kosten pro Euro Barwert: 0,00 € / 0,00 bzw.  / 0,00</v>
      </c>
      <c r="C17" s="811" t="str">
        <f>IFERROR(+C7/C9,"")</f>
        <v/>
      </c>
      <c r="D17" s="812" t="str">
        <f>IFERROR(D12/D14,"")</f>
        <v/>
      </c>
      <c r="E17" s="1002"/>
      <c r="F17" s="149"/>
    </row>
    <row r="18" spans="1:6">
      <c r="A18" s="25"/>
      <c r="B18" s="732" t="str">
        <f>"Anteile in % am Rest: "&amp;TEXT(C17,"0,00")&amp;" / ("&amp;TEXT(C17,"0,00")&amp;" + "&amp;TEXT(D17,"0,00")&amp;") bzw. "&amp;TEXT(D17,"0,00")&amp;" / ("&amp;TEXT(C17,"0,00")&amp;" + "&amp;TEXT(D17,"0,00")&amp;")"</f>
        <v>Anteile in % am Rest:  / ( + ) bzw.  / ( + )</v>
      </c>
      <c r="C18" s="814" t="str">
        <f>IFERROR(ROUND(C17/SUM(C17:D17),4),"")</f>
        <v/>
      </c>
      <c r="D18" s="815" t="str">
        <f>IFERROR(ROUND(D17/SUM(C17:D17),4),"")</f>
        <v/>
      </c>
      <c r="E18" s="1005"/>
    </row>
    <row r="19" spans="1:6">
      <c r="A19" s="25"/>
      <c r="B19" s="732" t="str">
        <f>"Anteile in € am Rest: "&amp;TEXT(C15,"#.##0,00")&amp;" x "&amp;TEXT(C18,"0,00%")&amp;" bzw. "&amp;TEXT(C15,"#.##0,00")&amp;" x "&amp;TEXT(D18,"0,00%")</f>
        <v xml:space="preserve">Anteile in € am Rest:  x  bzw.  x </v>
      </c>
      <c r="C19" s="1350" t="str">
        <f>IFERROR(C15*C18,"")</f>
        <v/>
      </c>
      <c r="D19" s="838" t="str">
        <f>IFERROR(D18*C15,"")</f>
        <v/>
      </c>
      <c r="E19" s="1002"/>
    </row>
    <row r="20" spans="1:6">
      <c r="A20" s="25"/>
      <c r="B20" s="734" t="str">
        <f>"Rentenwert des Anteils in Q-Versorgung: "&amp;TEXT(C19,"#.##0,00 €")&amp;" / ("&amp;TEXT(C7,"#.##0,00")&amp;" / "&amp;TEXT(C8,"#.##0,00 €")&amp;")"</f>
        <v>Rentenwert des Anteils in Q-Versorgung:  / (0,00 / 0,00 €)</v>
      </c>
      <c r="C20" s="811" t="str">
        <f>IFERROR(C19/(C7/C8),"")</f>
        <v/>
      </c>
      <c r="D20" s="812"/>
      <c r="E20" s="1002"/>
    </row>
    <row r="21" spans="1:6" ht="15">
      <c r="A21" s="25"/>
      <c r="B21" s="732" t="str">
        <f>"Der der ausglpfl. Person verbleibende Quellversorgungsanzeil: "&amp;TEXT(C8,"#.##0,00 €")&amp;" + "&amp;TEXT(C20,"#.##0,00 €")</f>
        <v xml:space="preserve">Der der ausglpfl. Person verbleibende Quellversorgungsanzeil: 0,00 € + </v>
      </c>
      <c r="C21" s="811" t="str">
        <f>IFERROR(ROUND(C8+C20,2),"")</f>
        <v/>
      </c>
      <c r="D21" s="816"/>
      <c r="E21" s="1007"/>
      <c r="F21" s="3035" t="str">
        <f>"Tragen Sie im Blatt 'BVerfG Adäquanzprüfung' in Zeile 11 Spalte D den Wert "&amp;TEXT(C21,"#.##0,00 €")&amp;" ein."</f>
        <v>Tragen Sie im Blatt 'BVerfG Adäquanzprüfung' in Zeile 11 Spalte D den Wert  ein.</v>
      </c>
    </row>
    <row r="22" spans="1:6" ht="15">
      <c r="A22" s="25"/>
      <c r="B22" s="807" t="str">
        <f>"Der Ausgleichswert reduziert sich auf: 2 x "&amp;TEXT(C8,"#.##0,00 €")&amp;" - "&amp;TEXT(C21,"#.##0,00 €")</f>
        <v xml:space="preserve">Der Ausgleichswert reduziert sich auf: 2 x 0,00 € - </v>
      </c>
      <c r="C22" s="817" t="str">
        <f>IFERROR(2*C8-C21,"")</f>
        <v/>
      </c>
      <c r="D22" s="816"/>
      <c r="E22" s="1007"/>
      <c r="F22" s="3035"/>
    </row>
    <row r="23" spans="1:6" ht="15">
      <c r="A23" s="25"/>
      <c r="B23" s="732" t="str">
        <f>"Neuer Beitrag (AusglW) für ausglber. Person: "&amp;TEXT(D12,"#.##0,00 €")&amp;" + "&amp;TEXT(D19,"#.##0,00 €")</f>
        <v xml:space="preserve">Neuer Beitrag (AusglW) für ausglber. Person:  + </v>
      </c>
      <c r="C23" s="811"/>
      <c r="D23" s="1349" t="str">
        <f>IFERROR(ROUND(D12+D19,2),"")</f>
        <v/>
      </c>
      <c r="E23" s="1004"/>
    </row>
    <row r="24" spans="1:6" ht="33.75" customHeight="1" thickBot="1">
      <c r="A24" s="25"/>
      <c r="B24" s="735" t="str">
        <f>IFERROR("aus dem Ausgleichswert in DRV resultierende Rente im EzE (Berechnungszpkt): "&amp;CHAR(10)&amp;TEXT(D23,"#.##0,00")&amp;" x "&amp;TEXT(VLOOKUP(C5,Umrechnungsfaktoren,2),"0,0000000000")&amp;" x "&amp;TEXT(VLOOKUP(C5,aktRW,2),"0,00 €"),"")</f>
        <v/>
      </c>
      <c r="C24" s="819"/>
      <c r="D24" s="820" t="str">
        <f>IFERROR(D23*VLOOKUP(C5,Umrechnungsfaktoren,2)*VLOOKUP(C5,aktRW,2),"")</f>
        <v/>
      </c>
      <c r="E24" s="1002"/>
    </row>
    <row r="25" spans="1:6" ht="22.5" customHeight="1">
      <c r="A25" s="25"/>
      <c r="B25" s="3036" t="s">
        <v>845</v>
      </c>
      <c r="C25" s="3037"/>
      <c r="D25" s="3037"/>
      <c r="E25" s="1006"/>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31" priority="1">
      <formula>Gewinn</formula>
    </cfRule>
  </conditionalFormatting>
  <conditionalFormatting sqref="B17:E24">
    <cfRule type="expression" dxfId="230"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topLeftCell="A2" zoomScale="145" zoomScaleNormal="145" workbookViewId="0">
      <selection activeCell="B12" sqref="B12:H21"/>
    </sheetView>
  </sheetViews>
  <sheetFormatPr baseColWidth="10" defaultColWidth="0" defaultRowHeight="14.25" zeroHeight="1"/>
  <cols>
    <col min="1" max="1" width="3.625" customWidth="1"/>
    <col min="2" max="2" width="18" customWidth="1"/>
    <col min="3" max="3" width="13.125" customWidth="1"/>
    <col min="4" max="4" width="24.625" customWidth="1"/>
    <col min="5" max="5" width="19.125" customWidth="1"/>
    <col min="6" max="6" width="20.5" customWidth="1"/>
    <col min="7" max="7" width="16.625" customWidth="1"/>
    <col min="8" max="8" width="16.5" customWidth="1"/>
    <col min="9" max="9" width="4" customWidth="1"/>
    <col min="10" max="14" width="12.625" hidden="1" customWidth="1"/>
    <col min="15" max="16384" width="11" hidden="1"/>
  </cols>
  <sheetData>
    <row r="1" spans="1:19" ht="15" thickBot="1">
      <c r="A1" s="1848">
        <v>1.6</v>
      </c>
      <c r="B1" s="974"/>
      <c r="C1" s="974"/>
      <c r="D1" s="974"/>
      <c r="E1" s="974"/>
      <c r="F1" s="974"/>
      <c r="G1" s="974"/>
      <c r="H1" s="974"/>
      <c r="I1" s="974"/>
    </row>
    <row r="2" spans="1:19" ht="29.25" customHeight="1">
      <c r="A2" s="974"/>
      <c r="B2" s="3052" t="s">
        <v>1303</v>
      </c>
      <c r="C2" s="3053"/>
      <c r="D2" s="3053"/>
      <c r="E2" s="3053"/>
      <c r="F2" s="3053"/>
      <c r="G2" s="3053"/>
      <c r="H2" s="3054"/>
      <c r="I2" s="975"/>
      <c r="K2" s="15">
        <v>1</v>
      </c>
      <c r="Q2" s="58" t="e">
        <f>VLOOKUP($K$2+4,'TO Ziff.5'!$B$7:$P$416,3)</f>
        <v>#N/A</v>
      </c>
    </row>
    <row r="3" spans="1:19" s="71" customFormat="1" ht="19.5" customHeight="1">
      <c r="A3" s="978"/>
      <c r="B3" s="3081" t="s">
        <v>1119</v>
      </c>
      <c r="C3" s="3082"/>
      <c r="D3" s="3082"/>
      <c r="E3" s="3082"/>
      <c r="F3" s="3082"/>
      <c r="G3" s="3083"/>
      <c r="H3" s="3087" t="s">
        <v>1302</v>
      </c>
      <c r="I3" s="978"/>
      <c r="K3" s="16">
        <v>1</v>
      </c>
    </row>
    <row r="4" spans="1:19" s="71" customFormat="1" ht="19.5" customHeight="1">
      <c r="A4" s="978"/>
      <c r="B4" s="3084"/>
      <c r="C4" s="3085"/>
      <c r="D4" s="3085"/>
      <c r="E4" s="3085"/>
      <c r="F4" s="3085"/>
      <c r="G4" s="3086"/>
      <c r="H4" s="3088"/>
      <c r="I4" s="978"/>
    </row>
    <row r="5" spans="1:19" ht="29.25" customHeight="1">
      <c r="A5" s="974"/>
      <c r="B5" s="3076"/>
      <c r="C5" s="3077"/>
      <c r="D5" s="3078"/>
      <c r="E5" s="3073" t="s">
        <v>1149</v>
      </c>
      <c r="F5" s="3074"/>
      <c r="G5" s="3074"/>
      <c r="H5" s="3075"/>
      <c r="I5" s="2085"/>
      <c r="K5" s="140"/>
    </row>
    <row r="6" spans="1:19" ht="48.75" customHeight="1">
      <c r="A6" s="974"/>
      <c r="B6" s="3050" t="str">
        <f>IFERROR(VLOOKUP($K$2+4,'TO Ziff.5'!$B$7:$P$416,2),"")</f>
        <v/>
      </c>
      <c r="C6" s="3051"/>
      <c r="D6" s="3051"/>
      <c r="E6" s="3070"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
      </c>
      <c r="F6" s="3071"/>
      <c r="G6" s="3071"/>
      <c r="H6" s="3072"/>
      <c r="I6" s="976"/>
      <c r="O6" s="128" t="s">
        <v>1046</v>
      </c>
      <c r="P6" s="140" t="s">
        <v>1047</v>
      </c>
      <c r="Q6" s="140" t="s">
        <v>1117</v>
      </c>
      <c r="R6" s="140" t="s">
        <v>1118</v>
      </c>
    </row>
    <row r="7" spans="1:19" ht="14.25" customHeight="1">
      <c r="A7" s="974"/>
      <c r="B7" s="186" t="s">
        <v>63</v>
      </c>
      <c r="C7" s="903"/>
      <c r="D7" s="1411" t="str">
        <f>IF(C7&gt;0,C7,IF(Dat_EzE="","",Dat_EzE))</f>
        <v/>
      </c>
      <c r="E7" s="3066" t="s">
        <v>1120</v>
      </c>
      <c r="F7" s="3067"/>
      <c r="G7" s="3067"/>
      <c r="H7" s="3064" t="str">
        <f>IFERROR(IF(VLOOKUP($K$2+4,'TO Ziff.5'!$B$7:$P$416,4)=0,"",VLOOKUP($K$2+4,'TO Ziff.5'!$B$7:$P$416,4)),"")</f>
        <v/>
      </c>
      <c r="I7" s="976"/>
      <c r="O7" s="128"/>
      <c r="P7" s="140"/>
      <c r="Q7" s="140"/>
      <c r="R7" s="140"/>
    </row>
    <row r="8" spans="1:19" ht="14.25" customHeight="1" thickBot="1">
      <c r="A8" s="974"/>
      <c r="B8" s="986" t="s">
        <v>502</v>
      </c>
      <c r="C8" s="987"/>
      <c r="D8" s="988"/>
      <c r="E8" s="3068"/>
      <c r="F8" s="3069"/>
      <c r="G8" s="3069"/>
      <c r="H8" s="3065"/>
      <c r="I8" s="976"/>
      <c r="J8" t="s">
        <v>1324</v>
      </c>
      <c r="K8" s="15">
        <v>1</v>
      </c>
      <c r="O8" s="128"/>
      <c r="P8" s="140"/>
      <c r="Q8" s="140"/>
      <c r="R8" s="140"/>
    </row>
    <row r="9" spans="1:19" ht="36.75" customHeight="1" thickBot="1">
      <c r="A9" s="974"/>
      <c r="B9" s="3092" t="s">
        <v>1161</v>
      </c>
      <c r="C9" s="3093"/>
      <c r="D9" s="1157" t="s">
        <v>1325</v>
      </c>
      <c r="E9" s="1157" t="s">
        <v>1160</v>
      </c>
      <c r="F9" s="1157" t="s">
        <v>1499</v>
      </c>
      <c r="G9" s="3090" t="s">
        <v>1327</v>
      </c>
      <c r="H9" s="3091"/>
      <c r="I9" s="974"/>
      <c r="J9" t="e">
        <f>VLOOKUP($K$2+4,'TO Ziff.5'!$B$6:$P$416,14)</f>
        <v>#N/A</v>
      </c>
      <c r="O9" s="128"/>
      <c r="P9" s="140"/>
      <c r="Q9" s="140"/>
      <c r="R9" s="140"/>
    </row>
    <row r="10" spans="1:19" ht="30" customHeight="1" thickBot="1">
      <c r="A10" s="974"/>
      <c r="B10" s="1039" t="s">
        <v>1178</v>
      </c>
      <c r="C10" s="3079" t="str">
        <f>IFERROR(IF(VLOOKUP($K$2+4,'TO Ziff.5'!$B$6:$P$416,8)=0,"",VLOOKUP($K$2+4,'TO Ziff.5'!$B$6:$P$416,8)),"")</f>
        <v/>
      </c>
      <c r="D10" s="3079"/>
      <c r="E10" s="3079"/>
      <c r="F10" s="3079"/>
      <c r="G10" s="3079"/>
      <c r="H10" s="3080"/>
      <c r="I10" s="974"/>
      <c r="J10" t="s">
        <v>1304</v>
      </c>
      <c r="O10" s="128"/>
      <c r="P10" s="140"/>
      <c r="Q10" s="140"/>
      <c r="R10" s="140"/>
    </row>
    <row r="11" spans="1:19" ht="30.75" customHeight="1">
      <c r="A11" s="974"/>
      <c r="B11" s="1040" t="s">
        <v>688</v>
      </c>
      <c r="C11" s="1041"/>
      <c r="D11" s="1041"/>
      <c r="E11" s="1159"/>
      <c r="F11" s="1920" t="s">
        <v>1877</v>
      </c>
      <c r="G11" s="1921" t="s">
        <v>1878</v>
      </c>
      <c r="H11" s="1312" t="s">
        <v>1501</v>
      </c>
      <c r="I11" s="974"/>
      <c r="J11" s="982" t="s">
        <v>1150</v>
      </c>
      <c r="K11" s="128"/>
      <c r="O11" t="e">
        <f>VLOOKUP($K$2+4,'TO Ziff.5'!$B$7:$P$416,10)</f>
        <v>#N/A</v>
      </c>
      <c r="P11" t="e">
        <f>VLOOKUP($K$2+4,'TO Ziff.5'!$B$7:$P$416,11)</f>
        <v>#N/A</v>
      </c>
      <c r="Q11" t="e">
        <f>VLOOKUP($K$2+4,'TO Ziff.5'!$B$7:$P$416,12)</f>
        <v>#N/A</v>
      </c>
      <c r="R11" t="e">
        <f>VLOOKUP($K$2+4,'TO Ziff.5'!$B$7:$P$416,13)</f>
        <v>#N/A</v>
      </c>
      <c r="S11" t="e">
        <f>SUM(O11:R11)</f>
        <v>#N/A</v>
      </c>
    </row>
    <row r="12" spans="1:19" s="993" customFormat="1" ht="15" customHeight="1">
      <c r="A12" s="989"/>
      <c r="B12" s="3055"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
      </c>
      <c r="C12" s="3056"/>
      <c r="D12" s="3056"/>
      <c r="E12" s="3056"/>
      <c r="F12" s="3056"/>
      <c r="G12" s="3056"/>
      <c r="H12" s="3057"/>
      <c r="I12" s="990"/>
      <c r="J12" s="991" t="s">
        <v>1151</v>
      </c>
      <c r="K12" s="992"/>
      <c r="O12" s="993" t="e">
        <f>IF(O11=1,"Tarifwechsel (BGH XII ZB 359/19)  ","")</f>
        <v>#N/A</v>
      </c>
      <c r="P12" s="993" t="e">
        <f>IF(P11=2,IF(O12&lt;&gt;"",", ","")&amp;"doppelten Kostenabzug","")</f>
        <v>#N/A</v>
      </c>
      <c r="Q12" s="993" t="e">
        <f>IF(Q11=3,IF(P12&lt;&gt;"",", ","")&amp;"Abweichungen vom Ausgleichswert ","")</f>
        <v>#N/A</v>
      </c>
      <c r="R12" s="993" t="e">
        <f>IF(R11=4,IF(Q12&lt;&gt;"",", ","")&amp;"Wertteilhabe zwischen EzE und RK nicht gewährleistet","")</f>
        <v>#N/A</v>
      </c>
    </row>
    <row r="13" spans="1:19" s="993" customFormat="1" ht="15" customHeight="1">
      <c r="A13" s="989"/>
      <c r="B13" s="3058"/>
      <c r="C13" s="3059"/>
      <c r="D13" s="3059"/>
      <c r="E13" s="3059"/>
      <c r="F13" s="3059"/>
      <c r="G13" s="3059"/>
      <c r="H13" s="3060"/>
      <c r="I13" s="990"/>
      <c r="J13" s="991" t="s">
        <v>1152</v>
      </c>
      <c r="K13" s="994"/>
      <c r="O13" s="993" t="e">
        <f>IF(S11&gt;0,"Die TO ermöglicht "&amp;O12&amp;P12&amp;Q12&amp;R12,"Die TO hat bei Prüfung auf Tarifwechsel, Kostenabzug, Ausgleichswertabweichung und Wertteilhabe zwischen EzE und RK keine Auffälligkeiten ergeben.")</f>
        <v>#N/A</v>
      </c>
    </row>
    <row r="14" spans="1:19" s="993" customFormat="1" ht="15" customHeight="1">
      <c r="A14" s="989"/>
      <c r="B14" s="3058"/>
      <c r="C14" s="3059"/>
      <c r="D14" s="3059"/>
      <c r="E14" s="3059"/>
      <c r="F14" s="3059"/>
      <c r="G14" s="3059"/>
      <c r="H14" s="3060"/>
      <c r="I14" s="990"/>
      <c r="J14" s="3089" t="s">
        <v>1155</v>
      </c>
      <c r="K14" s="993" t="s">
        <v>1156</v>
      </c>
    </row>
    <row r="15" spans="1:19" s="993" customFormat="1" ht="15" customHeight="1">
      <c r="A15" s="989"/>
      <c r="B15" s="3058"/>
      <c r="C15" s="3059"/>
      <c r="D15" s="3059"/>
      <c r="E15" s="3059"/>
      <c r="F15" s="3059"/>
      <c r="G15" s="3059"/>
      <c r="H15" s="3060"/>
      <c r="I15" s="990"/>
      <c r="J15" s="3089"/>
    </row>
    <row r="16" spans="1:19" s="993" customFormat="1" ht="15" customHeight="1">
      <c r="A16" s="989"/>
      <c r="B16" s="3058"/>
      <c r="C16" s="3059"/>
      <c r="D16" s="3059"/>
      <c r="E16" s="3059"/>
      <c r="F16" s="3059"/>
      <c r="G16" s="3059"/>
      <c r="H16" s="3060"/>
      <c r="I16" s="990"/>
      <c r="J16" s="993" t="s">
        <v>1157</v>
      </c>
    </row>
    <row r="17" spans="1:10" s="993" customFormat="1" ht="15" customHeight="1">
      <c r="A17" s="989"/>
      <c r="B17" s="3058"/>
      <c r="C17" s="3059"/>
      <c r="D17" s="3059"/>
      <c r="E17" s="3059"/>
      <c r="F17" s="3059"/>
      <c r="G17" s="3059"/>
      <c r="H17" s="3060"/>
      <c r="I17" s="990"/>
      <c r="J17" s="991" t="s">
        <v>1153</v>
      </c>
    </row>
    <row r="18" spans="1:10" s="993" customFormat="1" ht="15" customHeight="1">
      <c r="A18" s="989"/>
      <c r="B18" s="3058"/>
      <c r="C18" s="3059"/>
      <c r="D18" s="3059"/>
      <c r="E18" s="3059"/>
      <c r="F18" s="3059"/>
      <c r="G18" s="3059"/>
      <c r="H18" s="3060"/>
      <c r="I18" s="990"/>
      <c r="J18" s="991" t="s">
        <v>1158</v>
      </c>
    </row>
    <row r="19" spans="1:10" s="993" customFormat="1" ht="15" customHeight="1">
      <c r="A19" s="989"/>
      <c r="B19" s="3058"/>
      <c r="C19" s="3059"/>
      <c r="D19" s="3059"/>
      <c r="E19" s="3059"/>
      <c r="F19" s="3059"/>
      <c r="G19" s="3059"/>
      <c r="H19" s="3060"/>
      <c r="I19" s="990"/>
      <c r="J19" s="991" t="s">
        <v>1159</v>
      </c>
    </row>
    <row r="20" spans="1:10" s="993" customFormat="1" ht="15" customHeight="1">
      <c r="A20" s="989"/>
      <c r="B20" s="3058"/>
      <c r="C20" s="3059"/>
      <c r="D20" s="3059"/>
      <c r="E20" s="3059"/>
      <c r="F20" s="3059"/>
      <c r="G20" s="3059"/>
      <c r="H20" s="3060"/>
      <c r="I20" s="990"/>
      <c r="J20" s="991" t="s">
        <v>1154</v>
      </c>
    </row>
    <row r="21" spans="1:10" s="993" customFormat="1" ht="15" customHeight="1" thickBot="1">
      <c r="A21" s="989"/>
      <c r="B21" s="3061"/>
      <c r="C21" s="3062"/>
      <c r="D21" s="3062"/>
      <c r="E21" s="3062"/>
      <c r="F21" s="3062"/>
      <c r="G21" s="3062"/>
      <c r="H21" s="3063"/>
      <c r="I21" s="990"/>
    </row>
    <row r="22" spans="1:10">
      <c r="A22" s="974"/>
      <c r="B22" s="3094" t="s">
        <v>1148</v>
      </c>
      <c r="C22" s="3094"/>
      <c r="D22" s="3094"/>
      <c r="E22" s="3094"/>
      <c r="F22" s="3094"/>
      <c r="G22" s="3094"/>
      <c r="H22" s="3094"/>
      <c r="I22" s="977"/>
    </row>
    <row r="23" spans="1:10" ht="14.25" hidden="1" customHeight="1">
      <c r="B23" s="2314" t="e">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#N/A</v>
      </c>
      <c r="C23" s="2314"/>
      <c r="D23" s="2314"/>
      <c r="E23" s="2314"/>
      <c r="F23" s="2314"/>
      <c r="G23" s="2314"/>
      <c r="H23" s="973"/>
      <c r="I23" s="973"/>
    </row>
    <row r="24" spans="1:10" hidden="1">
      <c r="B24" s="2314"/>
      <c r="C24" s="2314"/>
      <c r="D24" s="2314"/>
      <c r="E24" s="2314"/>
      <c r="F24" s="2314"/>
      <c r="G24" s="2314"/>
      <c r="H24" s="973"/>
      <c r="I24" s="973"/>
    </row>
    <row r="25" spans="1:10" hidden="1">
      <c r="B25" s="2314"/>
      <c r="C25" s="2314"/>
      <c r="D25" s="2314"/>
      <c r="E25" s="2314"/>
      <c r="F25" s="2314"/>
      <c r="G25" s="2314"/>
      <c r="H25" s="973"/>
      <c r="I25" s="973"/>
    </row>
    <row r="26" spans="1:10" hidden="1">
      <c r="B26" s="2314"/>
      <c r="C26" s="2314"/>
      <c r="D26" s="2314"/>
      <c r="E26" s="2314"/>
      <c r="F26" s="2314"/>
      <c r="G26" s="2314"/>
      <c r="H26" s="973"/>
      <c r="I26" s="973"/>
    </row>
    <row r="27" spans="1:10" hidden="1">
      <c r="B27" s="2314"/>
      <c r="C27" s="2314"/>
      <c r="D27" s="2314"/>
      <c r="E27" s="2314"/>
      <c r="F27" s="2314"/>
      <c r="G27" s="2314"/>
    </row>
    <row r="28" spans="1:10" hidden="1">
      <c r="B28" s="2314"/>
      <c r="C28" s="2314"/>
      <c r="D28" s="2314"/>
      <c r="E28" s="2314"/>
      <c r="F28" s="2314"/>
      <c r="G28" s="2314"/>
    </row>
    <row r="29" spans="1:10" hidden="1">
      <c r="B29" s="2314"/>
      <c r="C29" s="2314"/>
      <c r="D29" s="2314"/>
      <c r="E29" s="2314"/>
      <c r="F29" s="2314"/>
      <c r="G29" s="2314"/>
    </row>
  </sheetData>
  <sheetProtection algorithmName="SHA-512" hashValue="TS78quD8nmU6iMlPkodk39aW0fpzQ2+h/b7xVx7QWNubdqEWhzHljK/vgIHlYEz0RavN2c875QASXHw+vt7ZNw==" saltValue="CIwpksyfOoHmvXG2yna6Cg==" spinCount="100000" sheet="1" objects="1" scenarios="1" selectLockedCells="1"/>
  <mergeCells count="16">
    <mergeCell ref="J14:J15"/>
    <mergeCell ref="G9:H9"/>
    <mergeCell ref="B9:C9"/>
    <mergeCell ref="B22:H22"/>
    <mergeCell ref="B23:G29"/>
    <mergeCell ref="B6:D6"/>
    <mergeCell ref="B2:H2"/>
    <mergeCell ref="B12:H21"/>
    <mergeCell ref="H7:H8"/>
    <mergeCell ref="E7:G8"/>
    <mergeCell ref="E6:H6"/>
    <mergeCell ref="E5:H5"/>
    <mergeCell ref="B5:D5"/>
    <mergeCell ref="C10:H10"/>
    <mergeCell ref="B3:G4"/>
    <mergeCell ref="H3:H4"/>
  </mergeCells>
  <conditionalFormatting sqref="B5">
    <cfRule type="expression" dxfId="229" priority="465">
      <formula>K2&gt;1</formula>
    </cfRule>
  </conditionalFormatting>
  <conditionalFormatting sqref="C5:D5">
    <cfRule type="expression" dxfId="228" priority="4">
      <formula>P2&gt;1</formula>
    </cfRule>
  </conditionalFormatting>
  <conditionalFormatting sqref="C10:H10">
    <cfRule type="expression" dxfId="227" priority="3">
      <formula>$C$10&lt;&gt;""</formula>
    </cfRule>
  </conditionalFormatting>
  <conditionalFormatting sqref="D7">
    <cfRule type="expression" dxfId="226" priority="1">
      <formula>AND(Dat_EzE&gt;0,C7="")</formula>
    </cfRule>
  </conditionalFormatting>
  <conditionalFormatting sqref="D9">
    <cfRule type="expression" dxfId="225" priority="8">
      <formula>$O$11=1</formula>
    </cfRule>
  </conditionalFormatting>
  <conditionalFormatting sqref="E9">
    <cfRule type="expression" dxfId="224" priority="7">
      <formula>$P$11=2</formula>
    </cfRule>
  </conditionalFormatting>
  <conditionalFormatting sqref="E6:H6">
    <cfRule type="expression" dxfId="223" priority="413">
      <formula>$O$11=1</formula>
    </cfRule>
  </conditionalFormatting>
  <conditionalFormatting sqref="F9">
    <cfRule type="expression" dxfId="222" priority="6">
      <formula>$Q$11=3</formula>
    </cfRule>
  </conditionalFormatting>
  <conditionalFormatting sqref="G9:H9">
    <cfRule type="expression" dxfId="221"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28575</xdr:colOff>
                    <xdr:row>4</xdr:row>
                    <xdr:rowOff>38100</xdr:rowOff>
                  </from>
                  <to>
                    <xdr:col>3</xdr:col>
                    <xdr:colOff>1590675</xdr:colOff>
                    <xdr:row>4</xdr:row>
                    <xdr:rowOff>333375</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28575</xdr:colOff>
                    <xdr:row>7</xdr:row>
                    <xdr:rowOff>28575</xdr:rowOff>
                  </from>
                  <to>
                    <xdr:col>3</xdr:col>
                    <xdr:colOff>600075</xdr:colOff>
                    <xdr:row>7</xdr:row>
                    <xdr:rowOff>180975</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1323975</xdr:colOff>
                    <xdr:row>7</xdr:row>
                    <xdr:rowOff>28575</xdr:rowOff>
                  </from>
                  <to>
                    <xdr:col>3</xdr:col>
                    <xdr:colOff>1857375</xdr:colOff>
                    <xdr:row>7</xdr:row>
                    <xdr:rowOff>180975</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676275</xdr:colOff>
                    <xdr:row>7</xdr:row>
                    <xdr:rowOff>28575</xdr:rowOff>
                  </from>
                  <to>
                    <xdr:col>3</xdr:col>
                    <xdr:colOff>1219200</xdr:colOff>
                    <xdr:row>7</xdr:row>
                    <xdr:rowOff>180975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topLeftCell="B1" zoomScaleNormal="100" workbookViewId="0">
      <selection activeCell="D4" sqref="D4"/>
    </sheetView>
  </sheetViews>
  <sheetFormatPr baseColWidth="10" defaultColWidth="0" defaultRowHeight="14.25"/>
  <cols>
    <col min="1" max="1" width="0" hidden="1" customWidth="1"/>
    <col min="2" max="2" width="4" customWidth="1"/>
    <col min="3" max="3" width="19" customWidth="1"/>
    <col min="4" max="4" width="14.125" customWidth="1"/>
    <col min="5" max="5" width="12.625" customWidth="1"/>
    <col min="6" max="7" width="13.625" customWidth="1"/>
    <col min="8" max="8" width="12.625" customWidth="1"/>
    <col min="9" max="9" width="15.625" customWidth="1"/>
    <col min="10" max="10" width="4.625" customWidth="1"/>
    <col min="11" max="12" width="11" hidden="1" customWidth="1"/>
    <col min="13" max="17" width="12.125" hidden="1" customWidth="1"/>
    <col min="18" max="18" width="16.625" hidden="1" customWidth="1"/>
    <col min="19" max="19" width="2.5" hidden="1" customWidth="1"/>
    <col min="20" max="20" width="16.625" hidden="1" customWidth="1"/>
    <col min="21" max="21" width="14.625" hidden="1" customWidth="1"/>
    <col min="22" max="23" width="13.125" hidden="1" customWidth="1"/>
    <col min="24" max="24" width="2.625" hidden="1" customWidth="1"/>
    <col min="25" max="27" width="13.625" hidden="1"/>
    <col min="28" max="28" width="12.5" hidden="1"/>
    <col min="29" max="29" width="10.125" hidden="1"/>
  </cols>
  <sheetData>
    <row r="1" spans="1:27" ht="11.25" customHeight="1" thickBot="1">
      <c r="A1" s="25"/>
      <c r="B1" s="1924">
        <v>1.05</v>
      </c>
      <c r="C1" s="1946"/>
      <c r="D1" s="1911"/>
      <c r="E1" s="1911"/>
      <c r="F1" s="1944"/>
      <c r="G1" s="1911"/>
      <c r="H1" s="974"/>
      <c r="I1" s="974"/>
      <c r="J1" s="974"/>
      <c r="K1" s="25"/>
      <c r="L1" s="25"/>
      <c r="X1" s="25"/>
    </row>
    <row r="2" spans="1:27" ht="30.75" customHeight="1" thickTop="1">
      <c r="B2" s="1909">
        <v>2</v>
      </c>
      <c r="C2" s="3097" t="s">
        <v>1607</v>
      </c>
      <c r="D2" s="3098"/>
      <c r="E2" s="3098"/>
      <c r="F2" s="1947" t="s">
        <v>1880</v>
      </c>
      <c r="G2" s="3095" t="s">
        <v>533</v>
      </c>
      <c r="H2" s="3095"/>
      <c r="I2" s="3096"/>
      <c r="J2" s="1910"/>
      <c r="S2" s="1820"/>
      <c r="T2" s="1820"/>
      <c r="U2" s="1820"/>
      <c r="V2" s="1820"/>
      <c r="W2" s="1820"/>
      <c r="X2" s="25"/>
    </row>
    <row r="3" spans="1:27" ht="25.5" customHeight="1">
      <c r="B3" s="1909">
        <v>3</v>
      </c>
      <c r="C3" s="3121" t="s">
        <v>1879</v>
      </c>
      <c r="D3" s="3122"/>
      <c r="E3" s="3122"/>
      <c r="F3" s="3123"/>
      <c r="G3" s="3124"/>
      <c r="H3" s="3125"/>
      <c r="I3" s="3126"/>
      <c r="J3" s="1919"/>
      <c r="S3" s="1820"/>
      <c r="T3" s="1820"/>
      <c r="U3" s="1820"/>
      <c r="V3" s="1820"/>
      <c r="W3" s="1820"/>
      <c r="X3" s="25"/>
    </row>
    <row r="4" spans="1:27" s="71" customFormat="1" ht="18" customHeight="1" thickBot="1">
      <c r="B4" s="1909">
        <v>4</v>
      </c>
      <c r="C4" s="1875" t="s">
        <v>558</v>
      </c>
      <c r="D4" s="1876"/>
      <c r="E4" s="1877" t="str">
        <f>IF(D4&gt;0,D4,IF(Dat_EzE&gt;0,Dat_EzE,""))</f>
        <v/>
      </c>
      <c r="F4" s="3099" t="s">
        <v>1866</v>
      </c>
      <c r="G4" s="3100"/>
      <c r="H4" s="2086">
        <f ca="1">TODAY()</f>
        <v>45748</v>
      </c>
      <c r="I4" s="1906">
        <f ca="1">IF(H4="",TODAY(),H4)</f>
        <v>45748</v>
      </c>
      <c r="J4" s="1919"/>
      <c r="S4" s="1820"/>
      <c r="T4" s="1820"/>
      <c r="U4" s="1820"/>
      <c r="V4" s="1820"/>
      <c r="W4" s="1820"/>
      <c r="X4" s="64"/>
    </row>
    <row r="5" spans="1:27" s="71" customFormat="1" ht="18" customHeight="1">
      <c r="B5" s="1909">
        <v>5</v>
      </c>
      <c r="C5" s="1948" t="s">
        <v>1863</v>
      </c>
      <c r="D5" s="1926"/>
      <c r="E5" s="1926"/>
      <c r="F5" s="1927"/>
      <c r="G5" s="1927"/>
      <c r="H5" s="1927"/>
      <c r="I5" s="1949"/>
      <c r="J5" s="1919"/>
      <c r="S5" s="1820"/>
      <c r="T5" s="1820"/>
      <c r="U5" s="1820"/>
      <c r="V5" s="1820"/>
      <c r="W5" s="1820"/>
      <c r="X5" s="64"/>
      <c r="Z5" s="71" t="s">
        <v>1619</v>
      </c>
      <c r="AA5" s="154" t="e">
        <f>VLOOKUP(YEAR(D4),MonatlicheBezugsgroesse,4)*2</f>
        <v>#N/A</v>
      </c>
    </row>
    <row r="6" spans="1:27" s="71" customFormat="1" ht="18" customHeight="1">
      <c r="B6" s="1909">
        <v>6</v>
      </c>
      <c r="C6" s="3115" t="s">
        <v>1872</v>
      </c>
      <c r="D6" s="3116"/>
      <c r="E6" s="3117"/>
      <c r="F6" s="1443" t="s">
        <v>553</v>
      </c>
      <c r="G6" s="1443" t="s">
        <v>554</v>
      </c>
      <c r="H6" s="1443" t="s">
        <v>557</v>
      </c>
      <c r="I6" s="1950" t="str">
        <f>Summenzeichen&amp;" SV-Abzug: "</f>
        <v xml:space="preserve">∑ SV-Abzug: </v>
      </c>
      <c r="J6" s="1919"/>
      <c r="M6" s="1657"/>
      <c r="N6" s="1657"/>
      <c r="O6" s="1657"/>
      <c r="P6" s="1657"/>
      <c r="Q6" s="1657"/>
      <c r="R6" s="1670"/>
      <c r="S6" s="212"/>
      <c r="T6" s="212"/>
      <c r="U6" s="212"/>
      <c r="V6" s="212"/>
      <c r="W6" s="212"/>
      <c r="X6" s="64"/>
      <c r="AA6" s="154"/>
    </row>
    <row r="7" spans="1:27" s="71" customFormat="1" ht="18" customHeight="1">
      <c r="B7" s="1909">
        <v>7</v>
      </c>
      <c r="C7" s="3118"/>
      <c r="D7" s="3119"/>
      <c r="E7" s="3120"/>
      <c r="F7" s="1873"/>
      <c r="G7" s="1873"/>
      <c r="H7" s="1874">
        <v>1.6E-2</v>
      </c>
      <c r="I7" s="1951">
        <f>+H7+G7+F7</f>
        <v>1.6E-2</v>
      </c>
      <c r="J7" s="1919"/>
      <c r="M7" s="1657"/>
      <c r="N7" s="1657"/>
      <c r="O7" s="1657"/>
      <c r="P7" s="1657"/>
      <c r="Q7" s="1657"/>
      <c r="R7" s="1670"/>
      <c r="S7" s="212"/>
      <c r="T7" s="212"/>
      <c r="U7" s="212"/>
      <c r="V7" s="212"/>
      <c r="W7" s="212"/>
      <c r="X7" s="64"/>
      <c r="AA7" s="154"/>
    </row>
    <row r="8" spans="1:27" s="71" customFormat="1" ht="18" customHeight="1">
      <c r="B8" s="1909">
        <v>8</v>
      </c>
      <c r="C8" s="3109" t="str">
        <f ca="1">"Beitragsbemessungsgrenze der gesetzlichen KV- und PV-Vers. am "&amp;TEXT(I4,"TT.MM.JJJJ")&amp;":"</f>
        <v>Beitragsbemessungsgrenze der gesetzlichen KV- und PV-Vers. am 01.04.2025:</v>
      </c>
      <c r="D8" s="3110"/>
      <c r="E8" s="3110"/>
      <c r="F8" s="3110"/>
      <c r="G8" s="3110"/>
      <c r="H8" s="3111"/>
      <c r="I8" s="1888">
        <f ca="1">IFERROR(VLOOKUP(I4,KVundPV,2),"")</f>
        <v>5512.5</v>
      </c>
      <c r="J8" s="1919"/>
      <c r="M8" s="1657"/>
      <c r="N8" s="1657"/>
      <c r="O8" s="1657"/>
      <c r="P8" s="1657"/>
      <c r="Q8" s="1657"/>
      <c r="R8" s="1670"/>
      <c r="S8" s="212"/>
      <c r="T8" s="212"/>
      <c r="U8" s="212"/>
      <c r="V8" s="212"/>
      <c r="W8" s="212"/>
      <c r="X8" s="64"/>
      <c r="AA8" s="154"/>
    </row>
    <row r="9" spans="1:27" s="71" customFormat="1" ht="18" customHeight="1" thickBot="1">
      <c r="B9" s="1909">
        <v>9</v>
      </c>
      <c r="C9" s="3112" t="str">
        <f ca="1">IF(sVA_Privat,"kein KV-Freibetrag, da ausglpfl. Person privatversicht ist. Ggfls C-Box in Zeile 23 deaktivieren","Krankenversicherungs-Freigrenze für Betriebsrenten (§ 226 II SGB V) "&amp;YEAR(I4)&amp;":")</f>
        <v>Krankenversicherungs-Freigrenze für Betriebsrenten (§ 226 II SGB V) 2025:</v>
      </c>
      <c r="D9" s="3113"/>
      <c r="E9" s="3113"/>
      <c r="F9" s="3113"/>
      <c r="G9" s="3113"/>
      <c r="H9" s="3114"/>
      <c r="I9" s="1952">
        <f ca="1">IF(sVA_Privat,0,IF(FB_Aktiv,IF(YEAR(I4)&lt;2020,0,VLOOKUP(YEAR(I4),MonatlicheBezugsgroesse,2)/20),0))</f>
        <v>187.25</v>
      </c>
      <c r="J9" s="1919"/>
      <c r="M9" s="1657"/>
      <c r="N9" s="1657"/>
      <c r="O9" s="1657"/>
      <c r="P9" s="1657"/>
      <c r="Q9" s="1657"/>
      <c r="R9" s="1670"/>
      <c r="S9" s="212"/>
      <c r="T9" s="212"/>
      <c r="U9" s="212"/>
      <c r="V9" s="212"/>
      <c r="W9" s="212"/>
      <c r="X9" s="64"/>
      <c r="AA9" s="154"/>
    </row>
    <row r="10" spans="1:27" s="71" customFormat="1" ht="18" customHeight="1">
      <c r="B10" s="1909">
        <v>10</v>
      </c>
      <c r="C10" s="3127" t="s">
        <v>1864</v>
      </c>
      <c r="D10" s="3128"/>
      <c r="E10" s="3128"/>
      <c r="F10" s="3128"/>
      <c r="G10" s="3128"/>
      <c r="H10" s="3128"/>
      <c r="I10" s="3129"/>
      <c r="J10" s="1919"/>
      <c r="N10" s="2062"/>
      <c r="O10" s="2062"/>
      <c r="P10" s="2062"/>
      <c r="Q10" s="1657"/>
      <c r="R10" s="1670"/>
      <c r="S10" s="212"/>
      <c r="T10" s="212"/>
      <c r="U10" s="212"/>
      <c r="V10" s="212"/>
      <c r="W10" s="212"/>
      <c r="X10" s="64"/>
      <c r="AA10" s="154"/>
    </row>
    <row r="11" spans="1:27" s="71" customFormat="1" ht="18" customHeight="1">
      <c r="B11" s="1909">
        <v>11</v>
      </c>
      <c r="C11" s="3130" t="s">
        <v>1867</v>
      </c>
      <c r="D11" s="3131"/>
      <c r="E11" s="3131"/>
      <c r="F11" s="3131"/>
      <c r="G11" s="3131"/>
      <c r="H11" s="3131"/>
      <c r="I11" s="3132"/>
      <c r="J11" s="1919"/>
      <c r="M11" s="2062"/>
      <c r="N11" s="2062"/>
      <c r="O11" s="2062"/>
      <c r="P11" s="2062"/>
      <c r="Q11" s="1657"/>
      <c r="R11" s="1670"/>
      <c r="S11" s="212"/>
      <c r="T11" s="212"/>
      <c r="U11" s="212"/>
      <c r="V11" s="212"/>
      <c r="W11" s="212"/>
      <c r="X11" s="64"/>
      <c r="AA11" s="154"/>
    </row>
    <row r="12" spans="1:27" s="71" customFormat="1" ht="18" customHeight="1" thickBot="1">
      <c r="B12" s="1909">
        <v>12</v>
      </c>
      <c r="C12" s="3133"/>
      <c r="D12" s="3134"/>
      <c r="E12" s="3134"/>
      <c r="F12" s="3134"/>
      <c r="G12" s="3134"/>
      <c r="H12" s="3134"/>
      <c r="I12" s="3135"/>
      <c r="J12" s="1919"/>
      <c r="M12" s="2062"/>
      <c r="N12" s="2062"/>
      <c r="O12" s="2062"/>
      <c r="P12" s="2062"/>
      <c r="Q12" s="1657"/>
      <c r="R12" s="1670"/>
      <c r="S12" s="212"/>
      <c r="T12" s="212"/>
      <c r="U12" s="212"/>
      <c r="V12" s="212"/>
      <c r="W12" s="212"/>
      <c r="X12" s="64"/>
      <c r="AA12" s="154"/>
    </row>
    <row r="13" spans="1:27" s="71" customFormat="1" ht="18" customHeight="1">
      <c r="B13" s="1909">
        <v>13</v>
      </c>
      <c r="C13" s="3150" t="s">
        <v>1617</v>
      </c>
      <c r="D13" s="3151"/>
      <c r="E13" s="3152"/>
      <c r="F13" s="1945"/>
      <c r="G13" s="3136" t="str">
        <f ca="1">IF(AND(E20&gt;I8,sVA_Privat=FALSE),Summenzeichen&amp;" der Alterseinkünfte &gt; BBG "&amp;YEAR(I4)&amp;" daher:","")</f>
        <v/>
      </c>
      <c r="H13" s="3137"/>
      <c r="I13" s="3147" t="str">
        <f ca="1">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
      </c>
      <c r="J13" s="1919"/>
      <c r="M13" s="2062"/>
      <c r="N13" s="2062"/>
      <c r="O13" s="2062"/>
      <c r="P13" s="2062"/>
      <c r="Q13" s="1657"/>
      <c r="R13" s="1670"/>
      <c r="S13" s="212"/>
      <c r="T13" s="212"/>
      <c r="U13" s="212"/>
      <c r="V13" s="212"/>
      <c r="W13" s="212"/>
      <c r="X13" s="64"/>
      <c r="AA13" s="154"/>
    </row>
    <row r="14" spans="1:27" s="71" customFormat="1" ht="18" customHeight="1">
      <c r="B14" s="1909">
        <v>14</v>
      </c>
      <c r="C14" s="3105" t="s">
        <v>1616</v>
      </c>
      <c r="D14" s="3106"/>
      <c r="E14" s="3138" t="s">
        <v>1614</v>
      </c>
      <c r="F14" s="3138" t="s">
        <v>1615</v>
      </c>
      <c r="G14" s="3138" t="s">
        <v>1620</v>
      </c>
      <c r="H14" s="3140" t="s">
        <v>1936</v>
      </c>
      <c r="I14" s="3148"/>
      <c r="J14" s="1919"/>
      <c r="M14" s="2062"/>
      <c r="N14" s="2062"/>
      <c r="O14" s="2062"/>
      <c r="P14" s="2062"/>
      <c r="Q14" s="1657"/>
      <c r="R14" s="1670"/>
      <c r="S14" s="212"/>
      <c r="T14" s="212"/>
      <c r="U14" s="212"/>
      <c r="V14" s="212"/>
      <c r="W14" s="212"/>
      <c r="X14" s="64"/>
      <c r="AA14" s="154"/>
    </row>
    <row r="15" spans="1:27" s="71" customFormat="1" ht="18" customHeight="1">
      <c r="B15" s="1909">
        <v>15</v>
      </c>
      <c r="C15" s="3107"/>
      <c r="D15" s="3108"/>
      <c r="E15" s="3139"/>
      <c r="F15" s="3139"/>
      <c r="G15" s="3139"/>
      <c r="H15" s="3141"/>
      <c r="I15" s="3149"/>
      <c r="J15" s="1919"/>
      <c r="M15" s="2062"/>
      <c r="N15" s="2062"/>
      <c r="O15" s="2062"/>
      <c r="P15" s="2062"/>
      <c r="Q15" s="1657"/>
      <c r="R15" s="1670"/>
      <c r="S15" s="212"/>
      <c r="T15" s="212"/>
      <c r="U15" s="212"/>
      <c r="V15" s="212"/>
      <c r="W15" s="212"/>
      <c r="X15" s="64"/>
      <c r="AA15" s="154"/>
    </row>
    <row r="16" spans="1:27" s="71" customFormat="1" ht="18" customHeight="1">
      <c r="B16" s="1909">
        <v>16</v>
      </c>
      <c r="C16" s="3101"/>
      <c r="D16" s="3102"/>
      <c r="E16" s="1854"/>
      <c r="F16" s="1855">
        <v>1</v>
      </c>
      <c r="G16" s="1856" t="str">
        <f>IF(sVA_Privat,0,IFERROR(+E16/SUM(E$16:E$19),""))</f>
        <v/>
      </c>
      <c r="H16" s="1857" t="str">
        <f ca="1">IFERROR(IF(I$9*G16&gt;E16,-E16,-I$9*G16),"")</f>
        <v/>
      </c>
      <c r="I16" s="2054" t="str">
        <f ca="1">IF(sVA_Privat,E16,IFERROR((E16+H16)*IF(E$20&gt;I$8,(I$8+H$20)/(E$20+H$20),1),""))</f>
        <v/>
      </c>
      <c r="J16" s="1919"/>
      <c r="M16" s="2063"/>
      <c r="N16" s="2063"/>
      <c r="O16" s="2063"/>
      <c r="P16" s="2063"/>
      <c r="Q16" s="2063"/>
      <c r="R16" s="1670"/>
      <c r="S16" s="212"/>
      <c r="T16" s="212"/>
      <c r="U16" s="212"/>
      <c r="V16" s="212"/>
      <c r="W16" s="212"/>
      <c r="X16" s="64"/>
      <c r="AA16" s="154"/>
    </row>
    <row r="17" spans="2:29" s="71" customFormat="1" ht="18" customHeight="1">
      <c r="B17" s="1909">
        <v>17</v>
      </c>
      <c r="C17" s="3103"/>
      <c r="D17" s="3104"/>
      <c r="E17" s="1854"/>
      <c r="F17" s="1855">
        <v>1</v>
      </c>
      <c r="G17" s="1856" t="str">
        <f>IF(sVA_Privat,0,IFERROR(+E17/SUM(E$16:E$19),""))</f>
        <v/>
      </c>
      <c r="H17" s="1857" t="str">
        <f ca="1">IFERROR(IF(I$9*G17&gt;E17,E17,-I$9*G17),"")</f>
        <v/>
      </c>
      <c r="I17" s="2054" t="str">
        <f ca="1">IF(sVA_Privat,E17,IFERROR((E17+H17)*IF(E$20&gt;I$8,(I$8+H$20)/(E$20+H$20),1),""))</f>
        <v/>
      </c>
      <c r="J17" s="1919"/>
      <c r="M17" s="2063"/>
      <c r="N17" s="2063"/>
      <c r="O17" s="2063"/>
      <c r="P17" s="2063"/>
      <c r="Q17" s="2063"/>
      <c r="R17" s="1670"/>
      <c r="S17" s="212"/>
      <c r="T17" s="212"/>
      <c r="U17" s="212"/>
      <c r="V17" s="212"/>
      <c r="W17" s="212"/>
      <c r="X17" s="64"/>
      <c r="AA17" s="154"/>
    </row>
    <row r="18" spans="2:29" s="71" customFormat="1" ht="18" customHeight="1">
      <c r="B18" s="1909">
        <v>18</v>
      </c>
      <c r="C18" s="3157"/>
      <c r="D18" s="3104"/>
      <c r="E18" s="1854"/>
      <c r="F18" s="1855">
        <v>1</v>
      </c>
      <c r="G18" s="1856" t="str">
        <f>IF(sVA_Privat,0,IFERROR(+E18/SUM(E$16:E$19),""))</f>
        <v/>
      </c>
      <c r="H18" s="1857" t="str">
        <f ca="1">IFERROR(IF(I$9*G18&gt;E18,E18,-I$9*G18),"")</f>
        <v/>
      </c>
      <c r="I18" s="2054" t="str">
        <f ca="1">IF(sVA_Privat,E18,IFERROR((E18+H18)*IF(E$20&gt;I$8,(I$8+H$20)/(E$20+H$20),1),""))</f>
        <v/>
      </c>
      <c r="J18" s="1919"/>
      <c r="M18" s="2063"/>
      <c r="N18" s="2063"/>
      <c r="O18" s="2063"/>
      <c r="P18" s="2063"/>
      <c r="Q18" s="2063"/>
      <c r="R18" s="1670"/>
      <c r="S18" s="212"/>
      <c r="T18" s="212"/>
      <c r="U18" s="212"/>
      <c r="V18" s="212"/>
      <c r="W18" s="212"/>
      <c r="X18" s="64"/>
      <c r="AA18" s="154"/>
    </row>
    <row r="19" spans="2:29" s="71" customFormat="1" ht="18" customHeight="1">
      <c r="B19" s="1909">
        <v>19</v>
      </c>
      <c r="C19" s="3158"/>
      <c r="D19" s="3104"/>
      <c r="E19" s="1854"/>
      <c r="F19" s="1855">
        <v>1</v>
      </c>
      <c r="G19" s="1856" t="str">
        <f>IF(sVA_Privat,0,IFERROR(+E19/SUM(E$16:E$19),""))</f>
        <v/>
      </c>
      <c r="H19" s="1857" t="str">
        <f ca="1">IFERROR(IF(I$9*G19&gt;E19,E19,-I$9*G19),"")</f>
        <v/>
      </c>
      <c r="I19" s="2054" t="str">
        <f ca="1">IF(sVA_Privat,E19,IFERROR((E19+H19)*IF(E$20&gt;I$8,(I$8+H$20)/(E$20+H$20),1),""))</f>
        <v/>
      </c>
      <c r="J19" s="1919"/>
      <c r="M19" s="2063"/>
      <c r="N19" s="2063"/>
      <c r="O19" s="2063"/>
      <c r="P19" s="2063"/>
      <c r="Q19" s="2063"/>
      <c r="R19" s="1670"/>
      <c r="S19" s="212"/>
      <c r="T19" s="212"/>
      <c r="U19" s="212"/>
      <c r="V19" s="212"/>
      <c r="W19" s="212"/>
      <c r="X19" s="64"/>
      <c r="AA19" s="154"/>
    </row>
    <row r="20" spans="2:29" s="71" customFormat="1" ht="18" customHeight="1" thickBot="1">
      <c r="B20" s="1909">
        <v>20</v>
      </c>
      <c r="C20" s="3159" t="s">
        <v>143</v>
      </c>
      <c r="D20" s="3160"/>
      <c r="E20" s="1957">
        <f>IF(SUM(E16:E19)=0,F13+H21,SUM(E16:E19)+F13)</f>
        <v>0</v>
      </c>
      <c r="F20" s="1958"/>
      <c r="G20" s="1959"/>
      <c r="H20" s="1960">
        <f ca="1">SUM(H16:H19)</f>
        <v>0</v>
      </c>
      <c r="I20" s="2055">
        <f ca="1">SUM(I16:I19)</f>
        <v>0</v>
      </c>
      <c r="J20" s="1919"/>
      <c r="M20" s="2248"/>
      <c r="N20" s="2248"/>
      <c r="O20" s="2248"/>
      <c r="P20" s="2248"/>
      <c r="Q20" s="2248"/>
      <c r="R20" s="1670"/>
      <c r="S20" s="212"/>
      <c r="T20" s="212"/>
      <c r="U20" s="212"/>
      <c r="V20" s="212"/>
      <c r="W20" s="212"/>
      <c r="X20" s="64"/>
      <c r="AA20" s="154"/>
    </row>
    <row r="21" spans="2:29" s="71" customFormat="1" ht="18" customHeight="1" thickTop="1">
      <c r="B21" s="1909">
        <v>21</v>
      </c>
      <c r="C21" s="2051" t="s">
        <v>1875</v>
      </c>
      <c r="D21" s="2052"/>
      <c r="E21" s="2052"/>
      <c r="F21" s="3161" t="s">
        <v>1935</v>
      </c>
      <c r="G21" s="3162"/>
      <c r="H21" s="2053"/>
      <c r="I21" s="2056">
        <f>CHOOSE(sVA_Einkommensauswahl,IF(Z28,E16,0),IF(Z29,E17,0),IF(Z30,E18,0),IF(Z31,E19,0))</f>
        <v>0</v>
      </c>
      <c r="J21" s="1919"/>
      <c r="M21" s="2248"/>
      <c r="N21" s="2248"/>
      <c r="O21" s="2248"/>
      <c r="P21" s="2248"/>
      <c r="Q21" s="2248"/>
      <c r="X21" s="64"/>
      <c r="Y21" s="71" t="e">
        <f>CHOOSE(12,I16,I17,I18,I19)</f>
        <v>#VALUE!</v>
      </c>
    </row>
    <row r="22" spans="2:29" s="71" customFormat="1" ht="18" customHeight="1" thickBot="1">
      <c r="B22" s="1909">
        <v>22</v>
      </c>
      <c r="C22" s="3153" t="s">
        <v>1873</v>
      </c>
      <c r="D22" s="3154"/>
      <c r="E22" s="3154"/>
      <c r="F22" s="1915" t="s">
        <v>1874</v>
      </c>
      <c r="G22" s="1956" t="str">
        <f>TEXT(CHOOSE(Y30,E16,E17,E18,E19),"#.##0,00")&amp;" / "&amp;TEXT(E23,"#.##0,00")</f>
        <v>0,00 / 2.500,00</v>
      </c>
      <c r="H22" s="3145" t="str">
        <f>"Sozialabgaben "&amp;IF(sVA_Privat,"(pKV + pPV)","(gKV + gPV)")</f>
        <v>Sozialabgaben (gKV + gPV)</v>
      </c>
      <c r="I22" s="3146"/>
      <c r="J22" s="1919"/>
      <c r="X22" s="64"/>
      <c r="Y22" s="16" t="b">
        <v>0</v>
      </c>
    </row>
    <row r="23" spans="2:29" s="71" customFormat="1" ht="18" customHeight="1" thickBot="1">
      <c r="B23" s="1909">
        <v>23</v>
      </c>
      <c r="C23" s="1953"/>
      <c r="D23" s="1878" t="s">
        <v>1862</v>
      </c>
      <c r="E23" s="1879">
        <v>2500</v>
      </c>
      <c r="F23" s="1880" t="s">
        <v>1861</v>
      </c>
      <c r="G23" s="1881">
        <v>650</v>
      </c>
      <c r="H23" s="1882">
        <f>IF(E23=0,G23/E20,CHOOSE(Y30,E16,E17,E18,E19)/E23)</f>
        <v>0</v>
      </c>
      <c r="I23" s="1954">
        <f>+IF(sVA_Privat=FALSE,0,H23*-G23)</f>
        <v>0</v>
      </c>
      <c r="J23" s="1919"/>
      <c r="X23" s="64"/>
      <c r="Y23" s="16"/>
    </row>
    <row r="24" spans="2:29" s="71" customFormat="1" ht="18" customHeight="1">
      <c r="B24" s="1909">
        <v>24</v>
      </c>
      <c r="C24" s="3165" t="str">
        <f ca="1">IF(sVA_Privat,"","./. KV "&amp;IF(H20=0,"auf "&amp;TEXT(I21,"#.##0,00")&amp;" - "&amp;TEXT(I9,"#.#0,00"),"auf "&amp;IF(I8&gt;E20,TEXT(I21,"#.##,00")&amp;" "&amp;TEXT(CHOOSE(Y30,H16,H17,H18,H19),"#.##0,00")&amp;" = "&amp;TEXT(CHOOSE(Y30,I16,I17,I18,I19),"#.##0,00"),"wg. Einkommen &gt; BBMG reduziert  "&amp;TEXT(CHOOSE(Y30,I16,I17,I18,I19),"#.##0,00"))))</f>
        <v>./. KV auf 0,00 - 187,25</v>
      </c>
      <c r="D24" s="3166"/>
      <c r="E24" s="3166"/>
      <c r="F24" s="3166"/>
      <c r="G24" s="1929"/>
      <c r="H24" s="1858">
        <f ca="1">IFERROR(IF(F7&gt;0,F7,IF(SVAbgaben,"",VLOOKUP(I4,KVundPV,4))),"")</f>
        <v>0.14599999999999999</v>
      </c>
      <c r="I24" s="2057" t="str">
        <f ca="1">IFERROR(ROUND(IF(sVA_Privat,0,IF(H27&lt;&gt;0,0,IF(SVAbgaben,0,IF(AND(H21&gt;0,E20-F13-H21=0),IF(-H21+I9&gt;0,0,-H21+I9),-CHOOSE(Y30,I16,I17,I18,I19))*H24))),2),"")</f>
        <v/>
      </c>
      <c r="J24" s="1919"/>
      <c r="M24" s="1907"/>
      <c r="N24" s="1907"/>
      <c r="O24" s="1907"/>
      <c r="P24" s="1907"/>
      <c r="Q24" s="1907"/>
      <c r="R24" s="1907"/>
      <c r="X24" s="64"/>
    </row>
    <row r="25" spans="2:29" s="71" customFormat="1" ht="18" customHeight="1">
      <c r="B25" s="1909">
        <v>25</v>
      </c>
      <c r="C25" s="3163" t="str">
        <f ca="1">IF(sVA_Privat,"","./. PV-Beiträge § 55 III SGB XI aus "&amp;TEXT(CHOOSE(Y30,E16,E17,E18,E19)*IF(E$20&gt;I$8,I$8/E$20,1),"#.##0,00 €"))</f>
        <v>./. PV-Beiträge § 55 III SGB XI aus 0,00 €</v>
      </c>
      <c r="D25" s="3164"/>
      <c r="E25" s="1955" t="s">
        <v>1859</v>
      </c>
      <c r="F25" s="1851"/>
      <c r="G25" s="1852"/>
      <c r="H25" s="1849">
        <f ca="1">IFERROR(IF(G7&lt;&gt;"",G7,IF(SVAbgaben,"",VLOOKUP(I4,KVundPV,5)+IF(Y37=1,VLOOKUP(I4,KVundPV,6),0)-IF(I4&gt;'KV&amp;PV'!C40-1,IF(Y37&gt;2,(Y37-2)*0.25%,0),0))),"")</f>
        <v>4.1999999999999996E-2</v>
      </c>
      <c r="I25" s="1888">
        <f ca="1">IFERROR(ROUND(IF(sVA_Privat,0,IF(H27&lt;&gt;0,0,IF(SVAbgaben,0,IFERROR(-CHOOSE(Y30,E16,E17,E18,E19)*IF(E$20&gt;I$8,I$8/E$20,1)*H25,"")))),2),"")</f>
        <v>0</v>
      </c>
      <c r="J25" s="1919"/>
      <c r="M25" s="2064"/>
      <c r="N25" s="2064"/>
      <c r="O25" s="2064"/>
      <c r="P25" s="2064"/>
      <c r="Q25" s="2064"/>
      <c r="R25" s="1859"/>
      <c r="X25" s="64"/>
      <c r="Y25" s="16" t="b">
        <v>1</v>
      </c>
    </row>
    <row r="26" spans="2:29" s="71" customFormat="1" ht="18" customHeight="1">
      <c r="B26" s="1909">
        <v>26</v>
      </c>
      <c r="C26" s="3155" t="str">
        <f>IF(sVA_Privat,"","./. Krankenversicherungszusatzbeitrag;  242a II SGB V")</f>
        <v>./. Krankenversicherungszusatzbeitrag;  242a II SGB V</v>
      </c>
      <c r="D26" s="3156"/>
      <c r="E26" s="3156"/>
      <c r="F26" s="3156"/>
      <c r="G26" s="1928"/>
      <c r="H26" s="1849">
        <f>IF(SVAbgaben,"",IF(H7="",VLOOKUP(I4,KVundPV,7),H7))</f>
        <v>1.6E-2</v>
      </c>
      <c r="I26" s="1888" t="str">
        <f ca="1">IFERROR(ROUND(IF(sVA_Privat,0,IF(H27&lt;&gt;0,0,IF(SVAbgaben,0,-CHOOSE(Y30,I16,I17,I18,I19)*H26))),2),"")</f>
        <v/>
      </c>
      <c r="J26" s="1919"/>
      <c r="M26" s="2065"/>
      <c r="N26" s="2065"/>
      <c r="O26" s="2065"/>
      <c r="P26" s="2065"/>
      <c r="Q26" s="2065"/>
      <c r="R26" s="1860"/>
      <c r="X26" s="64"/>
      <c r="Y26" s="976"/>
      <c r="Z26" s="976"/>
      <c r="AA26" s="976"/>
      <c r="AB26" s="976"/>
      <c r="AC26" s="976"/>
    </row>
    <row r="27" spans="2:29" s="71" customFormat="1" ht="18" customHeight="1">
      <c r="B27" s="1909">
        <v>27</v>
      </c>
      <c r="C27" s="3142" t="str">
        <f ca="1">"./. SozVersBeiträge auf Versorgung  i.H.v. "&amp;IF(H27&gt;0,"manuell eingegeben: ",IF(sVA_Privat,TEXT(R27,"#.##0,00"),TEXT(SUM(H24:H26),"0,00%"))&amp;" x "&amp;IF(sVA_Privat,TEXT(IF(H21&gt;0,H21,CHOOSE(Y30,E16,E17,E18,E19)),"#.##0,00")&amp;" / "&amp;TEXT(R25,"#.##0,00"),TEXT(CHOOSE(sVA_Einkommensauswahl,I16,I17,I18,I19),"#.##0,00")))</f>
        <v xml:space="preserve">./. SozVersBeiträge auf Versorgung  i.H.v. 20,40% x </v>
      </c>
      <c r="D27" s="3143"/>
      <c r="E27" s="3143"/>
      <c r="F27" s="3143"/>
      <c r="G27" s="3144"/>
      <c r="H27" s="1853"/>
      <c r="I27" s="2058">
        <f ca="1">IF(H27&gt;0,-H27,IF(sVA_Privat,IF(H27&gt;0,-H27,I23),SUM(I24:I26)))</f>
        <v>0</v>
      </c>
      <c r="J27" s="1919"/>
      <c r="M27" s="2066"/>
      <c r="N27" s="2066"/>
      <c r="O27" s="2066"/>
      <c r="P27" s="2066"/>
      <c r="Q27" s="2066"/>
      <c r="R27" s="754"/>
      <c r="X27" s="1447"/>
      <c r="Y27" s="976"/>
      <c r="Z27" s="976"/>
      <c r="AA27" s="976"/>
      <c r="AB27" s="976"/>
      <c r="AC27" s="976"/>
    </row>
    <row r="28" spans="2:29" s="71" customFormat="1" ht="18" customHeight="1">
      <c r="B28" s="1909">
        <v>28</v>
      </c>
      <c r="C28" s="3169" t="s">
        <v>1865</v>
      </c>
      <c r="D28" s="3170"/>
      <c r="E28" s="3170"/>
      <c r="F28" s="3170"/>
      <c r="G28" s="3170"/>
      <c r="H28" s="3171"/>
      <c r="I28" s="2059">
        <f ca="1">IF(+I21+I27&lt;0,0,I21+I27)</f>
        <v>0</v>
      </c>
      <c r="J28" s="1919"/>
      <c r="M28" s="2066"/>
      <c r="N28" s="2066"/>
      <c r="O28" s="2066"/>
      <c r="P28" s="2066"/>
      <c r="Q28" s="2066"/>
      <c r="R28" s="1861"/>
      <c r="X28" s="1447"/>
      <c r="Y28" s="71" t="s">
        <v>1606</v>
      </c>
      <c r="Z28" s="16" t="b">
        <v>0</v>
      </c>
      <c r="AA28" s="154">
        <f>IF(Z28,E16*F16,0)</f>
        <v>0</v>
      </c>
      <c r="AB28" s="1453" t="e">
        <f>+AA28/AA$32</f>
        <v>#DIV/0!</v>
      </c>
      <c r="AC28" s="71">
        <f>IF(AND(Z28=TRUE,AA28&gt;0),1,0)</f>
        <v>0</v>
      </c>
    </row>
    <row r="29" spans="2:29" s="71" customFormat="1" ht="18" customHeight="1">
      <c r="B29" s="1909">
        <v>29</v>
      </c>
      <c r="C29" s="3172" t="s">
        <v>1618</v>
      </c>
      <c r="D29" s="3173"/>
      <c r="E29" s="3173"/>
      <c r="F29" s="3173"/>
      <c r="G29" s="3173"/>
      <c r="H29" s="3174"/>
      <c r="I29" s="2060">
        <f>CHOOSE(Y30,F16,F17,F18,F19)</f>
        <v>1</v>
      </c>
      <c r="J29" s="1919"/>
      <c r="M29" s="1908"/>
      <c r="N29" s="1908"/>
      <c r="O29" s="1908"/>
      <c r="P29" s="1908"/>
      <c r="Q29" s="1908"/>
      <c r="R29" s="1908"/>
      <c r="X29" s="64"/>
      <c r="Z29" s="16" t="b">
        <v>0</v>
      </c>
      <c r="AA29" s="154">
        <f>IF(Z29,E17*F17,0)</f>
        <v>0</v>
      </c>
      <c r="AB29" s="1453" t="e">
        <f>+AA29/AA$32</f>
        <v>#DIV/0!</v>
      </c>
      <c r="AC29" s="71">
        <f>IF(AND(Z29=TRUE,AA29&gt;0),1,0)</f>
        <v>0</v>
      </c>
    </row>
    <row r="30" spans="2:29" s="71" customFormat="1" ht="18" customHeight="1">
      <c r="B30" s="1909">
        <v>30</v>
      </c>
      <c r="C30" s="3172" t="str">
        <f ca="1">"ehezeitliche Versorgungshöhe: "&amp;TEXT(I28,"#.##0,00")&amp;" x "&amp;TEXT(I29,"#.##0,00%")</f>
        <v>ehezeitliche Versorgungshöhe: 0,00 x 100,00%</v>
      </c>
      <c r="D30" s="3173"/>
      <c r="E30" s="3173"/>
      <c r="F30" s="3173"/>
      <c r="G30" s="3173"/>
      <c r="H30" s="3174"/>
      <c r="I30" s="1888">
        <f ca="1">+I28*IF(H29&gt;0,H29,I29)</f>
        <v>0</v>
      </c>
      <c r="J30" s="1919"/>
      <c r="M30" s="2067"/>
      <c r="N30" s="2067"/>
      <c r="O30" s="2067"/>
      <c r="P30" s="2067"/>
      <c r="Q30" s="2067"/>
      <c r="R30" s="802"/>
      <c r="X30" s="64"/>
      <c r="Y30" s="16">
        <v>1</v>
      </c>
      <c r="Z30" s="16" t="b">
        <v>0</v>
      </c>
      <c r="AA30" s="154">
        <f>IF(Z30,E18*F18,0)</f>
        <v>0</v>
      </c>
      <c r="AB30" s="1453" t="e">
        <f>+AA30/AA$32</f>
        <v>#DIV/0!</v>
      </c>
      <c r="AC30" s="71">
        <f>IF(AND(Z30=TRUE,AA30&gt;0),1,0)</f>
        <v>0</v>
      </c>
    </row>
    <row r="31" spans="2:29" s="71" customFormat="1" ht="18" customHeight="1">
      <c r="B31" s="1909">
        <v>31</v>
      </c>
      <c r="C31" s="3172" t="s">
        <v>555</v>
      </c>
      <c r="D31" s="3173"/>
      <c r="E31" s="3173"/>
      <c r="F31" s="3173"/>
      <c r="G31" s="3173"/>
      <c r="H31" s="3174"/>
      <c r="I31" s="1888">
        <f ca="1">+I30/2</f>
        <v>0</v>
      </c>
      <c r="J31" s="1919"/>
      <c r="M31" s="2068"/>
      <c r="N31" s="2068"/>
      <c r="O31" s="2069"/>
      <c r="P31" s="2069"/>
      <c r="Q31" s="2069"/>
      <c r="R31" s="1862"/>
      <c r="X31" s="64"/>
      <c r="Y31" s="71">
        <v>0</v>
      </c>
      <c r="Z31" s="16" t="b">
        <v>0</v>
      </c>
      <c r="AA31" s="154">
        <f>IF(Z31,E19*F19,0)</f>
        <v>0</v>
      </c>
      <c r="AB31" s="1453" t="e">
        <f>+AA31/AA$32</f>
        <v>#DIV/0!</v>
      </c>
      <c r="AC31" s="71">
        <f>IF(AND(Z31=TRUE,AA31&gt;0),1,0)</f>
        <v>0</v>
      </c>
    </row>
    <row r="32" spans="2:29" s="71" customFormat="1" ht="18" customHeight="1">
      <c r="B32" s="1909">
        <v>32</v>
      </c>
      <c r="C32" s="3169"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170"/>
      <c r="E32" s="3170"/>
      <c r="F32" s="3170"/>
      <c r="G32" s="3171"/>
      <c r="H32" s="1305"/>
      <c r="I32" s="1883" t="str">
        <f>IFERROR(ROUND(H32*CHOOSE(Y30,AB28,AB29,AB30,AB31),2),"")</f>
        <v/>
      </c>
      <c r="J32" s="1919"/>
      <c r="M32" s="2068"/>
      <c r="N32" s="2068"/>
      <c r="O32" s="2069"/>
      <c r="P32" s="2069"/>
      <c r="Q32" s="2069"/>
      <c r="R32" s="1862"/>
      <c r="X32" s="64"/>
      <c r="Y32" s="71">
        <v>1</v>
      </c>
      <c r="AA32" s="154">
        <f>SUM(AA28:AA31)</f>
        <v>0</v>
      </c>
      <c r="AB32" s="1444" t="e">
        <f>SUM(AB28:AB31)</f>
        <v>#DIV/0!</v>
      </c>
      <c r="AC32" s="71">
        <f>SUM(AC28:AC31)</f>
        <v>0</v>
      </c>
    </row>
    <row r="33" spans="2:28" s="71" customFormat="1" ht="18" customHeight="1">
      <c r="B33" s="1909">
        <v>33</v>
      </c>
      <c r="C33" s="3172" t="str">
        <f>"aktueller Rentenwert zum Ehezeitende "&amp;IF(E4="","...Ehezeitende eingeben!(Zeile 2)",TEXT(E4,"TT.MM.JJJ"))</f>
        <v>aktueller Rentenwert zum Ehezeitende ...Ehezeitende eingeben!(Zeile 2)</v>
      </c>
      <c r="D33" s="3173"/>
      <c r="E33" s="3173"/>
      <c r="F33" s="3173"/>
      <c r="G33" s="3174"/>
      <c r="H33" s="1884" t="str">
        <f>IFERROR(VLOOKUP(E4,aktRW,IF(sVA_EPOst,3,2)),"")</f>
        <v/>
      </c>
      <c r="I33" s="1885"/>
      <c r="J33" s="1919"/>
      <c r="M33" s="2068"/>
      <c r="N33" s="2068"/>
      <c r="O33" s="2069"/>
      <c r="P33" s="2069"/>
      <c r="Q33" s="2069"/>
      <c r="R33" s="1862"/>
      <c r="X33" s="64"/>
      <c r="Y33" s="71">
        <v>2</v>
      </c>
    </row>
    <row r="34" spans="2:28" s="71" customFormat="1" ht="18" customHeight="1">
      <c r="B34" s="1909">
        <v>34</v>
      </c>
      <c r="C34" s="3172" t="str">
        <f ca="1">"aktueller Rentenwert zum "&amp;IF(I4="","………Berechnungsdatum eingeben! (Zeile 3)",TEXT(I4,"TT.MM.JJJJ"))</f>
        <v>aktueller Rentenwert zum 01.04.2025</v>
      </c>
      <c r="D34" s="3173"/>
      <c r="E34" s="3173"/>
      <c r="F34" s="3173"/>
      <c r="G34" s="3174"/>
      <c r="H34" s="1884">
        <f ca="1">IFERROR(VLOOKUP(I4,aktRW,IF(sVA_EPOst,3,2)),"")</f>
        <v>39.32</v>
      </c>
      <c r="I34" s="1886"/>
      <c r="J34" s="1919"/>
      <c r="M34" s="2068"/>
      <c r="N34" s="2068"/>
      <c r="O34" s="2069"/>
      <c r="P34" s="2069"/>
      <c r="Q34" s="2069"/>
      <c r="R34" s="1862"/>
      <c r="X34" s="64"/>
      <c r="Y34" s="71">
        <v>3</v>
      </c>
    </row>
    <row r="35" spans="2:28" s="71" customFormat="1" ht="18" customHeight="1">
      <c r="B35" s="1909">
        <v>35</v>
      </c>
      <c r="C35" s="3172" t="str">
        <f ca="1">IFERROR("aktual. ausgegl. Betrag (§ 51 III S. 3 VersAusglG): "&amp;TEXT(IF(H32&gt;I32,I32,H32),"0,00")&amp;" x "&amp;TEXT(H34,"0,00")&amp;" / "&amp;TEXT(H33,"0,00"),"")</f>
        <v xml:space="preserve">aktual. ausgegl. Betrag (§ 51 III S. 3 VersAusglG): 0,00 x 39,32 / </v>
      </c>
      <c r="D35" s="3173"/>
      <c r="E35" s="3173"/>
      <c r="F35" s="3173"/>
      <c r="G35" s="3174"/>
      <c r="H35" s="1887" t="s">
        <v>1868</v>
      </c>
      <c r="I35" s="1888">
        <f ca="1">IFERROR(IF(I32&gt;0,-I32,-H32)*H34/H33,0)</f>
        <v>0</v>
      </c>
      <c r="J35" s="1919"/>
      <c r="M35" s="2068"/>
      <c r="N35" s="2068"/>
      <c r="O35" s="2069"/>
      <c r="P35" s="2069"/>
      <c r="Q35" s="2069"/>
      <c r="R35" s="1862"/>
      <c r="X35" s="64"/>
      <c r="Y35" s="71">
        <v>4</v>
      </c>
    </row>
    <row r="36" spans="2:28" s="71" customFormat="1" ht="18" customHeight="1">
      <c r="B36" s="1909">
        <v>36</v>
      </c>
      <c r="C36" s="3179" t="str">
        <f ca="1">"schuldrechtlicher Ausgleichsbetrag: "&amp;IF(H36&gt;0,"selbst berechnet",TEXT(I31,"#.##0,00 €")&amp;" - "&amp;TEXT(ABS(I35),"#.##0,00"))</f>
        <v>schuldrechtlicher Ausgleichsbetrag: 0,00 € - 0,00</v>
      </c>
      <c r="D36" s="3180"/>
      <c r="E36" s="3180"/>
      <c r="F36" s="3180"/>
      <c r="G36" s="3181"/>
      <c r="H36" s="1889"/>
      <c r="I36" s="2061">
        <f ca="1">IF(H36&gt;0,H36,IF(I31+I35&lt;0,0,I31+I35))</f>
        <v>0</v>
      </c>
      <c r="J36" s="1919"/>
      <c r="M36" s="754"/>
      <c r="N36" s="754"/>
      <c r="O36" s="2069"/>
      <c r="P36" s="2069"/>
      <c r="Q36" s="2069"/>
      <c r="R36" s="1862"/>
      <c r="X36" s="64"/>
      <c r="Y36" s="71">
        <v>5</v>
      </c>
    </row>
    <row r="37" spans="2:28" s="71" customFormat="1" ht="18" customHeight="1">
      <c r="B37" s="1909">
        <v>37</v>
      </c>
      <c r="C37" s="3176" t="str">
        <f ca="1">"Bagatellgrenze (1% der mon. Bezugsgröße § 18 I SGB VI) "&amp;IF(I36&gt;I37,"überschritten","nicht überschritten")</f>
        <v>Bagatellgrenze (1% der mon. Bezugsgröße § 18 I SGB VI) nicht überschritten</v>
      </c>
      <c r="D37" s="3177"/>
      <c r="E37" s="3177"/>
      <c r="F37" s="3177"/>
      <c r="G37" s="3177"/>
      <c r="H37" s="3178"/>
      <c r="I37" s="1850">
        <f ca="1">IFERROR(VLOOKUP(YEAR(I4),MonatlicheBezugsgroesse,IF(sVA_EPOst,3,2))*0.01,"")</f>
        <v>37.450000000000003</v>
      </c>
      <c r="J37" s="1919"/>
      <c r="M37" s="154"/>
      <c r="N37" s="154"/>
      <c r="O37" s="1517"/>
      <c r="P37" s="1765"/>
      <c r="Q37" s="1765"/>
      <c r="X37" s="64"/>
      <c r="Y37" s="16">
        <v>1</v>
      </c>
    </row>
    <row r="38" spans="2:28" s="71" customFormat="1" ht="18" customHeight="1" thickBot="1">
      <c r="B38" s="1909">
        <v>38</v>
      </c>
      <c r="C38" s="3182" t="str">
        <f ca="1">IF(OR(E4=0,I4=0,+I21=0),"Gelb markierte Felder sind auszufüllen",IF(I36&lt;=I37,"Die Wesentlichkeitsgrenze von §§ 20 III S. 3;  18 VersAusglG wird nicht überschritten!","Die Wesentlichkeitsgrenze von § 18 VersAusglG wird überschritten."))</f>
        <v>Gelb markierte Felder sind auszufüllen</v>
      </c>
      <c r="D38" s="3183"/>
      <c r="E38" s="3183"/>
      <c r="F38" s="3183"/>
      <c r="G38" s="3183"/>
      <c r="H38" s="3183"/>
      <c r="I38" s="3184"/>
      <c r="J38" s="1919"/>
      <c r="M38" s="154"/>
      <c r="N38" s="154"/>
      <c r="O38" s="1517"/>
      <c r="P38" s="1765"/>
      <c r="Q38" s="1765"/>
      <c r="X38" s="64"/>
    </row>
    <row r="39" spans="2:28" s="71" customFormat="1" ht="16.350000000000001" customHeight="1" thickTop="1">
      <c r="B39" s="1909"/>
      <c r="C39" s="978"/>
      <c r="D39" s="978"/>
      <c r="E39" s="978"/>
      <c r="F39" s="978"/>
      <c r="G39" s="978"/>
      <c r="H39" s="978"/>
      <c r="I39" s="978"/>
      <c r="J39" s="1919"/>
      <c r="M39" s="154"/>
      <c r="N39" s="154"/>
      <c r="O39" s="1517"/>
      <c r="P39" s="1765"/>
      <c r="Q39" s="1765"/>
      <c r="X39" s="64"/>
    </row>
    <row r="40" spans="2:28" s="71" customFormat="1" ht="16.350000000000001" customHeight="1">
      <c r="B40" s="1912"/>
      <c r="C40" s="1913"/>
      <c r="D40" s="1913"/>
      <c r="E40" s="1913"/>
      <c r="F40" s="1913"/>
      <c r="G40" s="1913"/>
      <c r="H40" s="1913"/>
      <c r="I40" s="1913"/>
      <c r="J40" s="352"/>
      <c r="M40" s="1925"/>
      <c r="N40" s="1925"/>
      <c r="O40" s="802"/>
      <c r="P40" s="2070"/>
      <c r="Q40" s="2070"/>
      <c r="X40" s="64"/>
    </row>
    <row r="41" spans="2:28" s="71" customFormat="1" ht="16.350000000000001" customHeight="1">
      <c r="B41" s="1914"/>
      <c r="C41" s="1913"/>
      <c r="D41" s="1913"/>
      <c r="E41" s="1913"/>
      <c r="F41" s="1913"/>
      <c r="G41" s="1913"/>
      <c r="H41" s="1913"/>
      <c r="I41" s="1913"/>
      <c r="J41" s="352"/>
      <c r="K41" s="16"/>
      <c r="X41" s="64"/>
      <c r="Z41" s="3" t="s">
        <v>559</v>
      </c>
      <c r="AA41" s="415" t="b">
        <v>0</v>
      </c>
      <c r="AB41" s="3"/>
    </row>
    <row r="42" spans="2:28" ht="15" customHeight="1">
      <c r="B42" s="1914"/>
      <c r="C42" s="1863"/>
      <c r="D42" s="1863"/>
      <c r="E42" s="1863"/>
      <c r="F42" s="1863"/>
      <c r="G42" s="1863"/>
      <c r="H42" s="1863"/>
      <c r="I42" s="1863"/>
      <c r="J42" s="1863"/>
      <c r="K42" s="1675"/>
      <c r="L42" s="1675"/>
      <c r="M42" s="1863"/>
      <c r="N42" s="1863"/>
      <c r="O42" s="1863"/>
      <c r="P42" s="1863"/>
      <c r="Q42" s="1863"/>
      <c r="R42" s="1863"/>
      <c r="X42" s="25"/>
      <c r="Z42" s="621" t="s">
        <v>556</v>
      </c>
      <c r="AA42" s="1656" t="b">
        <v>0</v>
      </c>
      <c r="AB42" s="621"/>
    </row>
    <row r="43" spans="2:28">
      <c r="B43" s="4"/>
      <c r="C43" s="367"/>
      <c r="D43" s="367"/>
      <c r="E43" s="367"/>
      <c r="F43" s="367"/>
      <c r="G43" s="367"/>
      <c r="H43" s="367"/>
      <c r="I43" s="367"/>
      <c r="J43" s="367"/>
      <c r="K43" s="367"/>
      <c r="L43" s="367"/>
      <c r="M43" s="367"/>
      <c r="N43" s="367"/>
      <c r="O43" s="367"/>
      <c r="P43" s="367"/>
      <c r="Q43" s="367"/>
      <c r="R43" s="367"/>
      <c r="Z43" s="3175"/>
      <c r="AA43" s="71"/>
    </row>
    <row r="44" spans="2:28" ht="14.25" customHeight="1">
      <c r="C44" s="1655"/>
      <c r="D44" s="1655"/>
      <c r="E44" s="1655"/>
      <c r="F44" s="1655"/>
      <c r="G44" s="1655"/>
      <c r="H44" s="1655"/>
      <c r="I44" s="1655"/>
      <c r="J44" s="1655"/>
      <c r="K44" s="1655"/>
      <c r="L44" s="1655"/>
      <c r="M44" s="1655"/>
      <c r="N44" s="1655"/>
      <c r="O44" s="1655"/>
      <c r="P44" s="1655"/>
      <c r="Q44" s="1655"/>
      <c r="R44" s="1655"/>
      <c r="S44" s="1655"/>
      <c r="Z44" s="3175"/>
      <c r="AA44" s="71"/>
      <c r="AB44" s="71"/>
    </row>
    <row r="45" spans="2:28" ht="15" customHeight="1">
      <c r="C45" s="1655"/>
      <c r="D45" s="1655"/>
      <c r="E45" s="1655"/>
      <c r="F45" s="1655"/>
      <c r="G45" s="1655"/>
      <c r="H45" s="1655"/>
      <c r="I45" s="1655"/>
      <c r="J45" s="1655"/>
      <c r="K45" s="1655"/>
      <c r="L45" s="1655"/>
      <c r="M45" s="1655"/>
      <c r="N45" s="1655"/>
      <c r="O45" s="1655"/>
      <c r="P45" s="1655"/>
      <c r="Q45" s="1655"/>
      <c r="R45" s="1655"/>
      <c r="S45" s="1655"/>
      <c r="Z45" s="3175"/>
      <c r="AA45" s="71"/>
      <c r="AB45" s="71"/>
    </row>
    <row r="46" spans="2:28" ht="32.25" customHeight="1">
      <c r="C46" s="231"/>
      <c r="D46" s="231"/>
      <c r="E46" s="231"/>
      <c r="F46" s="231"/>
      <c r="G46" s="231"/>
      <c r="H46" s="231"/>
      <c r="I46" s="231"/>
      <c r="J46" s="1655"/>
      <c r="K46" s="1864"/>
      <c r="L46" s="1864"/>
      <c r="M46" s="1934"/>
      <c r="N46" s="1934"/>
      <c r="O46" s="1934"/>
      <c r="P46" s="1934"/>
      <c r="Q46" s="1934"/>
      <c r="R46" s="1934"/>
      <c r="S46" s="1864"/>
      <c r="T46" s="149"/>
      <c r="Z46" s="71"/>
      <c r="AA46" s="71"/>
      <c r="AB46" s="71"/>
    </row>
    <row r="47" spans="2:28" s="71" customFormat="1" ht="18" customHeight="1">
      <c r="B47"/>
      <c r="C47" s="1917"/>
      <c r="D47" s="1917"/>
      <c r="E47" s="1917"/>
      <c r="F47" s="1917"/>
      <c r="G47" s="1917"/>
      <c r="H47" s="1657"/>
      <c r="I47" s="1658"/>
      <c r="J47" s="1655"/>
      <c r="M47" s="1666"/>
      <c r="N47" s="1666"/>
      <c r="O47" s="1666"/>
      <c r="P47" s="1666"/>
      <c r="Q47" s="1666"/>
      <c r="R47" s="1659"/>
    </row>
    <row r="48" spans="2:28" s="71" customFormat="1" ht="18" customHeight="1">
      <c r="B48"/>
      <c r="C48" s="1917"/>
      <c r="D48" s="1917"/>
      <c r="E48" s="1917"/>
      <c r="F48" s="1917"/>
      <c r="G48" s="1917"/>
      <c r="H48" s="903"/>
      <c r="I48" s="1657"/>
      <c r="J48" s="1655"/>
      <c r="M48" s="1666"/>
      <c r="N48" s="1666"/>
      <c r="O48" s="1666"/>
      <c r="P48" s="1666"/>
      <c r="Q48" s="1658"/>
      <c r="R48" s="1658"/>
      <c r="AA48" s="16"/>
    </row>
    <row r="49" spans="2:28" s="71" customFormat="1" ht="18" customHeight="1">
      <c r="B49"/>
      <c r="C49" s="1917"/>
      <c r="D49" s="1917"/>
      <c r="E49" s="1917"/>
      <c r="F49" s="1917"/>
      <c r="G49" s="1917"/>
      <c r="H49" s="753"/>
      <c r="I49" s="1659"/>
      <c r="J49" s="1655"/>
      <c r="M49" s="1666"/>
      <c r="N49" s="1666"/>
      <c r="O49" s="1666"/>
      <c r="P49" s="1666"/>
      <c r="Q49" s="1865"/>
      <c r="R49" s="1865"/>
    </row>
    <row r="50" spans="2:28" s="71" customFormat="1" ht="18" customHeight="1">
      <c r="B50"/>
      <c r="C50" s="1917"/>
      <c r="D50" s="1917"/>
      <c r="E50" s="1917"/>
      <c r="F50" s="1917"/>
      <c r="G50" s="1917"/>
      <c r="H50" s="959"/>
      <c r="I50" s="1932"/>
      <c r="J50" s="1655"/>
      <c r="K50" s="128"/>
      <c r="L50" s="128"/>
      <c r="M50" s="1666"/>
      <c r="N50" s="1666"/>
      <c r="O50" s="1666"/>
      <c r="P50" s="1666"/>
      <c r="Q50" s="1666"/>
      <c r="R50" s="1660"/>
      <c r="Z50" s="3167"/>
      <c r="AA50" s="3167"/>
      <c r="AB50" s="3167"/>
    </row>
    <row r="51" spans="2:28" s="71" customFormat="1" ht="18" customHeight="1">
      <c r="B51"/>
      <c r="C51" s="1917"/>
      <c r="D51" s="1917"/>
      <c r="E51" s="1917"/>
      <c r="F51" s="1917"/>
      <c r="G51" s="1917"/>
      <c r="H51" s="1661"/>
      <c r="I51" s="1933"/>
      <c r="J51" s="1655"/>
      <c r="K51" s="792"/>
      <c r="L51" s="792"/>
      <c r="M51" s="1666"/>
      <c r="N51" s="1666"/>
      <c r="O51" s="1666"/>
      <c r="P51" s="1666"/>
      <c r="Q51" s="1666"/>
      <c r="R51" s="1660"/>
      <c r="AA51" s="128"/>
      <c r="AB51" s="128"/>
    </row>
    <row r="52" spans="2:28" s="71" customFormat="1" ht="18" customHeight="1">
      <c r="B52"/>
      <c r="C52" s="1666"/>
      <c r="D52" s="1917"/>
      <c r="E52" s="1917"/>
      <c r="F52" s="1917"/>
      <c r="G52" s="1917"/>
      <c r="H52" s="128"/>
      <c r="I52" s="1658"/>
      <c r="J52" s="1655"/>
      <c r="M52" s="1666"/>
      <c r="N52" s="1666"/>
      <c r="O52" s="1666"/>
      <c r="P52" s="1666"/>
      <c r="Q52" s="1666"/>
      <c r="R52" s="1660"/>
      <c r="Z52" s="352"/>
      <c r="AA52" s="1429"/>
      <c r="AB52" s="1429"/>
    </row>
    <row r="53" spans="2:28" s="71" customFormat="1" ht="18" customHeight="1">
      <c r="B53"/>
      <c r="C53" s="1666"/>
      <c r="D53" s="1917"/>
      <c r="E53" s="1917"/>
      <c r="F53" s="1917"/>
      <c r="G53" s="1917"/>
      <c r="H53" s="1662"/>
      <c r="I53" s="1662"/>
      <c r="J53" s="1655"/>
      <c r="M53" s="1666"/>
      <c r="N53" s="1666"/>
      <c r="O53" s="1666"/>
      <c r="P53" s="1666"/>
      <c r="Q53" s="1666"/>
      <c r="R53" s="1663"/>
      <c r="Z53" s="352"/>
      <c r="AA53" s="3168"/>
      <c r="AB53" s="3168"/>
    </row>
    <row r="54" spans="2:28" s="71" customFormat="1" ht="18" customHeight="1">
      <c r="B54"/>
      <c r="C54" s="1917"/>
      <c r="D54" s="1917"/>
      <c r="E54" s="1917"/>
      <c r="F54" s="1917"/>
      <c r="G54" s="1917"/>
      <c r="H54" s="1663"/>
      <c r="I54" s="1660"/>
      <c r="J54" s="1655"/>
      <c r="K54" s="1429"/>
      <c r="L54" s="1429"/>
      <c r="M54" s="1666"/>
      <c r="N54" s="1666"/>
      <c r="O54" s="1666"/>
      <c r="P54" s="1666"/>
      <c r="Q54" s="1666"/>
      <c r="R54" s="1664"/>
      <c r="Z54" s="352"/>
      <c r="AA54" s="1429"/>
      <c r="AB54" s="1665"/>
    </row>
    <row r="55" spans="2:28" s="71" customFormat="1" ht="18" customHeight="1">
      <c r="B55"/>
      <c r="C55" s="1917"/>
      <c r="D55" s="1917"/>
      <c r="E55" s="1917"/>
      <c r="F55" s="1917"/>
      <c r="G55" s="1917"/>
      <c r="H55" s="1663"/>
      <c r="I55" s="1660"/>
      <c r="J55" s="1655"/>
      <c r="K55" s="1429"/>
      <c r="L55" s="1429"/>
      <c r="M55" s="1666"/>
      <c r="N55" s="1666"/>
      <c r="O55" s="1666"/>
      <c r="P55" s="1666"/>
      <c r="Q55" s="2071"/>
      <c r="R55" s="1866"/>
      <c r="Z55" s="352"/>
      <c r="AA55" s="3168"/>
      <c r="AB55" s="3168"/>
    </row>
    <row r="56" spans="2:28" s="71" customFormat="1" ht="18" customHeight="1">
      <c r="B56"/>
      <c r="C56" s="1666"/>
      <c r="D56" s="1666"/>
      <c r="E56" s="1666"/>
      <c r="F56" s="1666"/>
      <c r="G56" s="1666"/>
      <c r="H56" s="1663"/>
      <c r="I56" s="1667"/>
      <c r="J56" s="1655"/>
      <c r="R56" s="1867"/>
      <c r="Z56" s="3167"/>
      <c r="AA56" s="3167"/>
      <c r="AB56" s="3167"/>
    </row>
    <row r="57" spans="2:28" s="71" customFormat="1" ht="18" customHeight="1">
      <c r="B57"/>
      <c r="C57" s="1917"/>
      <c r="D57" s="1917"/>
      <c r="E57" s="1917"/>
      <c r="F57" s="1917"/>
      <c r="G57" s="1917"/>
      <c r="H57" s="1659"/>
      <c r="I57" s="1936"/>
      <c r="J57" s="1655"/>
      <c r="M57" s="1506"/>
      <c r="N57" s="1506"/>
      <c r="O57" s="1506"/>
      <c r="P57" s="1506"/>
      <c r="Q57" s="2072"/>
      <c r="R57" s="1868"/>
      <c r="Z57" s="802"/>
      <c r="AA57" s="802"/>
      <c r="AB57" s="802"/>
    </row>
    <row r="58" spans="2:28" s="71" customFormat="1" ht="18" customHeight="1">
      <c r="B58"/>
      <c r="C58" s="1917"/>
      <c r="D58" s="1917"/>
      <c r="E58" s="1917"/>
      <c r="F58" s="1917"/>
      <c r="G58" s="1917"/>
      <c r="H58" s="1658"/>
      <c r="I58" s="1936"/>
      <c r="J58" s="1655"/>
      <c r="M58" s="2066"/>
      <c r="N58" s="2066"/>
      <c r="O58" s="2066"/>
      <c r="P58" s="2066"/>
      <c r="Q58" s="2066"/>
      <c r="R58" s="1869"/>
      <c r="AA58" s="1668"/>
      <c r="AB58" s="1668"/>
    </row>
    <row r="59" spans="2:28" s="71" customFormat="1" ht="18" customHeight="1">
      <c r="B59"/>
      <c r="C59" s="1669"/>
      <c r="D59" s="1669"/>
      <c r="E59" s="1669"/>
      <c r="F59" s="1669"/>
      <c r="G59" s="1669"/>
      <c r="H59" s="1670"/>
      <c r="I59" s="1936"/>
      <c r="J59" s="1671"/>
      <c r="M59" s="2073"/>
      <c r="N59" s="2073"/>
      <c r="O59" s="2073"/>
      <c r="P59" s="2073"/>
      <c r="Q59" s="2073"/>
      <c r="R59" s="1870"/>
      <c r="X59" s="625"/>
      <c r="AA59" s="1668"/>
      <c r="AB59" s="1668"/>
    </row>
    <row r="60" spans="2:28" s="71" customFormat="1" ht="18" customHeight="1">
      <c r="B60"/>
      <c r="C60" s="1939"/>
      <c r="D60" s="1918"/>
      <c r="E60" s="1918"/>
      <c r="F60" s="1918"/>
      <c r="G60" s="1918"/>
      <c r="H60" s="1940"/>
      <c r="I60" s="1943"/>
      <c r="J60" s="1671"/>
      <c r="M60" s="2074"/>
      <c r="N60" s="2074"/>
      <c r="O60" s="2074"/>
      <c r="P60" s="2074"/>
      <c r="Q60" s="2074"/>
      <c r="R60" s="1916"/>
      <c r="X60" s="625"/>
    </row>
    <row r="61" spans="2:28" s="71" customFormat="1" ht="18" customHeight="1">
      <c r="B61"/>
      <c r="C61" s="1939"/>
      <c r="D61" s="1918"/>
      <c r="E61" s="1918"/>
      <c r="F61" s="1918"/>
      <c r="G61" s="1918"/>
      <c r="H61" s="1940"/>
      <c r="I61" s="1943"/>
      <c r="J61" s="1506"/>
      <c r="M61" s="2074"/>
      <c r="N61" s="2074"/>
      <c r="O61" s="2074"/>
      <c r="P61" s="2074"/>
      <c r="Q61" s="2074"/>
      <c r="R61" s="1935"/>
      <c r="X61" s="625"/>
      <c r="Z61"/>
      <c r="AA61"/>
      <c r="AB61" s="91"/>
    </row>
    <row r="62" spans="2:28" s="71" customFormat="1" ht="27.75" customHeight="1">
      <c r="B62" s="154"/>
      <c r="C62" s="1931"/>
      <c r="D62" s="1931"/>
      <c r="E62" s="1931"/>
      <c r="F62" s="1931"/>
      <c r="G62" s="1931"/>
      <c r="H62" s="1931"/>
      <c r="I62" s="1931"/>
      <c r="J62" s="1506"/>
      <c r="M62" s="2074"/>
      <c r="N62" s="2074"/>
      <c r="O62" s="2074"/>
      <c r="P62" s="2074"/>
      <c r="Q62" s="2074"/>
      <c r="R62" s="1935"/>
      <c r="X62" s="625"/>
      <c r="Z62"/>
      <c r="AA62"/>
      <c r="AB62"/>
    </row>
    <row r="63" spans="2:28" s="71" customFormat="1" ht="18" customHeight="1">
      <c r="B63" s="154"/>
      <c r="C63" s="1930"/>
      <c r="D63" s="1930"/>
      <c r="E63" s="1930"/>
      <c r="F63" s="1930"/>
      <c r="G63" s="1930"/>
      <c r="H63" s="1930"/>
      <c r="I63" s="1672"/>
      <c r="J63" s="1506"/>
      <c r="M63" s="1931"/>
      <c r="N63" s="1931"/>
      <c r="O63" s="1931"/>
      <c r="P63" s="1931"/>
      <c r="Q63" s="1931"/>
      <c r="R63" s="1942"/>
      <c r="X63" s="625"/>
      <c r="AA63" s="154"/>
    </row>
    <row r="64" spans="2:28" s="71" customFormat="1" ht="18" customHeight="1">
      <c r="C64" s="1930"/>
      <c r="D64" s="1930"/>
      <c r="E64" s="1930"/>
      <c r="F64" s="1930"/>
      <c r="G64" s="1930"/>
      <c r="H64" s="1930"/>
      <c r="I64" s="1673"/>
      <c r="J64" s="1506"/>
      <c r="M64" s="1931"/>
      <c r="N64" s="1931"/>
      <c r="O64" s="1931"/>
      <c r="P64" s="1931"/>
      <c r="Q64" s="1931"/>
      <c r="R64" s="1942"/>
      <c r="X64" s="625"/>
      <c r="Y64" s="154"/>
      <c r="Z64" s="795"/>
      <c r="AA64" s="154"/>
    </row>
    <row r="65" spans="3:27" ht="18" customHeight="1">
      <c r="C65" s="1930"/>
      <c r="D65" s="1930"/>
      <c r="E65" s="1930"/>
      <c r="F65" s="1930"/>
      <c r="G65" s="1930"/>
      <c r="H65" s="1930"/>
      <c r="I65" s="1673"/>
      <c r="J65" s="1655"/>
      <c r="M65" s="1941"/>
      <c r="N65" s="1941"/>
      <c r="O65" s="1941"/>
      <c r="P65" s="1941"/>
      <c r="Q65" s="1941"/>
      <c r="R65" s="1941"/>
      <c r="T65" s="149"/>
      <c r="Y65" s="149"/>
      <c r="AA65" s="149"/>
    </row>
    <row r="66" spans="3:27" ht="18" customHeight="1">
      <c r="C66" s="1938"/>
      <c r="D66" s="1938"/>
      <c r="E66" s="1938"/>
      <c r="F66" s="1938"/>
      <c r="G66" s="1938"/>
      <c r="H66" s="1938"/>
      <c r="I66" s="1674"/>
      <c r="J66" s="1655"/>
      <c r="M66" s="1941"/>
      <c r="N66" s="1941"/>
      <c r="O66" s="1941"/>
      <c r="P66" s="1941"/>
      <c r="Q66" s="1941"/>
      <c r="R66" s="1941"/>
      <c r="T66" s="149"/>
      <c r="AA66" s="149"/>
    </row>
    <row r="67" spans="3:27" ht="14.25" customHeight="1">
      <c r="C67" s="97"/>
      <c r="D67" s="97"/>
      <c r="E67" s="97"/>
      <c r="F67" s="97"/>
      <c r="G67" s="97"/>
      <c r="H67" s="97"/>
      <c r="I67" s="97"/>
      <c r="J67" s="97"/>
      <c r="K67" s="97"/>
      <c r="L67" s="97"/>
      <c r="M67" s="1937"/>
      <c r="N67" s="1937"/>
      <c r="O67" s="1937"/>
      <c r="P67" s="1937"/>
      <c r="Q67" s="1937"/>
      <c r="R67" s="1937"/>
    </row>
    <row r="68" spans="3:27" ht="14.25" customHeight="1">
      <c r="C68" s="1652"/>
      <c r="D68" s="1652"/>
      <c r="E68" s="1652"/>
      <c r="F68" s="1652"/>
      <c r="G68" s="1652"/>
      <c r="H68" s="1653"/>
      <c r="I68" s="1654"/>
      <c r="J68" s="1655"/>
      <c r="M68" s="1871"/>
      <c r="N68" s="1871"/>
      <c r="O68" s="2075"/>
      <c r="P68" s="2075"/>
      <c r="Q68" s="2075"/>
      <c r="R68" s="1871"/>
    </row>
    <row r="69" spans="3:27" ht="14.25" customHeight="1">
      <c r="C69" s="252"/>
      <c r="D69" s="252"/>
      <c r="E69" s="252"/>
      <c r="F69" s="252"/>
      <c r="G69" s="252"/>
      <c r="H69" s="1654"/>
      <c r="I69" s="1654"/>
      <c r="P69" s="149"/>
      <c r="T69" s="1872"/>
    </row>
    <row r="70" spans="3:27" ht="14.25" customHeight="1">
      <c r="C70" s="1652"/>
      <c r="D70" s="1652"/>
      <c r="E70" s="1652"/>
      <c r="F70" s="1652"/>
      <c r="G70" s="1652"/>
      <c r="H70" s="1652"/>
      <c r="I70" s="1652"/>
      <c r="T70" s="149"/>
    </row>
    <row r="72" spans="3:27" ht="14.25" customHeight="1">
      <c r="T72" s="149"/>
    </row>
    <row r="74" spans="3:27" ht="14.25" customHeight="1">
      <c r="O74" s="149"/>
    </row>
  </sheetData>
  <sheetProtection algorithmName="SHA-512" hashValue="LsXMzPSNfK82PzmQzG69Eu6CPVgwfxRWeiuWfTDU4WTYTajfRxSQeQ+trM/+R1IxlckNnQWZuXLcDaZPe29FUA==" saltValue="t452mvFNF8yjhPnmcaaK0w==" spinCount="100000" sheet="1" objects="1" scenarios="1" selectLockedCells="1"/>
  <scenarios current="0" show="0">
    <scenario name="Nullstellung sVA" count="20" user="Jörn Hauß" comment="Erstellt von Hauß am 14.07.2022_x000a_Modifiziert von Hauß am 14.07.2022_x000a_Modifiziert von Jörn Hauß am 16.07.2022_x000a_Modifiziert von Hauß am 26.07.2022_x000a_Modifiziert von Jörn Hauß am 13.08.2022_x000a_Modifiziert von Hauß am 08.11.2022_x000a_Modifiziert von Jörn Hauß am 10.10">
      <inputCells r="H3" val="^"/>
      <inputCells r="D4" val="" numFmtId="14"/>
      <inputCells r="I4" val=""/>
      <inputCells r="H27" val=""/>
      <inputCells r="H28" val=""/>
      <inputCells r="H29" val="" numFmtId="10"/>
      <inputCells r="H32" val=""/>
      <inputCells r="H36" val=""/>
      <inputCells r="C16" val="bAV (1)"/>
      <inputCells r="F16" val="1" numFmtId="10"/>
      <inputCells r="E16" val="" numFmtId="8"/>
      <inputCells r="C17" val="bAV (2)"/>
      <inputCells r="F17" val="1" numFmtId="10"/>
      <inputCells r="E17" val=""/>
      <inputCells r="C18" val="bAV (3)"/>
      <inputCells r="F18" val="1" numFmtId="10"/>
      <inputCells r="E18" val=""/>
      <inputCells r="C19" val="bAV (4)"/>
      <inputCells r="F19" val="1" numFmtId="10"/>
      <inputCells r="E19" val=""/>
    </scenario>
  </scenarios>
  <dataConsolidate/>
  <mergeCells count="46">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s>
  <conditionalFormatting sqref="B22:B23">
    <cfRule type="expression" dxfId="220" priority="2">
      <formula>sVA_Privat=FALSE</formula>
    </cfRule>
  </conditionalFormatting>
  <conditionalFormatting sqref="C16 E16:I16">
    <cfRule type="expression" dxfId="219" priority="11">
      <formula>$Y$30=1</formula>
    </cfRule>
  </conditionalFormatting>
  <conditionalFormatting sqref="C17 E17:I17 X30">
    <cfRule type="expression" dxfId="218" priority="1634">
      <formula>$Y$30=2</formula>
    </cfRule>
  </conditionalFormatting>
  <conditionalFormatting sqref="C18 E18:I18 Y30:AC30 X31">
    <cfRule type="expression" dxfId="217" priority="1640">
      <formula>$Y$30=3</formula>
    </cfRule>
  </conditionalFormatting>
  <conditionalFormatting sqref="C19 E19:I19 Y31:AC31 X32">
    <cfRule type="expression" dxfId="216" priority="1643">
      <formula>$Y$30=4</formula>
    </cfRule>
  </conditionalFormatting>
  <conditionalFormatting sqref="C21">
    <cfRule type="expression" dxfId="215" priority="2323">
      <formula>AND(H21&gt;0,COUNT($E$16:$E$19&gt;1))</formula>
    </cfRule>
  </conditionalFormatting>
  <conditionalFormatting sqref="C22 F22:H22 C23:I23">
    <cfRule type="expression" dxfId="214" priority="3">
      <formula>sVA_Privat=FALSE</formula>
    </cfRule>
  </conditionalFormatting>
  <conditionalFormatting sqref="C38">
    <cfRule type="expression" dxfId="213" priority="2329">
      <formula>AND($E$4+$I$21+$H$29&gt;0,$I$36&gt;$I$37)</formula>
    </cfRule>
    <cfRule type="expression" dxfId="212" priority="2330">
      <formula>AND($E$4+$I$21+$H$29&gt;0,$I$36&lt;=$I$37)</formula>
    </cfRule>
  </conditionalFormatting>
  <conditionalFormatting sqref="C42:R42">
    <cfRule type="expression" dxfId="211" priority="2281">
      <formula>AND(FB_Aktiv,COUNT($E$16:$E$19)&gt;1)</formula>
    </cfRule>
  </conditionalFormatting>
  <conditionalFormatting sqref="D4">
    <cfRule type="expression" dxfId="210" priority="57">
      <formula>AND(D4="",E4="")</formula>
    </cfRule>
  </conditionalFormatting>
  <conditionalFormatting sqref="E16:E19">
    <cfRule type="expression" dxfId="208" priority="32">
      <formula>E16=0</formula>
    </cfRule>
  </conditionalFormatting>
  <conditionalFormatting sqref="E20">
    <cfRule type="expression" dxfId="207" priority="2378">
      <formula>E20&gt;I8</formula>
    </cfRule>
  </conditionalFormatting>
  <conditionalFormatting sqref="E23">
    <cfRule type="expression" dxfId="206" priority="5">
      <formula>AND(sVA_Privat,$E$23="")</formula>
    </cfRule>
  </conditionalFormatting>
  <conditionalFormatting sqref="F16:F19">
    <cfRule type="expression" dxfId="205" priority="1646">
      <formula>Z28</formula>
    </cfRule>
  </conditionalFormatting>
  <conditionalFormatting sqref="G13">
    <cfRule type="expression" dxfId="204" priority="2379">
      <formula>$E$20&lt;=$I$8</formula>
    </cfRule>
  </conditionalFormatting>
  <conditionalFormatting sqref="G23">
    <cfRule type="expression" dxfId="203" priority="4">
      <formula>AND(sVA_Privat,$E$23&gt;0,$G$23=0)</formula>
    </cfRule>
  </conditionalFormatting>
  <conditionalFormatting sqref="H24:H26">
    <cfRule type="expression" dxfId="202" priority="42">
      <formula>sVA_Privat</formula>
    </cfRule>
  </conditionalFormatting>
  <conditionalFormatting sqref="I8">
    <cfRule type="expression" dxfId="201" priority="7">
      <formula>$E$20&gt;$I$8</formula>
    </cfRule>
  </conditionalFormatting>
  <conditionalFormatting sqref="I21">
    <cfRule type="expression" dxfId="200" priority="2282">
      <formula>E20=0</formula>
    </cfRule>
  </conditionalFormatting>
  <conditionalFormatting sqref="J22:J23">
    <cfRule type="expression" dxfId="199" priority="1">
      <formula>sVA_Privat=FALSE</formula>
    </cfRule>
  </conditionalFormatting>
  <conditionalFormatting sqref="Y29:AC29">
    <cfRule type="expression" dxfId="198"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8:G8" r:id="rId4" display="https://www.bmas.de/SharedDocs/Downloads/DE/Gesetze/Regierungsentwuerfe/reg-sozialversicherungsrechengroessen-verordnung-2024.pdf?__blob=publicationFile&amp;v=2" xr:uid="{8FE05CA8-9B50-4D63-B50E-54D24CD497D4}"/>
    <hyperlink ref="C25:D25" r:id="rId5" display="https://www.gesetze-im-internet.de/sgb_11/__55.html" xr:uid="{8C65136F-0A2A-4C5B-9AF7-AE9CB9423B51}"/>
  </hyperlinks>
  <printOptions horizontalCentered="1"/>
  <pageMargins left="0.11811023622047245" right="0.11811023622047245" top="0.78740157480314965" bottom="0.78740157480314965" header="0.31496062992125984" footer="0.31496062992125984"/>
  <pageSetup paperSize="9" scale="62"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1886209" r:id="rId9" name="Check Box 1">
              <controlPr defaultSize="0" autoFill="0" autoLine="0" autoPict="0">
                <anchor moveWithCells="1">
                  <from>
                    <xdr:col>6</xdr:col>
                    <xdr:colOff>114300</xdr:colOff>
                    <xdr:row>32</xdr:row>
                    <xdr:rowOff>28575</xdr:rowOff>
                  </from>
                  <to>
                    <xdr:col>6</xdr:col>
                    <xdr:colOff>866775</xdr:colOff>
                    <xdr:row>32</xdr:row>
                    <xdr:rowOff>219075</xdr:rowOff>
                  </to>
                </anchor>
              </controlPr>
            </control>
          </mc:Choice>
        </mc:AlternateContent>
        <mc:AlternateContent xmlns:mc="http://schemas.openxmlformats.org/markup-compatibility/2006">
          <mc:Choice Requires="x14">
            <control shapeId="1886210" r:id="rId10" name="Check Box 2">
              <controlPr defaultSize="0" print="0" autoFill="0" autoLine="0" autoPict="0">
                <anchor moveWithCells="1">
                  <from>
                    <xdr:col>5</xdr:col>
                    <xdr:colOff>219075</xdr:colOff>
                    <xdr:row>23</xdr:row>
                    <xdr:rowOff>28575</xdr:rowOff>
                  </from>
                  <to>
                    <xdr:col>6</xdr:col>
                    <xdr:colOff>1028700</xdr:colOff>
                    <xdr:row>25</xdr:row>
                    <xdr:rowOff>219075</xdr:rowOff>
                  </to>
                </anchor>
              </controlPr>
            </control>
          </mc:Choice>
        </mc:AlternateContent>
        <mc:AlternateContent xmlns:mc="http://schemas.openxmlformats.org/markup-compatibility/2006">
          <mc:Choice Requires="x14">
            <control shapeId="1886215" r:id="rId11" name="Drop Down 7">
              <controlPr defaultSize="0" autoLine="0" autoPict="0">
                <anchor moveWithCells="1">
                  <from>
                    <xdr:col>4</xdr:col>
                    <xdr:colOff>790575</xdr:colOff>
                    <xdr:row>24</xdr:row>
                    <xdr:rowOff>28575</xdr:rowOff>
                  </from>
                  <to>
                    <xdr:col>5</xdr:col>
                    <xdr:colOff>180975</xdr:colOff>
                    <xdr:row>24</xdr:row>
                    <xdr:rowOff>219075</xdr:rowOff>
                  </to>
                </anchor>
              </controlPr>
            </control>
          </mc:Choice>
        </mc:AlternateContent>
        <mc:AlternateContent xmlns:mc="http://schemas.openxmlformats.org/markup-compatibility/2006">
          <mc:Choice Requires="x14">
            <control shapeId="1886219" r:id="rId12" name="Option Button 11">
              <controlPr defaultSize="0" autoFill="0" autoLine="0" autoPict="0">
                <anchor moveWithCells="1">
                  <from>
                    <xdr:col>2</xdr:col>
                    <xdr:colOff>38100</xdr:colOff>
                    <xdr:row>15</xdr:row>
                    <xdr:rowOff>28575</xdr:rowOff>
                  </from>
                  <to>
                    <xdr:col>2</xdr:col>
                    <xdr:colOff>333375</xdr:colOff>
                    <xdr:row>16</xdr:row>
                    <xdr:rowOff>28575</xdr:rowOff>
                  </to>
                </anchor>
              </controlPr>
            </control>
          </mc:Choice>
        </mc:AlternateContent>
        <mc:AlternateContent xmlns:mc="http://schemas.openxmlformats.org/markup-compatibility/2006">
          <mc:Choice Requires="x14">
            <control shapeId="1886220" r:id="rId13" name="Option Button 12">
              <controlPr defaultSize="0" autoFill="0" autoLine="0" autoPict="0">
                <anchor moveWithCells="1">
                  <from>
                    <xdr:col>2</xdr:col>
                    <xdr:colOff>38100</xdr:colOff>
                    <xdr:row>16</xdr:row>
                    <xdr:rowOff>28575</xdr:rowOff>
                  </from>
                  <to>
                    <xdr:col>2</xdr:col>
                    <xdr:colOff>333375</xdr:colOff>
                    <xdr:row>17</xdr:row>
                    <xdr:rowOff>28575</xdr:rowOff>
                  </to>
                </anchor>
              </controlPr>
            </control>
          </mc:Choice>
        </mc:AlternateContent>
        <mc:AlternateContent xmlns:mc="http://schemas.openxmlformats.org/markup-compatibility/2006">
          <mc:Choice Requires="x14">
            <control shapeId="1886221" r:id="rId14" name="Option Button 13">
              <controlPr defaultSize="0" autoFill="0" autoLine="0" autoPict="0">
                <anchor moveWithCells="1">
                  <from>
                    <xdr:col>2</xdr:col>
                    <xdr:colOff>38100</xdr:colOff>
                    <xdr:row>17</xdr:row>
                    <xdr:rowOff>28575</xdr:rowOff>
                  </from>
                  <to>
                    <xdr:col>2</xdr:col>
                    <xdr:colOff>333375</xdr:colOff>
                    <xdr:row>18</xdr:row>
                    <xdr:rowOff>0</xdr:rowOff>
                  </to>
                </anchor>
              </controlPr>
            </control>
          </mc:Choice>
        </mc:AlternateContent>
        <mc:AlternateContent xmlns:mc="http://schemas.openxmlformats.org/markup-compatibility/2006">
          <mc:Choice Requires="x14">
            <control shapeId="1886222" r:id="rId15" name="Option Button 14">
              <controlPr defaultSize="0" autoFill="0" autoLine="0" autoPict="0">
                <anchor moveWithCells="1">
                  <from>
                    <xdr:col>2</xdr:col>
                    <xdr:colOff>38100</xdr:colOff>
                    <xdr:row>18</xdr:row>
                    <xdr:rowOff>0</xdr:rowOff>
                  </from>
                  <to>
                    <xdr:col>2</xdr:col>
                    <xdr:colOff>333375</xdr:colOff>
                    <xdr:row>19</xdr:row>
                    <xdr:rowOff>0</xdr:rowOff>
                  </to>
                </anchor>
              </controlPr>
            </control>
          </mc:Choice>
        </mc:AlternateContent>
        <mc:AlternateContent xmlns:mc="http://schemas.openxmlformats.org/markup-compatibility/2006">
          <mc:Choice Requires="x14">
            <control shapeId="1886375" r:id="rId16" name="Check Box 167">
              <controlPr defaultSize="0" autoFill="0" autoLine="0" autoPict="0">
                <anchor moveWithCells="1">
                  <from>
                    <xdr:col>5</xdr:col>
                    <xdr:colOff>28575</xdr:colOff>
                    <xdr:row>15</xdr:row>
                    <xdr:rowOff>28575</xdr:rowOff>
                  </from>
                  <to>
                    <xdr:col>5</xdr:col>
                    <xdr:colOff>295275</xdr:colOff>
                    <xdr:row>16</xdr:row>
                    <xdr:rowOff>0</xdr:rowOff>
                  </to>
                </anchor>
              </controlPr>
            </control>
          </mc:Choice>
        </mc:AlternateContent>
        <mc:AlternateContent xmlns:mc="http://schemas.openxmlformats.org/markup-compatibility/2006">
          <mc:Choice Requires="x14">
            <control shapeId="1886376" r:id="rId17" name="Check Box 168">
              <controlPr defaultSize="0" autoFill="0" autoLine="0" autoPict="0">
                <anchor moveWithCells="1">
                  <from>
                    <xdr:col>5</xdr:col>
                    <xdr:colOff>28575</xdr:colOff>
                    <xdr:row>16</xdr:row>
                    <xdr:rowOff>28575</xdr:rowOff>
                  </from>
                  <to>
                    <xdr:col>5</xdr:col>
                    <xdr:colOff>295275</xdr:colOff>
                    <xdr:row>17</xdr:row>
                    <xdr:rowOff>0</xdr:rowOff>
                  </to>
                </anchor>
              </controlPr>
            </control>
          </mc:Choice>
        </mc:AlternateContent>
        <mc:AlternateContent xmlns:mc="http://schemas.openxmlformats.org/markup-compatibility/2006">
          <mc:Choice Requires="x14">
            <control shapeId="1886377" r:id="rId18" name="Check Box 169">
              <controlPr defaultSize="0" autoFill="0" autoLine="0" autoPict="0">
                <anchor moveWithCells="1">
                  <from>
                    <xdr:col>5</xdr:col>
                    <xdr:colOff>28575</xdr:colOff>
                    <xdr:row>17</xdr:row>
                    <xdr:rowOff>28575</xdr:rowOff>
                  </from>
                  <to>
                    <xdr:col>5</xdr:col>
                    <xdr:colOff>295275</xdr:colOff>
                    <xdr:row>18</xdr:row>
                    <xdr:rowOff>0</xdr:rowOff>
                  </to>
                </anchor>
              </controlPr>
            </control>
          </mc:Choice>
        </mc:AlternateContent>
        <mc:AlternateContent xmlns:mc="http://schemas.openxmlformats.org/markup-compatibility/2006">
          <mc:Choice Requires="x14">
            <control shapeId="1886378" r:id="rId19" name="Check Box 170">
              <controlPr defaultSize="0" autoFill="0" autoLine="0" autoPict="0">
                <anchor moveWithCells="1">
                  <from>
                    <xdr:col>5</xdr:col>
                    <xdr:colOff>28575</xdr:colOff>
                    <xdr:row>18</xdr:row>
                    <xdr:rowOff>28575</xdr:rowOff>
                  </from>
                  <to>
                    <xdr:col>5</xdr:col>
                    <xdr:colOff>295275</xdr:colOff>
                    <xdr:row>19</xdr:row>
                    <xdr:rowOff>0</xdr:rowOff>
                  </to>
                </anchor>
              </controlPr>
            </control>
          </mc:Choice>
        </mc:AlternateContent>
        <mc:AlternateContent xmlns:mc="http://schemas.openxmlformats.org/markup-compatibility/2006">
          <mc:Choice Requires="x14">
            <control shapeId="1886379" r:id="rId20" name="Check Box 171">
              <controlPr defaultSize="0" print="0" autoFill="0" autoLine="0" autoPict="0">
                <anchor moveWithCells="1">
                  <from>
                    <xdr:col>2</xdr:col>
                    <xdr:colOff>28575</xdr:colOff>
                    <xdr:row>22</xdr:row>
                    <xdr:rowOff>28575</xdr:rowOff>
                  </from>
                  <to>
                    <xdr:col>2</xdr:col>
                    <xdr:colOff>1362075</xdr:colOff>
                    <xdr:row>22</xdr:row>
                    <xdr:rowOff>219075</xdr:rowOff>
                  </to>
                </anchor>
              </controlPr>
            </control>
          </mc:Choice>
        </mc:AlternateContent>
        <mc:AlternateContent xmlns:mc="http://schemas.openxmlformats.org/markup-compatibility/2006">
          <mc:Choice Requires="x14">
            <control shapeId="1886389" r:id="rId21" name="Check Box 181">
              <controlPr defaultSize="0" autoFill="0" autoLine="0" autoPict="0">
                <anchor moveWithCells="1">
                  <from>
                    <xdr:col>2</xdr:col>
                    <xdr:colOff>28575</xdr:colOff>
                    <xdr:row>8</xdr:row>
                    <xdr:rowOff>28575</xdr:rowOff>
                  </from>
                  <to>
                    <xdr:col>2</xdr:col>
                    <xdr:colOff>257175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Zeros="0" topLeftCell="A2" zoomScale="85" zoomScaleNormal="85" workbookViewId="0">
      <selection activeCell="J15" sqref="J15:M15"/>
    </sheetView>
  </sheetViews>
  <sheetFormatPr baseColWidth="10" defaultColWidth="0" defaultRowHeight="14.25" zeroHeight="1"/>
  <cols>
    <col min="1" max="1" width="2.5" style="1698" customWidth="1"/>
    <col min="2" max="2" width="31" style="71" customWidth="1"/>
    <col min="3" max="3" width="7.125" style="71" customWidth="1"/>
    <col min="4" max="6" width="8" style="71" customWidth="1"/>
    <col min="7" max="7" width="9.625" style="71" customWidth="1"/>
    <col min="8" max="8" width="11.5" style="71" customWidth="1"/>
    <col min="9" max="9" width="12.125" style="71" customWidth="1"/>
    <col min="10" max="11" width="7.625" style="71" customWidth="1"/>
    <col min="12" max="13" width="8.625" style="71" customWidth="1"/>
    <col min="14" max="14" width="1.125" style="71" customWidth="1"/>
    <col min="15" max="15" width="51.5" style="71" customWidth="1"/>
    <col min="16" max="17" width="13.125" style="71" customWidth="1"/>
    <col min="18" max="18" width="2.625" style="71" customWidth="1"/>
    <col min="19" max="19" width="11" style="71" hidden="1" customWidth="1"/>
    <col min="20" max="20" width="11.125" style="71" hidden="1" customWidth="1"/>
    <col min="21" max="21" width="19.125" style="71" hidden="1" customWidth="1"/>
    <col min="22" max="25" width="15.625" style="71" hidden="1" customWidth="1"/>
    <col min="26" max="26" width="8.125" style="71" hidden="1" customWidth="1"/>
    <col min="27" max="27" width="14.625" style="71" hidden="1" customWidth="1"/>
    <col min="28" max="29" width="11.125" style="71" hidden="1" customWidth="1"/>
    <col min="30" max="30" width="11" style="71" hidden="1" customWidth="1"/>
    <col min="31" max="31" width="12.625" style="71" hidden="1" customWidth="1"/>
    <col min="32" max="33" width="11.625" style="71" hidden="1" customWidth="1"/>
    <col min="34" max="37" width="11" style="71" hidden="1" customWidth="1"/>
    <col min="38" max="38" width="11.625" style="71" hidden="1" customWidth="1"/>
    <col min="39" max="16384" width="11" style="71" hidden="1"/>
  </cols>
  <sheetData>
    <row r="1" spans="1:36" ht="16.350000000000001" customHeight="1" thickBot="1">
      <c r="A1" s="1694"/>
      <c r="B1" s="978"/>
      <c r="C1" s="978"/>
      <c r="D1" s="978"/>
      <c r="E1" s="978"/>
      <c r="F1" s="978"/>
      <c r="G1" s="978"/>
      <c r="H1" s="978"/>
      <c r="I1" s="978"/>
      <c r="J1" s="978"/>
      <c r="K1" s="978"/>
      <c r="L1" s="978"/>
      <c r="M1" s="978"/>
      <c r="N1" s="978"/>
      <c r="O1" s="978"/>
      <c r="P1" s="978"/>
      <c r="Q1" s="978"/>
      <c r="R1" s="978"/>
    </row>
    <row r="2" spans="1:36" s="128" customFormat="1" ht="18.75" customHeight="1" thickTop="1">
      <c r="A2" s="1693">
        <v>2</v>
      </c>
      <c r="B2" s="3310" t="s">
        <v>1785</v>
      </c>
      <c r="C2" s="3311"/>
      <c r="D2" s="3311"/>
      <c r="E2" s="3311"/>
      <c r="F2" s="3311"/>
      <c r="G2" s="3311"/>
      <c r="H2" s="3311"/>
      <c r="I2" s="3312"/>
      <c r="J2" s="3300" t="s">
        <v>533</v>
      </c>
      <c r="K2" s="3301"/>
      <c r="L2" s="3301"/>
      <c r="M2" s="3302"/>
      <c r="N2" s="978"/>
      <c r="O2" s="3276" t="str">
        <f>"D. Versorgungsertrag der ausgleichsberechtigten Person"&amp;CHAR(10)&amp;"bei Begründung der Versorgung in "&amp;IF(ZVAusglBerAlternativ=1,"ges. RV (DRV) ",J28)</f>
        <v xml:space="preserve">D. Versorgungsertrag der ausgleichsberechtigten Person
bei Begründung der Versorgung in ges. RV (DRV) </v>
      </c>
      <c r="P2" s="3277"/>
      <c r="Q2" s="3278"/>
      <c r="R2" s="1510">
        <v>2</v>
      </c>
      <c r="U2" s="128" t="s">
        <v>1738</v>
      </c>
    </row>
    <row r="3" spans="1:36" s="128" customFormat="1" ht="31.5" customHeight="1">
      <c r="A3" s="1510">
        <f>+A2+1</f>
        <v>3</v>
      </c>
      <c r="B3" s="3313"/>
      <c r="C3" s="3314"/>
      <c r="D3" s="3314"/>
      <c r="E3" s="3314"/>
      <c r="F3" s="3314"/>
      <c r="G3" s="3314"/>
      <c r="H3" s="3314"/>
      <c r="I3" s="3315"/>
      <c r="J3" s="3209" t="str">
        <f>IF(J4="d",IF(X6&gt;0,X6,"")&amp;IF(X5&gt;0,"    "&amp;X5,""),"")</f>
        <v/>
      </c>
      <c r="K3" s="3210"/>
      <c r="L3" s="3210"/>
      <c r="M3" s="3211"/>
      <c r="N3" s="978"/>
      <c r="O3" s="3279"/>
      <c r="P3" s="3280"/>
      <c r="Q3" s="3281"/>
      <c r="R3" s="1510">
        <f>+R2+1</f>
        <v>3</v>
      </c>
    </row>
    <row r="4" spans="1:36" s="128" customFormat="1" ht="16.350000000000001" customHeight="1">
      <c r="A4" s="1510">
        <f t="shared" ref="A4:A44" si="0">+A3+1</f>
        <v>4</v>
      </c>
      <c r="B4" s="3303" t="s">
        <v>1648</v>
      </c>
      <c r="C4" s="2435"/>
      <c r="D4" s="2435"/>
      <c r="E4" s="2435"/>
      <c r="F4" s="2435"/>
      <c r="G4" s="2435"/>
      <c r="H4" s="2435"/>
      <c r="I4" s="2435"/>
      <c r="J4" s="3293" t="s">
        <v>219</v>
      </c>
      <c r="K4" s="3294"/>
      <c r="L4" s="3294"/>
      <c r="M4" s="3304"/>
      <c r="N4" s="978"/>
      <c r="O4" s="1704" t="s">
        <v>1728</v>
      </c>
      <c r="P4" s="1700" t="s">
        <v>386</v>
      </c>
      <c r="Q4" s="1705"/>
      <c r="R4" s="1510">
        <f t="shared" ref="R4:R44" si="1">+R3+1</f>
        <v>4</v>
      </c>
      <c r="U4" s="128" t="e">
        <f ca="1">"{[(1 + "&amp;TEXT(J13,"0,00%")&amp;")^"&amp;TEXT(V36,"0,0")&amp;" - 1] / "&amp;TEXT(J13,"0,00%")&amp;"}"&amp;" x "&amp;TEXT(I7,"0,00")&amp;IF(J12=0,""," x (1 + "&amp;TEXT(J12,"0,00%")&amp;")^"&amp;TEXT(W36,"0,0"))&amp;" x 12  ="</f>
        <v>#VALUE!</v>
      </c>
    </row>
    <row r="5" spans="1:36" s="128" customFormat="1" ht="16.350000000000001" customHeight="1">
      <c r="A5" s="1510">
        <f t="shared" si="0"/>
        <v>5</v>
      </c>
      <c r="B5" s="3305" t="str">
        <f>IF(AND(J5="",I5&gt;0),"Geburtstag der ausglpfl. Person aus 'Fallerfassung' übernommen","Geburtstag der ausgleichspflichtigen Person eingeben:")</f>
        <v>Geburtstag der ausglpfl. Person aus 'Fallerfassung' übernommen</v>
      </c>
      <c r="C5" s="3306"/>
      <c r="D5" s="3306"/>
      <c r="E5" s="3306"/>
      <c r="F5" s="3306"/>
      <c r="G5" s="3306"/>
      <c r="H5" s="3306"/>
      <c r="I5" s="1676" t="str">
        <f>IFERROR(IF(J5&gt;0,J5,CHOOSE(Y10,Dat_GebDat_M,Dat_GebDatF)),"")</f>
        <v/>
      </c>
      <c r="J5" s="3293"/>
      <c r="K5" s="3294"/>
      <c r="L5" s="3294"/>
      <c r="M5" s="3304"/>
      <c r="N5" s="978"/>
      <c r="O5" s="1704" t="s">
        <v>1697</v>
      </c>
      <c r="P5" s="1701"/>
      <c r="Q5" s="1442" t="str">
        <f>IFERROR(IF(P5&gt;0,P5,CHOOSE(Y11,Dat_GebDat_M,Dat_GebDat_F,"")),"")</f>
        <v/>
      </c>
      <c r="R5" s="1510">
        <f t="shared" si="1"/>
        <v>5</v>
      </c>
      <c r="X5" s="1661" t="str">
        <f>TEXT(Dat_GebDat_F,"TT.MM.JJJJ")&amp;IF(Dat_GebDat_F&lt;&gt;""," "&amp;weiblich&amp;"(w)","")</f>
        <v/>
      </c>
    </row>
    <row r="6" spans="1:36" s="128" customFormat="1" ht="16.350000000000001" customHeight="1">
      <c r="A6" s="1510">
        <f t="shared" si="0"/>
        <v>6</v>
      </c>
      <c r="B6" s="1963" t="s">
        <v>1882</v>
      </c>
      <c r="C6" s="1964"/>
      <c r="D6" s="1964"/>
      <c r="E6" s="1964"/>
      <c r="F6" s="3293"/>
      <c r="G6" s="3294"/>
      <c r="H6" s="3316" t="str">
        <f>IF(F6&gt;0,F6,IF(Dat_EzE&gt;0,Dat_EzE,""))</f>
        <v/>
      </c>
      <c r="I6" s="3317"/>
      <c r="J6" s="1965"/>
      <c r="K6" s="1966"/>
      <c r="L6" s="1967" t="s">
        <v>1717</v>
      </c>
      <c r="M6" s="1768" t="str">
        <f>V6</f>
        <v/>
      </c>
      <c r="N6" s="978"/>
      <c r="O6" s="3295" t="str">
        <f>IFERROR("Alter im EzE: "&amp;TEXT(IFERROR(IF(H6="","",ROUND(YEARFRAC(Q5,H6,0),2)),""),"0,00")&amp;" und im Abfindungszeitpunkt:","")</f>
        <v>Alter im EzE:  und im Abfindungszeitpunkt:</v>
      </c>
      <c r="P6" s="3296"/>
      <c r="Q6" s="1706" t="str">
        <f ca="1">IFERROR(IF(J14="","",ROUND(YEARFRAC(Q5,J14,0),2)),"")</f>
        <v/>
      </c>
      <c r="R6" s="1510">
        <f t="shared" si="1"/>
        <v>6</v>
      </c>
      <c r="U6" s="1803" t="s">
        <v>300</v>
      </c>
      <c r="V6" s="1804" t="str">
        <f>IFERROR(IF(H6="","",ROUND(YEARFRAC(I5,H6,0),2)),"")</f>
        <v/>
      </c>
      <c r="X6" s="1661" t="str">
        <f>TEXT(Dat_GebDat_M,"TT.MM.JJJJ")&amp;IF(Dat_GebDat_M&lt;&gt;""," "&amp;männlich&amp;"(m)","")</f>
        <v/>
      </c>
    </row>
    <row r="7" spans="1:36" s="128" customFormat="1" ht="22.35" customHeight="1" thickBot="1">
      <c r="A7" s="1510">
        <f t="shared" si="0"/>
        <v>7</v>
      </c>
      <c r="B7" s="3197" t="s">
        <v>1712</v>
      </c>
      <c r="C7" s="3198"/>
      <c r="D7" s="3198"/>
      <c r="E7" s="3198"/>
      <c r="F7" s="3198"/>
      <c r="G7" s="3198"/>
      <c r="H7" s="3199"/>
      <c r="I7" s="2247">
        <f ca="1">IF(J7&gt;0,J7,+'sVA § 20'!I36)</f>
        <v>0</v>
      </c>
      <c r="J7" s="3297"/>
      <c r="K7" s="3298"/>
      <c r="L7" s="3298"/>
      <c r="M7" s="3299"/>
      <c r="N7" s="978"/>
      <c r="O7" s="1707" t="s">
        <v>1678</v>
      </c>
      <c r="P7" s="1702"/>
      <c r="Q7" s="1708" t="str">
        <f ca="1">IFERROR(IF(P7=0,L32,P7),"")</f>
        <v/>
      </c>
      <c r="R7" s="1510">
        <f t="shared" si="1"/>
        <v>7</v>
      </c>
      <c r="X7" s="1661"/>
    </row>
    <row r="8" spans="1:36" s="128" customFormat="1" ht="20.100000000000001" customHeight="1">
      <c r="A8" s="1510">
        <f t="shared" si="0"/>
        <v>8</v>
      </c>
      <c r="B8" s="3287" t="s">
        <v>1704</v>
      </c>
      <c r="C8" s="3288"/>
      <c r="D8" s="3288"/>
      <c r="E8" s="3288"/>
      <c r="F8" s="3288"/>
      <c r="G8" s="3288"/>
      <c r="H8" s="3288"/>
      <c r="I8" s="3288"/>
      <c r="J8" s="3288"/>
      <c r="K8" s="3288"/>
      <c r="L8" s="3288"/>
      <c r="M8" s="3289"/>
      <c r="N8" s="978"/>
      <c r="O8" s="1704" t="s">
        <v>1737</v>
      </c>
      <c r="P8" s="1721"/>
      <c r="Q8" s="1709" t="str">
        <f ca="1">IFERROR(IF(P8&gt;0,P8,IF(L28&gt;0,L28,L26)),"")</f>
        <v/>
      </c>
      <c r="R8" s="1510">
        <f t="shared" si="1"/>
        <v>8</v>
      </c>
    </row>
    <row r="9" spans="1:36" s="128" customFormat="1" ht="16.350000000000001" customHeight="1">
      <c r="A9" s="1510">
        <f t="shared" si="0"/>
        <v>9</v>
      </c>
      <c r="B9" s="3237" t="s">
        <v>1708</v>
      </c>
      <c r="C9" s="3223"/>
      <c r="D9" s="3223"/>
      <c r="E9" s="3223"/>
      <c r="F9" s="3223"/>
      <c r="G9" s="3223"/>
      <c r="H9" s="3223"/>
      <c r="I9" s="1683" t="str">
        <f>IFERROR(ROUND(IFERROR(IF(J9="",AbF_ReEintritt,J9),""),2),"")</f>
        <v/>
      </c>
      <c r="J9" s="3307"/>
      <c r="K9" s="3308"/>
      <c r="L9" s="3308"/>
      <c r="M9" s="3309"/>
      <c r="N9" s="978"/>
      <c r="O9" s="1704" t="s">
        <v>1698</v>
      </c>
      <c r="P9" s="366"/>
      <c r="Q9" s="1710" t="str">
        <f>IFERROR(ROUND(IF(P9&gt;0,P9,V22),2),"")</f>
        <v/>
      </c>
      <c r="R9" s="1510">
        <f t="shared" si="1"/>
        <v>9</v>
      </c>
      <c r="U9" s="66"/>
      <c r="V9" s="66" t="s">
        <v>1691</v>
      </c>
      <c r="W9" s="66" t="s">
        <v>320</v>
      </c>
      <c r="X9" s="66"/>
      <c r="Y9" s="66"/>
      <c r="Z9" s="66" t="s">
        <v>1688</v>
      </c>
    </row>
    <row r="10" spans="1:36" s="128" customFormat="1" ht="16.350000000000001" customHeight="1">
      <c r="A10" s="1510">
        <f t="shared" si="0"/>
        <v>10</v>
      </c>
      <c r="B10" s="3237" t="s">
        <v>1709</v>
      </c>
      <c r="C10" s="3223"/>
      <c r="D10" s="3223"/>
      <c r="E10" s="3223"/>
      <c r="F10" s="3223"/>
      <c r="G10" s="3223"/>
      <c r="H10" s="3223"/>
      <c r="I10" s="3224"/>
      <c r="J10" s="3238">
        <v>1</v>
      </c>
      <c r="K10" s="3239"/>
      <c r="L10" s="3239"/>
      <c r="M10" s="3240"/>
      <c r="N10" s="978"/>
      <c r="O10" s="3228" t="s">
        <v>259</v>
      </c>
      <c r="P10" s="3229"/>
      <c r="Q10" s="1711" t="str">
        <f ca="1">IFERROR(IF(Q9&lt;Q6,0,Q9-Q6),"")</f>
        <v/>
      </c>
      <c r="R10" s="1510">
        <f t="shared" si="1"/>
        <v>10</v>
      </c>
      <c r="U10" s="66" t="s">
        <v>193</v>
      </c>
      <c r="V10" s="619">
        <f ca="1">VLOOKUP(J14,BilMoG10,16)/100</f>
        <v>1.95E-2</v>
      </c>
      <c r="W10" s="619" t="e">
        <f>VLOOKUP(F6,BilMoG10,16)/100</f>
        <v>#N/A</v>
      </c>
      <c r="X10" s="66" t="s">
        <v>1686</v>
      </c>
      <c r="Y10" s="66">
        <f>IF(J4="m",1,IF(J4="w",2,3))</f>
        <v>1</v>
      </c>
      <c r="Z10" s="66" t="s">
        <v>219</v>
      </c>
    </row>
    <row r="11" spans="1:36" s="128" customFormat="1" ht="16.350000000000001" customHeight="1">
      <c r="A11" s="1510">
        <f t="shared" si="0"/>
        <v>11</v>
      </c>
      <c r="B11" s="3237" t="s">
        <v>1710</v>
      </c>
      <c r="C11" s="3223"/>
      <c r="D11" s="3223"/>
      <c r="E11" s="3223"/>
      <c r="F11" s="3223"/>
      <c r="G11" s="3223"/>
      <c r="H11" s="3223"/>
      <c r="I11" s="3224"/>
      <c r="J11" s="3238">
        <v>0.6</v>
      </c>
      <c r="K11" s="3239"/>
      <c r="L11" s="3239"/>
      <c r="M11" s="3240"/>
      <c r="N11" s="978"/>
      <c r="O11" s="3228" t="s">
        <v>258</v>
      </c>
      <c r="P11" s="3229"/>
      <c r="Q11" s="1710" t="str">
        <f ca="1">IFERROR(ROUND(VLOOKUP(ROUND(IF(Q6&lt;Q9,Q9,Q6),0),CHOOSE(Y11,Lebenserwartung_M_V2,Lebenserwartung_F_V2,Lebenserwartung_N_V2),YEAR(Q5)+IF(MONTH(Q5)&gt;6,1,0)-1900+2),2),"")</f>
        <v/>
      </c>
      <c r="R11" s="1510">
        <f t="shared" si="1"/>
        <v>11</v>
      </c>
      <c r="U11" s="66" t="s">
        <v>192</v>
      </c>
      <c r="V11" s="619">
        <f ca="1">VLOOKUP(J14,BilmoGZins,16)/100</f>
        <v>2.0199999999999999E-2</v>
      </c>
      <c r="W11" s="619" t="e">
        <f>VLOOKUP(F6,BilmoGZins,16)/100</f>
        <v>#N/A</v>
      </c>
      <c r="X11" s="66" t="s">
        <v>1687</v>
      </c>
      <c r="Y11" s="66">
        <f>IF(P4="m",1,IF(P4="w",2,3))</f>
        <v>3</v>
      </c>
      <c r="Z11" s="66" t="s">
        <v>265</v>
      </c>
    </row>
    <row r="12" spans="1:36" s="128" customFormat="1" ht="16.350000000000001" customHeight="1">
      <c r="A12" s="1510">
        <f t="shared" si="0"/>
        <v>12</v>
      </c>
      <c r="B12" s="3222" t="s">
        <v>260</v>
      </c>
      <c r="C12" s="3223"/>
      <c r="D12" s="3223"/>
      <c r="E12" s="3223"/>
      <c r="F12" s="3223"/>
      <c r="G12" s="3223"/>
      <c r="H12" s="3223"/>
      <c r="I12" s="3224"/>
      <c r="J12" s="3225"/>
      <c r="K12" s="3226"/>
      <c r="L12" s="3226"/>
      <c r="M12" s="3227"/>
      <c r="N12" s="978"/>
      <c r="O12" s="3228" t="s">
        <v>1676</v>
      </c>
      <c r="P12" s="3229"/>
      <c r="Q12" s="1712" t="str">
        <f ca="1">IFERROR(-FV(IF(Abf_VollDyn&gt;0,Abf_VollDyn,Abf_AwDyn),Q10,,Q7),"")</f>
        <v/>
      </c>
      <c r="R12" s="1510">
        <f t="shared" si="1"/>
        <v>12</v>
      </c>
      <c r="S12" s="1765"/>
      <c r="U12" s="66"/>
      <c r="V12" s="619"/>
      <c r="W12" s="66"/>
      <c r="X12" s="66"/>
      <c r="Y12" s="66"/>
      <c r="Z12" s="66" t="s">
        <v>386</v>
      </c>
    </row>
    <row r="13" spans="1:36" s="128" customFormat="1" ht="16.350000000000001" customHeight="1" thickBot="1">
      <c r="A13" s="1510">
        <f t="shared" si="0"/>
        <v>13</v>
      </c>
      <c r="B13" s="3230" t="s">
        <v>1711</v>
      </c>
      <c r="C13" s="3067"/>
      <c r="D13" s="3067"/>
      <c r="E13" s="3067"/>
      <c r="F13" s="3067"/>
      <c r="G13" s="3067"/>
      <c r="H13" s="3067"/>
      <c r="I13" s="3231"/>
      <c r="J13" s="3232"/>
      <c r="K13" s="3233"/>
      <c r="L13" s="3233"/>
      <c r="M13" s="3234"/>
      <c r="N13" s="978"/>
      <c r="O13" s="3235" t="str">
        <f ca="1">IFERROR("Barwert der Zielversorgung "&amp;IF(Q13&gt;Q8,TEXT(Q13/Q8-1,"0,00%")&amp;" &gt; ",IF(Q13&lt;Q8,TEXT(ABS(Q13/Q8-1),"0,00%")&amp;" &lt; ",""))&amp;"als Abfindungsbetrag","")</f>
        <v>Barwert der Zielversorgung als Abfindungsbetrag</v>
      </c>
      <c r="P13" s="3236"/>
      <c r="Q13" s="1713" t="str">
        <f ca="1">IFERROR(ROUND(AE39,0),"")</f>
        <v/>
      </c>
      <c r="R13" s="1510">
        <f t="shared" si="1"/>
        <v>13</v>
      </c>
      <c r="U13" s="66" t="s">
        <v>1690</v>
      </c>
      <c r="V13" s="1158" t="e">
        <f ca="1">+Q8/J30*M30</f>
        <v>#VALUE!</v>
      </c>
      <c r="W13" s="66"/>
      <c r="X13" s="66"/>
      <c r="Y13" s="66"/>
      <c r="Z13" s="66"/>
    </row>
    <row r="14" spans="1:36" s="128" customFormat="1" ht="29.25" customHeight="1" thickTop="1" thickBot="1">
      <c r="A14" s="1510">
        <f t="shared" si="0"/>
        <v>14</v>
      </c>
      <c r="B14" s="3290" t="str">
        <f>"Datum der Abfindungsberechnung eingeben: "&amp;"(Daten bis "&amp;TEXT(Enddatum,"TT.MM.JJJJ")&amp;" verfügbar)"</f>
        <v>Datum der Abfindungsberechnung eingeben: (Daten bis 31.03.2025 verfügbar)</v>
      </c>
      <c r="C14" s="3291"/>
      <c r="D14" s="3291"/>
      <c r="E14" s="3291"/>
      <c r="F14" s="3291"/>
      <c r="G14" s="3291"/>
      <c r="H14" s="3291"/>
      <c r="I14" s="3292"/>
      <c r="J14" s="3284">
        <f ca="1">TODAY()</f>
        <v>45748</v>
      </c>
      <c r="K14" s="3285"/>
      <c r="L14" s="3285"/>
      <c r="M14" s="3286"/>
      <c r="N14" s="978"/>
      <c r="O14" s="3282" t="str">
        <f ca="1">IFERROR("∑ der über "&amp;TEXT(V39,"0,00")&amp;" Jahre erwartbaren Renten der ausglber. Person in Zielversorgung:","")</f>
        <v/>
      </c>
      <c r="P14" s="3283"/>
      <c r="Q14" s="1772" t="str">
        <f ca="1">IFERROR(+AF39,"")</f>
        <v/>
      </c>
      <c r="R14" s="1510">
        <f t="shared" si="1"/>
        <v>14</v>
      </c>
      <c r="U14" s="66" t="s">
        <v>1723</v>
      </c>
      <c r="V14" s="619">
        <f>_xlfn.IFNA(_xlfn.IFNA(VLOOKUP(F6,BilMoG10,16)/100,VLOOKUP(F6,BilmoGZins,16)/100),6%)</f>
        <v>0.06</v>
      </c>
      <c r="W14" s="66"/>
      <c r="X14" s="66"/>
      <c r="Y14" s="66"/>
      <c r="Z14" s="66"/>
    </row>
    <row r="15" spans="1:36" s="128" customFormat="1" ht="32.1" customHeight="1" thickTop="1" thickBot="1">
      <c r="A15" s="1510">
        <f t="shared" si="0"/>
        <v>15</v>
      </c>
      <c r="B15" s="3217" t="str">
        <f ca="1">IFERROR("ReZins zum Abfindungszeitpunkt ("&amp;TEXT(J14,"TT.MM.JJJJ")&amp;") eingeben:"&amp;CHAR(10)&amp;"BilMoG-10: "&amp;TEXT(V10,"0,00%")&amp;" / BilMoG-7: "&amp;TEXT(V11,"0,00%")&amp;" / "&amp;AA15&amp;"10-Jahres-Inflation: "&amp;TEXT(Z21,"0,00%"),"Geben Sie den zur Berechnung gewünschten Rechnungszins ein:")</f>
        <v>ReZins zum Abfindungszeitpunkt (01.04.2025) eingeben:
BilMoG-10: 1,95% / BilMoG-7: 2,02% / Ø10-Jahres-Inflation: -100,00%</v>
      </c>
      <c r="C15" s="3218"/>
      <c r="D15" s="3218"/>
      <c r="E15" s="3218"/>
      <c r="F15" s="3218"/>
      <c r="G15" s="3218"/>
      <c r="H15" s="3218"/>
      <c r="I15" s="3218"/>
      <c r="J15" s="3219"/>
      <c r="K15" s="3220"/>
      <c r="L15" s="3220"/>
      <c r="M15" s="3221"/>
      <c r="N15" s="976"/>
      <c r="O15" s="3214" t="s">
        <v>1797</v>
      </c>
      <c r="P15" s="3215"/>
      <c r="Q15" s="3216"/>
      <c r="R15" s="1510">
        <f t="shared" si="1"/>
        <v>15</v>
      </c>
      <c r="U15" s="128" t="s">
        <v>1869</v>
      </c>
      <c r="V15" s="1769" t="str">
        <f ca="1">IFERROR(IF(J14="","",ROUND(YEARFRAC(I5,J14,0),2)),"")</f>
        <v/>
      </c>
      <c r="AA15" s="128" t="s">
        <v>829</v>
      </c>
      <c r="AH15" s="1802" t="s">
        <v>1806</v>
      </c>
      <c r="AI15" s="976"/>
      <c r="AJ15" s="976"/>
    </row>
    <row r="16" spans="1:36" s="128" customFormat="1" ht="32.1" customHeight="1" thickTop="1">
      <c r="A16" s="1510">
        <f t="shared" si="0"/>
        <v>16</v>
      </c>
      <c r="B16" s="3378" t="str">
        <f>"ehezeitl. Ausgleichswert unter Beachtung der Dynamik errechnet "&amp;CHAR(10)&amp;" Alternative Eingabe:"</f>
        <v>ehezeitl. Ausgleichswert unter Beachtung der Dynamik errechnet 
 Alternative Eingabe:</v>
      </c>
      <c r="C16" s="3379"/>
      <c r="D16" s="3379"/>
      <c r="E16" s="3379"/>
      <c r="F16" s="3379"/>
      <c r="G16" s="3379"/>
      <c r="H16" s="3380"/>
      <c r="I16" s="1816"/>
      <c r="J16" s="3381" t="str">
        <f ca="1">IFERROR(IF(I16&gt;0,I16,AA22),"")</f>
        <v/>
      </c>
      <c r="K16" s="3382"/>
      <c r="L16" s="3382"/>
      <c r="M16" s="3383"/>
      <c r="N16" s="1695"/>
      <c r="O16" s="3407" t="s">
        <v>1792</v>
      </c>
      <c r="P16" s="3354"/>
      <c r="Q16" s="3408"/>
      <c r="R16" s="1510">
        <f t="shared" si="1"/>
        <v>16</v>
      </c>
      <c r="T16" s="802"/>
      <c r="U16" s="1692"/>
      <c r="V16" s="1692" t="s">
        <v>1722</v>
      </c>
      <c r="W16" s="1692" t="s">
        <v>1724</v>
      </c>
      <c r="X16" s="1692" t="s">
        <v>62</v>
      </c>
      <c r="Y16" s="1692" t="s">
        <v>21</v>
      </c>
      <c r="Z16" s="802"/>
      <c r="AA16" s="802"/>
      <c r="AB16" s="802"/>
      <c r="AC16" s="802"/>
      <c r="AD16" s="802"/>
      <c r="AE16" s="802"/>
      <c r="AH16" s="3353" t="s">
        <v>1804</v>
      </c>
      <c r="AI16" s="3353"/>
      <c r="AJ16" s="3353"/>
    </row>
    <row r="17" spans="1:36" s="128" customFormat="1" ht="16.350000000000001" customHeight="1">
      <c r="A17" s="1510">
        <f t="shared" si="0"/>
        <v>17</v>
      </c>
      <c r="B17" s="3384" t="s">
        <v>1696</v>
      </c>
      <c r="C17" s="3385"/>
      <c r="D17" s="3386"/>
      <c r="E17" s="3387" t="s">
        <v>1870</v>
      </c>
      <c r="F17" s="3386"/>
      <c r="G17" s="402"/>
      <c r="H17" s="1716" t="s">
        <v>1871</v>
      </c>
      <c r="I17" s="1151">
        <v>0.186</v>
      </c>
      <c r="J17" s="3368" t="str">
        <f ca="1">IF(AND(G17&gt;0,I17&gt;0),"entw. E oder %!",IFERROR(IF(I17&gt;0,-J16*I17,-G17),""))</f>
        <v/>
      </c>
      <c r="K17" s="3369"/>
      <c r="L17" s="3369"/>
      <c r="M17" s="3370"/>
      <c r="N17" s="978"/>
      <c r="O17" s="3407"/>
      <c r="P17" s="3354"/>
      <c r="Q17" s="3408"/>
      <c r="R17" s="1510">
        <f t="shared" si="1"/>
        <v>17</v>
      </c>
      <c r="T17" s="1661">
        <v>45260</v>
      </c>
      <c r="U17" s="66" t="s">
        <v>1721</v>
      </c>
      <c r="V17" s="1158" t="e">
        <f ca="1">-FV(V14,YEARFRAC(F6,T17,0),,L26)</f>
        <v>#VALUE!</v>
      </c>
      <c r="W17" s="1805" t="e">
        <f>VLOOKUP(F6,Umrechnungsfaktoren_BeitraginEP,2)</f>
        <v>#N/A</v>
      </c>
      <c r="X17" s="1806" t="e">
        <f ca="1">+V17*W17</f>
        <v>#VALUE!</v>
      </c>
      <c r="Y17" s="1158" t="e">
        <f ca="1">X17*M30</f>
        <v>#VALUE!</v>
      </c>
      <c r="AH17" s="3353"/>
      <c r="AI17" s="3353"/>
      <c r="AJ17" s="3353"/>
    </row>
    <row r="18" spans="1:36" s="128" customFormat="1" ht="16.350000000000001" customHeight="1">
      <c r="A18" s="1510">
        <f t="shared" si="0"/>
        <v>18</v>
      </c>
      <c r="B18" s="3303" t="str">
        <f>"./. Steuern pauschal in %: "&amp;TEXT(I18,"0,00%")</f>
        <v>./. Steuern pauschal in %: 25,00%</v>
      </c>
      <c r="C18" s="2435"/>
      <c r="D18" s="2435"/>
      <c r="E18" s="2435"/>
      <c r="F18" s="2435"/>
      <c r="G18" s="2435"/>
      <c r="H18" s="2435"/>
      <c r="I18" s="1151">
        <v>0.25</v>
      </c>
      <c r="J18" s="3368" t="str">
        <f ca="1">IFERROR(-J16*I18,"")</f>
        <v/>
      </c>
      <c r="K18" s="3369"/>
      <c r="L18" s="3369"/>
      <c r="M18" s="3370"/>
      <c r="N18" s="978"/>
      <c r="O18" s="3407"/>
      <c r="P18" s="3354"/>
      <c r="Q18" s="3408"/>
      <c r="R18" s="1510">
        <f t="shared" si="1"/>
        <v>18</v>
      </c>
      <c r="U18" s="66"/>
      <c r="V18" s="66"/>
      <c r="W18" s="66"/>
      <c r="X18" s="66"/>
      <c r="Y18" s="66"/>
      <c r="AA18" s="3361" t="s">
        <v>1665</v>
      </c>
      <c r="AB18" s="3361" t="s">
        <v>1807</v>
      </c>
      <c r="AH18" s="3353"/>
      <c r="AI18" s="3353"/>
      <c r="AJ18" s="3353"/>
    </row>
    <row r="19" spans="1:36" s="128" customFormat="1" ht="16.350000000000001" customHeight="1" thickBot="1">
      <c r="A19" s="1510">
        <f t="shared" si="0"/>
        <v>19</v>
      </c>
      <c r="B19" s="3402" t="s">
        <v>1783</v>
      </c>
      <c r="C19" s="3403"/>
      <c r="D19" s="3403"/>
      <c r="E19" s="3403"/>
      <c r="F19" s="3403"/>
      <c r="G19" s="3403"/>
      <c r="H19" s="3404"/>
      <c r="I19" s="1771"/>
      <c r="J19" s="3357" t="str">
        <f ca="1">IFERROR(IF(I19&gt;0,I19,+J16+J18+J17),"")</f>
        <v/>
      </c>
      <c r="K19" s="3358"/>
      <c r="L19" s="3358"/>
      <c r="M19" s="3359"/>
      <c r="N19" s="978"/>
      <c r="O19" s="3407"/>
      <c r="P19" s="3354"/>
      <c r="Q19" s="3408"/>
      <c r="R19" s="1510">
        <f t="shared" si="1"/>
        <v>19</v>
      </c>
      <c r="U19" s="66"/>
      <c r="V19" s="66" t="s">
        <v>620</v>
      </c>
      <c r="W19" s="66" t="s">
        <v>1685</v>
      </c>
      <c r="X19" s="66" t="s">
        <v>1661</v>
      </c>
      <c r="Y19" s="66" t="s">
        <v>1662</v>
      </c>
      <c r="Z19" s="66" t="s">
        <v>1663</v>
      </c>
      <c r="AA19" s="3388"/>
      <c r="AB19" s="3388"/>
      <c r="AC19" s="66"/>
      <c r="AH19" s="3354" t="s">
        <v>1803</v>
      </c>
      <c r="AI19" s="3354"/>
      <c r="AJ19" s="3354"/>
    </row>
    <row r="20" spans="1:36" s="128" customFormat="1" ht="15.75" customHeight="1" thickTop="1">
      <c r="A20" s="1510">
        <f t="shared" si="0"/>
        <v>20</v>
      </c>
      <c r="B20" s="3396" t="s">
        <v>1784</v>
      </c>
      <c r="C20" s="3397"/>
      <c r="D20" s="3397"/>
      <c r="E20" s="3397"/>
      <c r="F20" s="3397"/>
      <c r="G20" s="3397"/>
      <c r="H20" s="3397"/>
      <c r="I20" s="3398"/>
      <c r="J20" s="3185" t="str">
        <f ca="1">"Barwertberechnung zum "&amp;TEXT(J14,"TT.MM.JJJJ")</f>
        <v>Barwertberechnung zum 01.04.2025</v>
      </c>
      <c r="K20" s="3186"/>
      <c r="L20" s="3186"/>
      <c r="M20" s="3187"/>
      <c r="N20" s="978"/>
      <c r="O20" s="3191" t="s">
        <v>1937</v>
      </c>
      <c r="P20" s="3192"/>
      <c r="Q20" s="3193"/>
      <c r="R20" s="1510">
        <f t="shared" si="1"/>
        <v>20</v>
      </c>
      <c r="U20" s="66"/>
      <c r="V20" s="66"/>
      <c r="W20" s="66"/>
      <c r="X20" s="66"/>
      <c r="Y20" s="66"/>
      <c r="Z20" s="66"/>
      <c r="AA20" s="66"/>
      <c r="AB20" s="66"/>
      <c r="AC20" s="66"/>
      <c r="AH20" s="3354"/>
      <c r="AI20" s="3354"/>
      <c r="AJ20" s="3354"/>
    </row>
    <row r="21" spans="1:36" s="128" customFormat="1" ht="15.75" customHeight="1">
      <c r="A21" s="1510">
        <f t="shared" si="0"/>
        <v>21</v>
      </c>
      <c r="B21" s="3399"/>
      <c r="C21" s="3400"/>
      <c r="D21" s="3400"/>
      <c r="E21" s="3400"/>
      <c r="F21" s="3400"/>
      <c r="G21" s="3400"/>
      <c r="H21" s="3400"/>
      <c r="I21" s="3401"/>
      <c r="J21" s="3188"/>
      <c r="K21" s="3189"/>
      <c r="L21" s="3189"/>
      <c r="M21" s="3190"/>
      <c r="N21" s="978"/>
      <c r="O21" s="3191"/>
      <c r="P21" s="3192"/>
      <c r="Q21" s="3193"/>
      <c r="R21" s="1510">
        <f t="shared" si="1"/>
        <v>21</v>
      </c>
      <c r="U21" s="66" t="s">
        <v>1675</v>
      </c>
      <c r="V21" s="1807" t="e">
        <f>IF(J9="",VLOOKUP(YEAR(I5),Renteneintrittstabelle,2)/12+65,J9)</f>
        <v>#VALUE!</v>
      </c>
      <c r="W21" s="66">
        <f ca="1">VLOOKUP(J14,VPI,2)</f>
        <v>0</v>
      </c>
      <c r="X21" s="778">
        <f ca="1">DATE(YEAR(J14)-10,MONTH(J14),DAY(J14))</f>
        <v>42095</v>
      </c>
      <c r="Y21" s="66">
        <f ca="1">VLOOKUP(X21,VPI,2)</f>
        <v>100.2</v>
      </c>
      <c r="Z21" s="619">
        <f ca="1">_xlfn.RRI(10,Y21,W21)</f>
        <v>-1</v>
      </c>
      <c r="AA21" s="1808" t="e">
        <f ca="1">ROUND(IF(V15&lt;I9,0,ABS(I9-V15)),2)</f>
        <v>#VALUE!</v>
      </c>
      <c r="AB21" s="1808">
        <f ca="1">ROUND(IF(AND(V15&gt;M6,I9&gt;M6),V15-M6,0),2)</f>
        <v>0</v>
      </c>
      <c r="AC21" s="66"/>
      <c r="AH21" s="3354"/>
      <c r="AI21" s="3354"/>
      <c r="AJ21" s="3354"/>
    </row>
    <row r="22" spans="1:36" s="128" customFormat="1" ht="16.350000000000001" hidden="1" customHeight="1">
      <c r="A22" s="1510">
        <f t="shared" si="0"/>
        <v>22</v>
      </c>
      <c r="B22" s="1770" t="s">
        <v>1655</v>
      </c>
      <c r="C22" s="3229" t="s">
        <v>1725</v>
      </c>
      <c r="D22" s="3229"/>
      <c r="E22" s="1720" t="s">
        <v>1657</v>
      </c>
      <c r="F22" s="1678">
        <v>14</v>
      </c>
      <c r="G22" s="3229" t="s">
        <v>1656</v>
      </c>
      <c r="H22" s="3229"/>
      <c r="I22" s="366" t="s">
        <v>14</v>
      </c>
      <c r="J22" s="3366"/>
      <c r="K22" s="3367"/>
      <c r="L22" s="1890" t="s">
        <v>1671</v>
      </c>
      <c r="M22" s="1891" t="str">
        <f ca="1">IFERROR(+V26,"")</f>
        <v/>
      </c>
      <c r="N22" s="978"/>
      <c r="O22" s="3191"/>
      <c r="P22" s="3192"/>
      <c r="Q22" s="3193"/>
      <c r="R22" s="1510">
        <f t="shared" si="1"/>
        <v>22</v>
      </c>
      <c r="U22" s="1131" t="s">
        <v>1674</v>
      </c>
      <c r="V22" s="1809" t="e">
        <f>IF(P9&gt;0,P9,65+VLOOKUP(YEAR(Q5),Renteneintrittstabelle,2)/12)</f>
        <v>#VALUE!</v>
      </c>
      <c r="W22" s="1131"/>
      <c r="X22" s="1810"/>
      <c r="Y22" s="1131"/>
      <c r="Z22" s="1644"/>
      <c r="AA22" s="1131" t="e">
        <f ca="1">ROUND(AB22*(1+J13)^Abfindung_L_Zeit,2)</f>
        <v>#VALUE!</v>
      </c>
      <c r="AB22" s="1811">
        <f ca="1">ROUND(I7*(1+J12)^Abfindung_A_Zeit,2)</f>
        <v>0</v>
      </c>
      <c r="AC22" s="1131"/>
      <c r="AD22" s="140"/>
      <c r="AE22" s="140"/>
    </row>
    <row r="23" spans="1:36" s="128" customFormat="1" ht="16.350000000000001" hidden="1" customHeight="1">
      <c r="A23" s="1510">
        <f t="shared" si="0"/>
        <v>23</v>
      </c>
      <c r="B23" s="1770" t="s">
        <v>1677</v>
      </c>
      <c r="C23" s="3229" t="s">
        <v>1659</v>
      </c>
      <c r="D23" s="3229"/>
      <c r="E23" s="1720" t="s">
        <v>1657</v>
      </c>
      <c r="F23" s="1678">
        <v>21</v>
      </c>
      <c r="G23" s="3229" t="s">
        <v>1656</v>
      </c>
      <c r="H23" s="3229"/>
      <c r="I23" s="366" t="s">
        <v>15</v>
      </c>
      <c r="J23" s="3366"/>
      <c r="K23" s="3367"/>
      <c r="L23" s="1890" t="s">
        <v>1672</v>
      </c>
      <c r="M23" s="1891" t="str">
        <f ca="1">IFERROR(+V28,"")</f>
        <v/>
      </c>
      <c r="N23" s="1520"/>
      <c r="O23" s="3191"/>
      <c r="P23" s="3192"/>
      <c r="Q23" s="3193"/>
      <c r="R23" s="1510">
        <f t="shared" si="1"/>
        <v>23</v>
      </c>
      <c r="U23" s="66" t="s">
        <v>1684</v>
      </c>
      <c r="V23" s="1808" t="e">
        <f>65+VLOOKUP(YEAR(I5),Renteneintrittstabelle,2)/12</f>
        <v>#VALUE!</v>
      </c>
      <c r="W23" s="66"/>
      <c r="X23" s="66"/>
      <c r="Y23" s="66"/>
      <c r="Z23" s="66"/>
      <c r="AA23" s="66"/>
      <c r="AB23" s="66"/>
      <c r="AC23" s="66"/>
    </row>
    <row r="24" spans="1:36" s="128" customFormat="1" ht="16.350000000000001" hidden="1" customHeight="1">
      <c r="A24" s="1510">
        <f t="shared" si="0"/>
        <v>24</v>
      </c>
      <c r="B24" s="1770" t="s">
        <v>1655</v>
      </c>
      <c r="C24" s="3229" t="s">
        <v>1660</v>
      </c>
      <c r="D24" s="3229"/>
      <c r="E24" s="1720" t="s">
        <v>1657</v>
      </c>
      <c r="F24" s="1678">
        <v>29</v>
      </c>
      <c r="G24" s="3229" t="s">
        <v>1656</v>
      </c>
      <c r="H24" s="3229"/>
      <c r="I24" s="366" t="s">
        <v>1658</v>
      </c>
      <c r="J24" s="3366"/>
      <c r="K24" s="3367"/>
      <c r="L24" s="1890" t="s">
        <v>1673</v>
      </c>
      <c r="M24" s="1891" t="str">
        <f ca="1">IFERROR(+V29,"")</f>
        <v/>
      </c>
      <c r="N24" s="978"/>
      <c r="O24" s="3191"/>
      <c r="P24" s="3192"/>
      <c r="Q24" s="3193"/>
      <c r="R24" s="1510">
        <f t="shared" si="1"/>
        <v>24</v>
      </c>
      <c r="U24" s="3362" t="s">
        <v>1689</v>
      </c>
      <c r="V24" s="3363"/>
      <c r="X24" s="3389" t="s">
        <v>1734</v>
      </c>
      <c r="Y24" s="3389"/>
    </row>
    <row r="25" spans="1:36" s="128" customFormat="1" ht="21.75" customHeight="1" thickBot="1">
      <c r="A25" s="1510">
        <f t="shared" si="0"/>
        <v>25</v>
      </c>
      <c r="B25" s="3409" t="s">
        <v>1650</v>
      </c>
      <c r="C25" s="3410"/>
      <c r="D25" s="3410"/>
      <c r="E25" s="3410"/>
      <c r="F25" s="3410"/>
      <c r="G25" s="3410"/>
      <c r="H25" s="3410"/>
      <c r="I25" s="3410"/>
      <c r="J25" s="3347"/>
      <c r="K25" s="3348"/>
      <c r="L25" s="1892" t="s">
        <v>1667</v>
      </c>
      <c r="M25" s="1893">
        <f ca="1">IFERROR(ROUND(SUM(M22:M24),3),"")</f>
        <v>0</v>
      </c>
      <c r="N25" s="978"/>
      <c r="O25" s="3194"/>
      <c r="P25" s="3195"/>
      <c r="Q25" s="3196"/>
      <c r="R25" s="1510">
        <f t="shared" si="1"/>
        <v>25</v>
      </c>
      <c r="V25" s="128" t="s">
        <v>1692</v>
      </c>
      <c r="W25" s="140" t="s">
        <v>320</v>
      </c>
      <c r="X25" s="66" t="s">
        <v>171</v>
      </c>
      <c r="Y25" s="66" t="s">
        <v>1735</v>
      </c>
      <c r="Z25" s="140"/>
      <c r="AA25" s="140"/>
      <c r="AB25" s="140"/>
      <c r="AC25" s="140"/>
      <c r="AD25" s="140"/>
      <c r="AE25" s="140"/>
    </row>
    <row r="26" spans="1:36" s="128" customFormat="1" ht="26.1" customHeight="1" thickTop="1" thickBot="1">
      <c r="A26" s="1510">
        <f t="shared" si="0"/>
        <v>26</v>
      </c>
      <c r="B26" s="3393" t="str">
        <f ca="1">"Abfindungsbetrag (BW):"&amp;IF(J26&lt;&gt;"","(1) "&amp;TEXT(J19,"#.##0,00")&amp;" x 12 x "&amp;TEXT(J25,"0,000"),"")&amp;"   "&amp;IF(L26&gt;0,"(2) "&amp;TEXT(J19,"#.##0,00")&amp;" x 12 x "&amp;TEXT(M25,"0,000"),"")&amp;": "</f>
        <v xml:space="preserve">Abfindungsbetrag (BW):   (2)  x 12 x 0,000: </v>
      </c>
      <c r="C26" s="3394"/>
      <c r="D26" s="3394"/>
      <c r="E26" s="3394"/>
      <c r="F26" s="3394"/>
      <c r="G26" s="3394"/>
      <c r="H26" s="3394"/>
      <c r="I26" s="3395"/>
      <c r="J26" s="3364" t="str">
        <f ca="1">IFERROR(ROUND(+J25*J19*12,0),"")</f>
        <v/>
      </c>
      <c r="K26" s="3365"/>
      <c r="L26" s="3371" t="str">
        <f ca="1">IFERROR(ROUND(SUM(V26:V29)*J19*12,0),"")</f>
        <v/>
      </c>
      <c r="M26" s="3372"/>
      <c r="N26" s="1521"/>
      <c r="O26" s="3318" t="s">
        <v>1791</v>
      </c>
      <c r="P26" s="3319"/>
      <c r="Q26" s="3320"/>
      <c r="R26" s="1510">
        <f t="shared" si="1"/>
        <v>26</v>
      </c>
      <c r="U26" s="66" t="s">
        <v>1664</v>
      </c>
      <c r="V26" s="1812" t="e">
        <f ca="1">ROUND(Y36/(J19*12)*AD36,3)</f>
        <v>#VALUE!</v>
      </c>
      <c r="W26" s="140"/>
      <c r="X26" s="1131" t="str">
        <f ca="1">IF(J28&gt;0,J28,J26)</f>
        <v/>
      </c>
      <c r="Y26" s="1131" t="str">
        <f ca="1">IF(L28&gt;0,L28,L26)</f>
        <v/>
      </c>
      <c r="Z26" s="140"/>
      <c r="AA26" s="140"/>
      <c r="AB26" s="3360" t="e">
        <f ca="1">-PV(J15-2.6%,V37,L36*12)</f>
        <v>#VALUE!</v>
      </c>
      <c r="AC26" s="3361"/>
      <c r="AD26" s="140"/>
      <c r="AE26" s="140"/>
    </row>
    <row r="27" spans="1:36" s="128" customFormat="1" ht="16.350000000000001" customHeight="1" thickTop="1" thickBot="1">
      <c r="A27" s="1510">
        <f t="shared" si="0"/>
        <v>27</v>
      </c>
      <c r="B27" s="3204" t="str">
        <f ca="1">IFERROR("∑ erwartbarer Renten  in Quellversrg. über "&amp;TEXT(V36,"0,00")&amp;"Jahre:"&amp;U4&amp;" "&amp;TEXT(ROUND(V31,0),"#.##0")&amp;" oder pro Monat:"&amp;TEXT(S27/V36/12,"#.##0,00 €"),"")</f>
        <v/>
      </c>
      <c r="C27" s="3205"/>
      <c r="D27" s="3205"/>
      <c r="E27" s="3205"/>
      <c r="F27" s="3205"/>
      <c r="G27" s="3205"/>
      <c r="H27" s="3205"/>
      <c r="I27" s="3205"/>
      <c r="J27" s="3205"/>
      <c r="K27" s="3205"/>
      <c r="L27" s="3205"/>
      <c r="M27" s="3206"/>
      <c r="N27" s="1521"/>
      <c r="O27" s="3321"/>
      <c r="P27" s="3322"/>
      <c r="Q27" s="3323"/>
      <c r="R27" s="1510">
        <f t="shared" si="1"/>
        <v>27</v>
      </c>
      <c r="S27" s="3373" t="str">
        <f ca="1">IFERROR(ROUND(V31,0),"")</f>
        <v/>
      </c>
      <c r="T27" s="3374"/>
      <c r="U27" s="66"/>
      <c r="V27" s="1812"/>
      <c r="W27" s="140"/>
      <c r="X27" s="140"/>
      <c r="Y27" s="140"/>
      <c r="Z27" s="140"/>
      <c r="AA27" s="140"/>
      <c r="AB27" s="1813"/>
      <c r="AC27" s="140"/>
      <c r="AD27" s="140"/>
      <c r="AE27" s="140"/>
    </row>
    <row r="28" spans="1:36" s="128" customFormat="1" ht="21" customHeight="1" thickTop="1" thickBot="1">
      <c r="A28" s="1510">
        <f t="shared" si="0"/>
        <v>28</v>
      </c>
      <c r="B28" s="3349" t="s">
        <v>1786</v>
      </c>
      <c r="C28" s="3350"/>
      <c r="D28" s="3350"/>
      <c r="E28" s="3212"/>
      <c r="F28" s="3212"/>
      <c r="G28" s="3069" t="s">
        <v>1805</v>
      </c>
      <c r="H28" s="3069"/>
      <c r="I28" s="3213"/>
      <c r="J28" s="3375"/>
      <c r="K28" s="3376"/>
      <c r="L28" s="3376"/>
      <c r="M28" s="3377"/>
      <c r="N28" s="978"/>
      <c r="O28" s="3207" t="str">
        <f>"ehezeitl. Barwert der Versorgung im EzE bei Rechnungszins "&amp;TEXT(V14,"0,00%")&amp;":"</f>
        <v>ehezeitl. Barwert der Versorgung im EzE bei Rechnungszins 6,00%:</v>
      </c>
      <c r="P28" s="3208"/>
      <c r="Q28" s="1894" t="str">
        <f ca="1">IFERROR(AE43,"")</f>
        <v/>
      </c>
      <c r="R28" s="1510">
        <f t="shared" si="1"/>
        <v>28</v>
      </c>
      <c r="U28" s="66" t="s">
        <v>282</v>
      </c>
      <c r="V28" s="1812" t="e">
        <f ca="1">ROUND(V26*Z36,3)</f>
        <v>#VALUE!</v>
      </c>
      <c r="X28" s="128" t="s">
        <v>1730</v>
      </c>
    </row>
    <row r="29" spans="1:36" s="128" customFormat="1" ht="16.350000000000001" customHeight="1">
      <c r="A29" s="1510">
        <f t="shared" si="0"/>
        <v>29</v>
      </c>
      <c r="B29" s="1679" t="s">
        <v>1729</v>
      </c>
      <c r="C29" s="1699">
        <v>2.5999999999999999E-2</v>
      </c>
      <c r="D29" s="3392" t="s">
        <v>1699</v>
      </c>
      <c r="E29" s="3392"/>
      <c r="F29" s="3392"/>
      <c r="G29" s="1699">
        <v>2.5999999999999999E-2</v>
      </c>
      <c r="H29" s="3392" t="s">
        <v>1703</v>
      </c>
      <c r="I29" s="3392"/>
      <c r="J29" s="3351"/>
      <c r="K29" s="3351"/>
      <c r="L29" s="3351"/>
      <c r="M29" s="3352"/>
      <c r="N29" s="978"/>
      <c r="O29" s="3207" t="str">
        <f ca="1">"mit "&amp;TEXT(V14,"0,00%")&amp;" aufgezinster ehezeitlicher Barwert zum "&amp;TEXT(J14,"TT.MM.JJJ")&amp;": "</f>
        <v xml:space="preserve">mit 6,00% aufgezinster ehezeitlicher Barwert zum 01.04.2025: </v>
      </c>
      <c r="P29" s="3208"/>
      <c r="Q29" s="1894" t="str">
        <f ca="1">IFERROR(ROUND(+AI43/AH43,0),"")</f>
        <v/>
      </c>
      <c r="R29" s="1510">
        <f t="shared" si="1"/>
        <v>29</v>
      </c>
      <c r="U29" s="1459" t="s">
        <v>281</v>
      </c>
      <c r="V29" s="1814" t="e">
        <f ca="1">ROUND(V26*AA36,3)</f>
        <v>#VALUE!</v>
      </c>
      <c r="X29" s="1765"/>
      <c r="AC29" s="128">
        <f>20.36*12*500</f>
        <v>122160</v>
      </c>
    </row>
    <row r="30" spans="1:36" s="128" customFormat="1" ht="16.350000000000001" customHeight="1">
      <c r="A30" s="1510">
        <f t="shared" si="0"/>
        <v>30</v>
      </c>
      <c r="B30" s="1689" t="s">
        <v>1700</v>
      </c>
      <c r="C30" s="1680">
        <v>1</v>
      </c>
      <c r="D30" s="3405" t="s">
        <v>1702</v>
      </c>
      <c r="E30" s="3405"/>
      <c r="F30" s="3405"/>
      <c r="G30" s="1681">
        <v>0.55000000000000004</v>
      </c>
      <c r="H30" s="2892" t="s">
        <v>1701</v>
      </c>
      <c r="I30" s="2892"/>
      <c r="J30" s="3406">
        <f ca="1">IFERROR(VLOOKUP(J14,UmrechnungEP_Kap,2),"")</f>
        <v>9391.6980000000003</v>
      </c>
      <c r="K30" s="3406"/>
      <c r="L30" s="1690" t="s">
        <v>1726</v>
      </c>
      <c r="M30" s="1691">
        <f ca="1">IFERROR(VLOOKUP(J14,aktRW,2),"")</f>
        <v>39.32</v>
      </c>
      <c r="N30" s="978"/>
      <c r="O30" s="3207" t="s">
        <v>1787</v>
      </c>
      <c r="P30" s="3208"/>
      <c r="Q30" s="1895" t="str">
        <f ca="1">IFERROR(AH43,"")</f>
        <v/>
      </c>
      <c r="R30" s="1510">
        <f t="shared" si="1"/>
        <v>30</v>
      </c>
      <c r="U30" s="66"/>
      <c r="V30" s="66" t="s">
        <v>1731</v>
      </c>
      <c r="W30" s="66"/>
      <c r="X30" s="66" t="s">
        <v>1732</v>
      </c>
      <c r="Y30" s="66"/>
      <c r="Z30" s="128" t="s">
        <v>1733</v>
      </c>
      <c r="AA30" s="753" t="b">
        <v>0</v>
      </c>
    </row>
    <row r="31" spans="1:36" s="128" customFormat="1" ht="16.350000000000001" customHeight="1">
      <c r="A31" s="1510">
        <f t="shared" si="0"/>
        <v>31</v>
      </c>
      <c r="B31" s="3252" t="str">
        <f ca="1">"Versorgungserwerb in DRVin Entgeltpunkten(EP): "&amp;IF(X26&lt;&gt;"","(1) "&amp;TEXT(X26,"#.##0,00 €"),"")&amp;IF(AND(X26&gt;0,Y26&gt;0)," bzw. ","")&amp;IF(Y26&lt;&gt;0,"(2) "&amp;TEXT(Y26,"#.00,00"),"")&amp;" / "&amp;TEXT(J30,"#.##0,00 €")</f>
        <v>Versorgungserwerb in DRVin Entgeltpunkten(EP):  bzw. (2)  / 9.391,70 €</v>
      </c>
      <c r="C31" s="2435"/>
      <c r="D31" s="2435"/>
      <c r="E31" s="2435"/>
      <c r="F31" s="2435"/>
      <c r="G31" s="2435"/>
      <c r="H31" s="2435"/>
      <c r="I31" s="2435"/>
      <c r="J31" s="3200" t="str">
        <f ca="1">IFERROR(ROUND(IF(J28&gt;0,J28,J26)/J30,4),"")</f>
        <v/>
      </c>
      <c r="K31" s="3201"/>
      <c r="L31" s="3202" t="str">
        <f ca="1">IFERROR(ROUND(IF(L28&gt;0,L28,L26)/J30,4),"")</f>
        <v/>
      </c>
      <c r="M31" s="3203"/>
      <c r="N31" s="978"/>
      <c r="O31" s="3355" t="s">
        <v>1789</v>
      </c>
      <c r="P31" s="1896" t="s">
        <v>1790</v>
      </c>
      <c r="Q31" s="1897" t="s">
        <v>1788</v>
      </c>
      <c r="R31" s="1510">
        <f t="shared" si="1"/>
        <v>31</v>
      </c>
      <c r="U31" s="66" t="s">
        <v>1715</v>
      </c>
      <c r="V31" s="1158" t="e">
        <f ca="1">IF(J13=0,J16*V36*(1+J12)^W36*12,(((1+J13)^V36-1)/J13)*J16*(1+J12)^W36*12)/IF(Abf_HRIR_Ja,(1+Z36+AA36),1)</f>
        <v>#VALUE!</v>
      </c>
      <c r="W31" s="1703" t="e">
        <f ca="1">+V32/V31-1</f>
        <v>#VALUE!</v>
      </c>
      <c r="X31" s="1158" t="e">
        <f ca="1">+V31</f>
        <v>#VALUE!</v>
      </c>
      <c r="Y31" s="1703" t="e">
        <f ca="1">+X32/X31-1</f>
        <v>#VALUE!</v>
      </c>
    </row>
    <row r="32" spans="1:36" s="128" customFormat="1" ht="16.350000000000001" customHeight="1">
      <c r="A32" s="1510">
        <f t="shared" si="0"/>
        <v>32</v>
      </c>
      <c r="B32" s="3336" t="str">
        <f ca="1">IF(ZVAusglBerAlternativ=2,"Geben Sie den in der ZV erwartbaren Versorgungserwerb zum "&amp;TEXT(J14,"TT.MM.JJJJ")&amp;" ein:","Rentenerwerb im Berechnungszeitpunkt: "&amp;IF(J31&lt;&gt;"","(1) "&amp;TEXT(J31,"0,0000")&amp;"EP x "&amp;TEXT(M30,"0,00 €"),"")&amp;IF(L31&gt;0," // (2) "&amp;TEXT(L31,"0,0000")&amp;"EP x "&amp;TEXT(M30,"0,00 €"),""))</f>
        <v>Rentenerwerb im Berechnungszeitpunkt:  // (2) EP x 39,32 €</v>
      </c>
      <c r="C32" s="3337"/>
      <c r="D32" s="3337"/>
      <c r="E32" s="3337"/>
      <c r="F32" s="3337"/>
      <c r="G32" s="3337"/>
      <c r="H32" s="3338"/>
      <c r="I32" s="1677"/>
      <c r="J32" s="3334" t="str">
        <f ca="1">IFERROR(ROUND(IF(I32&gt;0,I32,+M30*J31),2),"")</f>
        <v/>
      </c>
      <c r="K32" s="3335"/>
      <c r="L32" s="3324" t="str">
        <f ca="1">IFERROR(ROUND(IF(I32&gt;0,I32,IF(L28&gt;0,L28/J30*M30,M30*L31)),2),"")</f>
        <v/>
      </c>
      <c r="M32" s="3325"/>
      <c r="N32" s="978"/>
      <c r="O32" s="3356"/>
      <c r="P32" s="1898"/>
      <c r="Q32" s="1899" t="str">
        <f ca="1">IFERROR(IF(P32&gt;0,P32,AI43),"")</f>
        <v/>
      </c>
      <c r="R32" s="1510">
        <f t="shared" si="1"/>
        <v>32</v>
      </c>
      <c r="U32" s="66" t="s">
        <v>1727</v>
      </c>
      <c r="V32" s="1158" t="e">
        <f ca="1">(((1+IF(Abf_VollDyn&gt;0,Abf_VollDyn,G29))^V37-1)/IF(Abf_VollDyn&gt;0,Abf_VollDyn,G29)*L36*(1+IF(Abf_VollDyn&gt;0,Abf_VollDyn,Abf_AwDyn))^W37*12)/IF(Abf_HRIR_Ja,(1+Z37+AA37),1)</f>
        <v>#VALUE!</v>
      </c>
      <c r="W32" s="1703"/>
      <c r="X32" s="1158" t="e">
        <f ca="1">(((1+IF(Abf_VollDyn&gt;0,Abf_VollDyn,G29))^V37-1)/IF(Abf_VollDyn&gt;0,Abf_VollDyn,G29))*J36*(1+IF(Abf_VollDyn&gt;0,Abf_VollDyn,Abf_AwDyn))^W37*12</f>
        <v>#VALUE!</v>
      </c>
      <c r="Y32" s="1703"/>
    </row>
    <row r="33" spans="1:38" s="128" customFormat="1" ht="16.350000000000001" customHeight="1">
      <c r="A33" s="1510">
        <f t="shared" si="0"/>
        <v>33</v>
      </c>
      <c r="B33" s="3252" t="s">
        <v>1736</v>
      </c>
      <c r="C33" s="2435"/>
      <c r="D33" s="2435"/>
      <c r="E33" s="2435"/>
      <c r="F33" s="2435"/>
      <c r="G33" s="2435"/>
      <c r="H33" s="2435"/>
      <c r="I33" s="1682"/>
      <c r="J33" s="3343" t="str">
        <f>IFERROR(ROUND(IF(I33&gt;0,I33,V23),2),"")</f>
        <v/>
      </c>
      <c r="K33" s="3344"/>
      <c r="L33" s="3332" t="str">
        <f>+J33</f>
        <v/>
      </c>
      <c r="M33" s="3333"/>
      <c r="N33" s="978"/>
      <c r="O33" s="3207" t="str">
        <f ca="1">"Versorgungserwerb aus Abfindung: "&amp;TEXT(Q32,"#.##0,00")&amp;" / "&amp;TEXT(J30,"#.##0,0000")&amp;":"</f>
        <v>Versorgungserwerb aus Abfindung:  / 9.391,6980:</v>
      </c>
      <c r="P33" s="3208"/>
      <c r="Q33" s="1900" t="str">
        <f ca="1">IFERROR(AJ43,"")</f>
        <v/>
      </c>
      <c r="R33" s="1510">
        <f t="shared" si="1"/>
        <v>33</v>
      </c>
      <c r="U33" s="128" t="s">
        <v>1714</v>
      </c>
      <c r="V33" s="753">
        <v>1</v>
      </c>
      <c r="W33" s="1517"/>
      <c r="Z33" s="1661"/>
    </row>
    <row r="34" spans="1:38" s="128" customFormat="1" ht="16.350000000000001" customHeight="1">
      <c r="A34" s="1510">
        <f t="shared" si="0"/>
        <v>34</v>
      </c>
      <c r="B34" s="3252" t="str">
        <f>"./. Kranken- und Pflegeversicherung in %: "&amp;TEXT(I34,"0,00%")</f>
        <v>./. Kranken- und Pflegeversicherung in %: 0,00%</v>
      </c>
      <c r="C34" s="2435"/>
      <c r="D34" s="2435"/>
      <c r="E34" s="2435"/>
      <c r="F34" s="2435"/>
      <c r="G34" s="2435"/>
      <c r="H34" s="2435"/>
      <c r="I34" s="432"/>
      <c r="J34" s="3334" t="str">
        <f ca="1">IFERROR(-I34*J32,"")</f>
        <v/>
      </c>
      <c r="K34" s="3335"/>
      <c r="L34" s="3324" t="str">
        <f ca="1">IFERROR(-I34*L32,"")</f>
        <v/>
      </c>
      <c r="M34" s="3325"/>
      <c r="N34" s="978"/>
      <c r="O34" s="3207" t="str">
        <f ca="1">"Rentenerwerb aus Abfindung in Zielversorgung: "&amp;TEXT(Q33,"0,0000")&amp;" x "&amp;TEXT(M30,"0,00")&amp;":"</f>
        <v>Rentenerwerb aus Abfindung in Zielversorgung:  x 39,32:</v>
      </c>
      <c r="P34" s="3208"/>
      <c r="Q34" s="1901" t="str">
        <f ca="1">IFERROR(AK43,"")</f>
        <v/>
      </c>
      <c r="R34" s="1510">
        <f t="shared" si="1"/>
        <v>34</v>
      </c>
    </row>
    <row r="35" spans="1:38" s="128" customFormat="1" ht="16.350000000000001" customHeight="1">
      <c r="A35" s="1510">
        <f t="shared" si="0"/>
        <v>35</v>
      </c>
      <c r="B35" s="3252" t="str">
        <f>"./. Steuern pauschal in %: "&amp;TEXT(I35,"0,00%")</f>
        <v>./. Steuern pauschal in %: 0,00%</v>
      </c>
      <c r="C35" s="2435"/>
      <c r="D35" s="2435"/>
      <c r="E35" s="2435"/>
      <c r="F35" s="2435"/>
      <c r="G35" s="2435"/>
      <c r="H35" s="2435"/>
      <c r="I35" s="1151"/>
      <c r="J35" s="3334" t="str">
        <f ca="1">IFERROR(-I35*J32,"")</f>
        <v/>
      </c>
      <c r="K35" s="3335"/>
      <c r="L35" s="3324" t="str">
        <f ca="1">IFERROR(-I35*L32,"")</f>
        <v/>
      </c>
      <c r="M35" s="3325"/>
      <c r="N35" s="978"/>
      <c r="O35" s="3339" t="str">
        <f>"Barwert des Rentenerwerbs in Zielversorgung bei ReZins "&amp;TEXT(J15,"0,00%")&amp;":"</f>
        <v>Barwert des Rentenerwerbs in Zielversorgung bei ReZins 0,00%:</v>
      </c>
      <c r="P35" s="3340"/>
      <c r="Q35" s="1902" t="str">
        <f ca="1">IFERROR(L41*Q34/L32,"")</f>
        <v/>
      </c>
      <c r="R35" s="1510">
        <f t="shared" si="1"/>
        <v>35</v>
      </c>
      <c r="U35" s="66"/>
      <c r="V35" s="1131" t="s">
        <v>258</v>
      </c>
      <c r="W35" s="1131" t="s">
        <v>1651</v>
      </c>
      <c r="X35" s="1131" t="s">
        <v>1471</v>
      </c>
      <c r="Y35" s="1131" t="s">
        <v>1772</v>
      </c>
      <c r="Z35" s="1131" t="s">
        <v>282</v>
      </c>
      <c r="AA35" s="1131" t="s">
        <v>281</v>
      </c>
      <c r="AB35" s="1131" t="s">
        <v>1652</v>
      </c>
      <c r="AC35" s="1131" t="s">
        <v>1653</v>
      </c>
      <c r="AD35" s="1131" t="s">
        <v>1367</v>
      </c>
      <c r="AE35" s="1131" t="s">
        <v>1654</v>
      </c>
    </row>
    <row r="36" spans="1:38" s="128" customFormat="1" ht="16.350000000000001" customHeight="1" thickBot="1">
      <c r="A36" s="1510">
        <f t="shared" si="0"/>
        <v>36</v>
      </c>
      <c r="B36" s="3390" t="s">
        <v>1649</v>
      </c>
      <c r="C36" s="3391"/>
      <c r="D36" s="3391"/>
      <c r="E36" s="3391"/>
      <c r="F36" s="3391"/>
      <c r="G36" s="3391"/>
      <c r="H36" s="3391"/>
      <c r="I36" s="3391"/>
      <c r="J36" s="3334" t="str">
        <f ca="1">IFERROR(ROUND(+J35+J34+J32,2),"")</f>
        <v/>
      </c>
      <c r="K36" s="3335"/>
      <c r="L36" s="3324" t="str">
        <f ca="1">IFERROR(ROUND(L35+L34+L32,2),"")</f>
        <v/>
      </c>
      <c r="M36" s="3325"/>
      <c r="N36" s="978"/>
      <c r="O36" s="3341" t="str">
        <f>IF(P32&gt;0,"","Zur Erreichung der Barwertgleiche mit der Quellversorgung zu zahlende Abfindung:")</f>
        <v>Zur Erreichung der Barwertgleiche mit der Quellversorgung zu zahlende Abfindung:</v>
      </c>
      <c r="P36" s="3342"/>
      <c r="Q36" s="1903" t="str">
        <f ca="1">IFERROR(IF(P32&gt;0,"",Q32*L26/Q35),"")</f>
        <v/>
      </c>
      <c r="R36" s="1510">
        <f t="shared" si="1"/>
        <v>36</v>
      </c>
      <c r="U36" s="66" t="s">
        <v>1693</v>
      </c>
      <c r="V36" s="1808" t="e">
        <f ca="1">ROUND(VLOOKUP(ROUND(IF(V15&gt;V21,V15,V21),0),CHOOSE(Y10,Lebenserwartung_M_V2,Lebenserwartung_F_V2,Lebenserwartung_N_V2),YEAR(I5)+IF(MONTH(I5)&gt;6,1,0)-1900+2),2)</f>
        <v>#VALUE!</v>
      </c>
      <c r="W36" s="1808" t="e">
        <f ca="1">ROUND(IF(V21&gt;V15,V21-V15,0),2)</f>
        <v>#VALUE!</v>
      </c>
      <c r="X36" s="1808" t="e">
        <f ca="1">-PV(J15-J13,V36,J19*(1+J12)^W36*12)</f>
        <v>#VALUE!</v>
      </c>
      <c r="Y36" s="1808" t="e">
        <f ca="1">-PV(J15,W36,,X36)</f>
        <v>#VALUE!</v>
      </c>
      <c r="Z36" s="619" t="e">
        <f ca="1">ROUND(VLOOKUP(V15,CHOOSE(68-IF(V21&lt;60,60,IF(V21&gt;67,67,V21)),HRIR67,HRIR66,HRIR,HRIR64,HRIR63,HRIR62,HRIR61,HRIR60),CHOOSE(Y10,7,16,25)),4)*J10</f>
        <v>#VALUE!</v>
      </c>
      <c r="AA36" s="1715" t="e">
        <f ca="1">ROUND(VLOOKUP(V15,CHOOSE(68-IF(V21&lt;60,60,IF(V21&gt;67,67,V21)),HRIR67,HRIR66,HRIR,HRIR64,HRIR63,HRIR62,HRIR61,HRIR60),CHOOSE(Y10,8,17,26)),4)*J11</f>
        <v>#VALUE!</v>
      </c>
      <c r="AB36" s="1808">
        <f ca="1">IFERROR(VLOOKUP(ROUND(V15,0),CHOOSE(Y10,G_Kohorte_M,G_Kohorte_F,G_Kohorte_N),YEAR(I5)+IF(MONTH(I5)&gt;6,1,0)-1900+2),0)</f>
        <v>0</v>
      </c>
      <c r="AC36" s="1808">
        <f>IFERROR(VLOOKUP(ROUND(V21,0),CHOOSE(Y10,G_Kohorte_M,G_Kohorte_F,G_Kohorte_N),YEAR(I5)+IF(MONTH(I5)&gt;6,1,0)-1900+2),0)</f>
        <v>0</v>
      </c>
      <c r="AD36" s="1714" t="e">
        <f ca="1">ROUND(IF(+AC36/AB36&gt;1,1,+AC36/AB36),3)</f>
        <v>#DIV/0!</v>
      </c>
      <c r="AE36" s="1808" t="e">
        <f ca="1">ROUND(+Y36*(1+AA36+Z36)*AD36,0)</f>
        <v>#VALUE!</v>
      </c>
    </row>
    <row r="37" spans="1:38" s="128" customFormat="1" ht="16.350000000000001" customHeight="1" thickTop="1">
      <c r="A37" s="1510">
        <f t="shared" si="0"/>
        <v>37</v>
      </c>
      <c r="B37" s="3252" t="s">
        <v>1669</v>
      </c>
      <c r="C37" s="2435"/>
      <c r="D37" s="2435"/>
      <c r="E37" s="2435"/>
      <c r="F37" s="2435"/>
      <c r="G37" s="2435"/>
      <c r="H37" s="2435"/>
      <c r="I37" s="2435"/>
      <c r="J37" s="3250"/>
      <c r="K37" s="3251"/>
      <c r="L37" s="3326" t="str">
        <f ca="1">IFERROR(IF(ABS(V46)&gt;10%,"Abweichung d. Ertrags in der DRV &gt;10%. Anpassung des AusglW möglich (BvL 5/18)",IF(AND(ABS(V46)&gt;5%,ABS(V46)&lt;=10%),"Abweichung d. Rentenertrags in DRV kritisch!","")),"")</f>
        <v/>
      </c>
      <c r="M37" s="3327"/>
      <c r="N37" s="978"/>
      <c r="O37" s="3345" t="str">
        <f ca="1">IFERROR(Summenzeichen&amp;" der erwartbaren  Rentenzahlungen über "&amp;TEXT(V37,"0,00")&amp;" Jahre: ","")</f>
        <v/>
      </c>
      <c r="P37" s="3346"/>
      <c r="Q37" s="1904" t="str">
        <f ca="1">IFERROR(ROUND((((1+IF(Abf_VollDyn&gt;0,Abf_VollDyn,G29))^V37-1)/IF(Abf_VollDyn&gt;0,Abf_VollDyn,G29))*Q34*(1+IF(Abf_VollDyn&gt;0,Abf_VollDyn,Abf_AwDyn))^W37*12/IF(Abf_HRIR_Ja,(1+Z37+AA37),1),0),"")</f>
        <v/>
      </c>
      <c r="R37" s="1510">
        <f t="shared" si="1"/>
        <v>37</v>
      </c>
      <c r="U37" s="66" t="s">
        <v>1683</v>
      </c>
      <c r="V37" s="1808" t="e">
        <f ca="1">VLOOKUP(IF(J33&gt;V15,J33,V15),CHOOSE(Y10,Lebenserwartung_M_V2,Lebenserwartung_F_V2,Lebenserwartung_N_V2),YEAR(I5)+IF(MONTH(I5)&gt;6,1,0)-1900+2)</f>
        <v>#VALUE!</v>
      </c>
      <c r="W37" s="1808">
        <f ca="1">ROUND(IF(J33&gt;V15,J33-V15,0),2)</f>
        <v>0</v>
      </c>
      <c r="X37" s="1808" t="e">
        <f ca="1">+-PV(J15-IF(J29&gt;0,J29,G29),V37,L36*(1+IF(J29&gt;0,J29,C29))^W37*12)</f>
        <v>#VALUE!</v>
      </c>
      <c r="Y37" s="1808" t="e">
        <f ca="1">-PV(J15,W37,,X37)</f>
        <v>#VALUE!</v>
      </c>
      <c r="Z37" s="619" t="e">
        <f ca="1">ROUND(VLOOKUP(V15,CHOOSE(IF(68-L33&lt;1,1,68-IF(L33&lt;60,60,L33)),HRIR67,HRIR66,HRIR,HRIR64,HRIR63,HRIR62,HRIR61,HRIR60),CHOOSE(Y10,7,16,25))*C30,4)</f>
        <v>#VALUE!</v>
      </c>
      <c r="AA37" s="1715">
        <f ca="1">IFERROR(ROUND(VLOOKUP(V15,CHOOSE(IF(68-V21&lt;1,1,68-L33),HRIR67,HRIR66,HRIR,HRIR64,HRIR63,HRIR62,HRIR61,HRIR60),CHOOSE(Y10,8,17,26)),4)*G30,0)</f>
        <v>0</v>
      </c>
      <c r="AB37" s="1808">
        <f ca="1">+AB36</f>
        <v>0</v>
      </c>
      <c r="AC37" s="1808">
        <f>IFERROR(VLOOKUP(ROUND(V23,0),CHOOSE(Y10,G_Kohorte_M,G_Kohorte_F,G_Kohorte_N),YEAR(I5)+IF(MONTH(I5)&gt;6,1,0)-1900+2),0)</f>
        <v>0</v>
      </c>
      <c r="AD37" s="1812" t="e">
        <f ca="1">ROUND(IF(+AC37/AB37&gt;1,1,+AC37/AB37),3)</f>
        <v>#DIV/0!</v>
      </c>
      <c r="AE37" s="1808" t="e">
        <f ca="1">ROUND(Y37*(1+AA37+Z37)*AD37,0)</f>
        <v>#VALUE!</v>
      </c>
      <c r="AF37" s="1766"/>
      <c r="AH37" s="128" t="e">
        <f ca="1">20383*1.06^AF43</f>
        <v>#VALUE!</v>
      </c>
    </row>
    <row r="38" spans="1:38" s="128" customFormat="1" ht="16.350000000000001" customHeight="1" thickBot="1">
      <c r="A38" s="1510">
        <f t="shared" si="0"/>
        <v>38</v>
      </c>
      <c r="B38" s="3252" t="s">
        <v>1668</v>
      </c>
      <c r="C38" s="2435"/>
      <c r="D38" s="2435"/>
      <c r="E38" s="2435"/>
      <c r="F38" s="2435"/>
      <c r="G38" s="2435"/>
      <c r="H38" s="2435"/>
      <c r="I38" s="2435"/>
      <c r="J38" s="3250"/>
      <c r="K38" s="3251"/>
      <c r="L38" s="3328"/>
      <c r="M38" s="3329"/>
      <c r="N38" s="978"/>
      <c r="O38" s="3274" t="s">
        <v>1798</v>
      </c>
      <c r="P38" s="3275"/>
      <c r="Q38" s="1905" t="str">
        <f ca="1">+L44</f>
        <v/>
      </c>
      <c r="R38" s="1510">
        <f t="shared" si="1"/>
        <v>38</v>
      </c>
      <c r="U38" s="1158" t="s">
        <v>1713</v>
      </c>
      <c r="V38" s="1808"/>
      <c r="W38" s="1808" t="e">
        <f ca="1">-FV(J15-IF(J29&gt;0,J29,Abf_AwDyn),W37,,-PMT(J15-IF(J29&gt;0,J29,G29),V37,L26)/12)/AD37/(1+Z37+AA37)</f>
        <v>#VALUE!</v>
      </c>
      <c r="X38" s="1808" t="e">
        <f ca="1">+-PV(J15-IF(Abf_VollDyn&gt;0,Abf_VollDyn,G29),V37,L36*(1+IF(Abf_VollDyn&gt;0,Abf_VollDyn,C29))^W37*12)</f>
        <v>#VALUE!</v>
      </c>
      <c r="Y38" s="1808" t="e">
        <f ca="1">-PV(J15,W37,,X38)</f>
        <v>#VALUE!</v>
      </c>
      <c r="Z38" s="619" t="e">
        <f ca="1">+Z37</f>
        <v>#VALUE!</v>
      </c>
      <c r="AA38" s="1715">
        <f ca="1">+AA37</f>
        <v>0</v>
      </c>
      <c r="AB38" s="1808"/>
      <c r="AC38" s="1808"/>
      <c r="AD38" s="1812" t="e">
        <f ca="1">+AD37</f>
        <v>#DIV/0!</v>
      </c>
      <c r="AE38" s="1808" t="e">
        <f ca="1">ROUND(+Y38*(1+AA38+Z38)*AD38,0)</f>
        <v>#VALUE!</v>
      </c>
      <c r="AH38" s="128" t="e">
        <f ca="1">+AH37*AH43</f>
        <v>#VALUE!</v>
      </c>
    </row>
    <row r="39" spans="1:38" s="128" customFormat="1" ht="16.350000000000001" customHeight="1" thickTop="1">
      <c r="A39" s="1510">
        <f t="shared" si="0"/>
        <v>39</v>
      </c>
      <c r="B39" s="3252" t="s">
        <v>1670</v>
      </c>
      <c r="C39" s="2435"/>
      <c r="D39" s="2435"/>
      <c r="E39" s="2435"/>
      <c r="F39" s="2435"/>
      <c r="G39" s="2435"/>
      <c r="H39" s="2435"/>
      <c r="I39" s="2435"/>
      <c r="J39" s="3250"/>
      <c r="K39" s="3251"/>
      <c r="L39" s="3330"/>
      <c r="M39" s="3331"/>
      <c r="N39" s="978"/>
      <c r="O39" s="976"/>
      <c r="P39" s="976"/>
      <c r="Q39" s="976"/>
      <c r="R39" s="1510">
        <f t="shared" si="1"/>
        <v>39</v>
      </c>
      <c r="U39" s="1158" t="s">
        <v>1682</v>
      </c>
      <c r="V39" s="1808" t="e">
        <f ca="1">ROUND(VLOOKUP(ROUND(IF(Q6&gt;V22,Q6,V22),0),CHOOSE(Y11,Lebenserwartung_M_V2,Lebenserwartung_F_V2,Lebenserwartung_N_V2),YEAR(Q5)+IF(MONTH(Q5)&gt;6,1,0)-1900+2),2)</f>
        <v>#VALUE!</v>
      </c>
      <c r="W39" s="1808" t="e">
        <f ca="1">ROUND(IF(V22&gt;Q6,V22-Q6,0),2)</f>
        <v>#VALUE!</v>
      </c>
      <c r="X39" s="1808" t="e">
        <f ca="1">-PV(J15-IF(Abf_VollDyn=0,G29,Abf_VollDyn),Q11,Q12*12,)</f>
        <v>#VALUE!</v>
      </c>
      <c r="Y39" s="1808" t="e">
        <f ca="1">-PV(J15,W39,,X39)</f>
        <v>#VALUE!</v>
      </c>
      <c r="Z39" s="619" t="e">
        <f ca="1">ROUND(VLOOKUP(Q6,CHOOSE(IF(68-V22&lt;1,1,IF(68-V22&gt;8,8,68-V22)),HRIR67,HRIR66,HRIR,HRIR64,HRIR63,HRIR62,HRIR61,HRIR60),CHOOSE(Y11,7,16,25))*C30,4)</f>
        <v>#VALUE!</v>
      </c>
      <c r="AA39" s="1715" t="e">
        <f ca="1">ROUND(VLOOKUP(Q6,CHOOSE(IF(68-V22&lt;1,1,IF(68-V22&gt;8,8,68-V22)),HRIR67,HRIR66,HRIR,HRIR64,HRIR63,HRIR62,HRIR61,HRIR60),CHOOSE(Y11,8,17,26))*G30,4)</f>
        <v>#VALUE!</v>
      </c>
      <c r="AB39" s="1808">
        <f ca="1">IFERROR(VLOOKUP(ROUND(Q6,0),CHOOSE(Y11,G_Kohorte_M,G_Kohorte_F,G_Kohorte_N),YEAR(Q5)+IF(MONTH(Q5)&gt;6,1,0)-1900+2),0)</f>
        <v>0</v>
      </c>
      <c r="AC39" s="1808">
        <f>IFERROR(VLOOKUP(ROUND(V22,0),CHOOSE(Y11,G_Kohorte_M,G_Kohorte_F,G_Kohorte_N),YEAR(Q5)+IF(MONTH(Q5)&gt;6,1,0)-1900+2),0)</f>
        <v>0</v>
      </c>
      <c r="AD39" s="1808" t="e">
        <f ca="1">ROUND(IF(+AC39/AB39&gt;1,1,+AC39/AB39),3)</f>
        <v>#DIV/0!</v>
      </c>
      <c r="AE39" s="1808" t="e">
        <f ca="1">ROUND(Y39*(1+AA39+Z39)*AD39,0)</f>
        <v>#VALUE!</v>
      </c>
      <c r="AF39" s="1765" t="e">
        <f ca="1">(((1+IF(Abf_VollDyn&gt;0,Abf_VollDyn,G29))^V39-1)/IF(Abf_VollDyn&gt;0,Abf_VollDyn,G29))*Q7*(1+IF(Abf_VollDyn&gt;0,Abf_VollDyn,Abf_AwDyn))^W39*12</f>
        <v>#VALUE!</v>
      </c>
    </row>
    <row r="40" spans="1:38" s="128" customFormat="1" ht="16.350000000000001" customHeight="1" thickBot="1">
      <c r="A40" s="1510">
        <f t="shared" si="0"/>
        <v>40</v>
      </c>
      <c r="B40" s="3253" t="str">
        <f>+B25&amp;" bei Rechnungszins "&amp;TEXT(J15,"0,00%")</f>
        <v>∑ Barwertfaktoren bei Rechnungszins 0,00%</v>
      </c>
      <c r="C40" s="3254"/>
      <c r="D40" s="3254"/>
      <c r="E40" s="3254"/>
      <c r="F40" s="3254"/>
      <c r="G40" s="3254"/>
      <c r="H40" s="3254"/>
      <c r="I40" s="3254"/>
      <c r="J40" s="3255">
        <f>ROUND(IF(+J39+J37+J38&gt;0,+J39+J37+J38,0),3)</f>
        <v>0</v>
      </c>
      <c r="K40" s="3256"/>
      <c r="L40" s="3242" t="str">
        <f ca="1">IFERROR(ROUND(L41/(L32*12),3),"")</f>
        <v/>
      </c>
      <c r="M40" s="3243"/>
      <c r="N40" s="1547"/>
      <c r="O40" s="976"/>
      <c r="P40" s="976"/>
      <c r="Q40" s="976"/>
      <c r="R40" s="1510">
        <f t="shared" si="1"/>
        <v>40</v>
      </c>
    </row>
    <row r="41" spans="1:38" s="128" customFormat="1" ht="36" customHeight="1" thickTop="1" thickBot="1">
      <c r="A41" s="1510">
        <f t="shared" si="0"/>
        <v>41</v>
      </c>
      <c r="B41" s="3244" t="str">
        <f ca="1">"Versorgungsertrag (Barwert): "&amp;IF(J40&gt;0,"(1) "&amp;TEXT(J36,"#.##0,00")&amp;" x 12 x "&amp;TEXT(J40,"0,000")&amp;" ("&amp;U47&amp;")"&amp;CHAR(10),"")&amp;IF(L41&lt;&gt;"","(2) "&amp;TEXT(L36,"#.##0,00")&amp;" x 12 x "&amp;TEXT(L40,"0,000")&amp;" ("&amp;V47&amp;")","")</f>
        <v xml:space="preserve">Versorgungsertrag (Barwert): </v>
      </c>
      <c r="C41" s="3245"/>
      <c r="D41" s="3245"/>
      <c r="E41" s="3245"/>
      <c r="F41" s="3245"/>
      <c r="G41" s="3245"/>
      <c r="H41" s="3245"/>
      <c r="I41" s="3245"/>
      <c r="J41" s="3246" t="str">
        <f ca="1">IFERROR(+J40*J36*12,"")</f>
        <v/>
      </c>
      <c r="K41" s="3247"/>
      <c r="L41" s="3248" t="str">
        <f ca="1">IFERROR(ROUND(IF(ZVAusglBerAlternativ=1,AE37,AE38),0),"")</f>
        <v/>
      </c>
      <c r="M41" s="3249"/>
      <c r="N41" s="1650"/>
      <c r="O41" s="976"/>
      <c r="P41" s="976"/>
      <c r="Q41" s="976"/>
      <c r="R41" s="1693">
        <f t="shared" si="1"/>
        <v>41</v>
      </c>
      <c r="U41" s="139"/>
      <c r="V41" s="139"/>
      <c r="W41" s="139" t="s">
        <v>1773</v>
      </c>
      <c r="X41" s="139" t="s">
        <v>1471</v>
      </c>
      <c r="Y41" s="139" t="s">
        <v>1774</v>
      </c>
      <c r="Z41" s="139" t="s">
        <v>282</v>
      </c>
      <c r="AA41" s="139" t="s">
        <v>281</v>
      </c>
      <c r="AB41" s="139" t="s">
        <v>1775</v>
      </c>
      <c r="AC41" s="139" t="s">
        <v>1777</v>
      </c>
      <c r="AD41" s="139" t="s">
        <v>1778</v>
      </c>
      <c r="AE41" s="139" t="s">
        <v>1774</v>
      </c>
      <c r="AF41" s="139" t="s">
        <v>1776</v>
      </c>
      <c r="AG41" s="139" t="s">
        <v>1780</v>
      </c>
      <c r="AH41" s="139" t="s">
        <v>1778</v>
      </c>
      <c r="AI41" s="139" t="s">
        <v>1779</v>
      </c>
      <c r="AJ41" s="140" t="s">
        <v>1781</v>
      </c>
      <c r="AK41" s="140" t="s">
        <v>1782</v>
      </c>
      <c r="AL41" s="140"/>
    </row>
    <row r="42" spans="1:38" s="128" customFormat="1" ht="25.5" customHeight="1" thickTop="1" thickBot="1">
      <c r="A42" s="1510">
        <f t="shared" si="0"/>
        <v>42</v>
      </c>
      <c r="B42" s="3260"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261"/>
      <c r="D42" s="3261"/>
      <c r="E42" s="3261"/>
      <c r="F42" s="3261"/>
      <c r="G42" s="3261"/>
      <c r="H42" s="3261"/>
      <c r="I42" s="3261"/>
      <c r="J42" s="3257" t="str">
        <f ca="1">IFERROR(IF(J28&gt;0,"",IF(X26&gt;0,+X26*X26/J41,"")),"Eingaben prüfen!")</f>
        <v>Eingaben prüfen!</v>
      </c>
      <c r="K42" s="3257"/>
      <c r="L42" s="3258" t="str">
        <f ca="1">IFERROR(IF(L28&gt;0,"",IF(Y26&gt;0,Y26*Y26/L41,"")),"Eingaben Prüfen")</f>
        <v>Eingaben Prüfen</v>
      </c>
      <c r="M42" s="3259"/>
      <c r="N42" s="1650"/>
      <c r="O42" s="976"/>
      <c r="P42" s="976"/>
      <c r="Q42" s="976"/>
      <c r="R42" s="1693">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50000000000001" customHeight="1" thickTop="1">
      <c r="A43" s="1510">
        <f t="shared" si="0"/>
        <v>43</v>
      </c>
      <c r="B43" s="3267" t="str">
        <f ca="1">IFERROR("∑ der über "&amp;TEXT(V37,"0,00")&amp;" Jahre erwartbaren Rentenbezüge der ausglpfl. Person in Zielversorgung (siehe Z. 27): ","")</f>
        <v/>
      </c>
      <c r="C43" s="3268"/>
      <c r="D43" s="3268"/>
      <c r="E43" s="3268"/>
      <c r="F43" s="3268"/>
      <c r="G43" s="3268"/>
      <c r="H43" s="3268"/>
      <c r="I43" s="3268"/>
      <c r="J43" s="3269" t="str">
        <f ca="1">IFERROR(X32,"")</f>
        <v/>
      </c>
      <c r="K43" s="3269"/>
      <c r="L43" s="3270" t="str">
        <f ca="1">IFERROR(ROUND(V32,0),"")</f>
        <v/>
      </c>
      <c r="M43" s="3271"/>
      <c r="N43" s="978"/>
      <c r="O43" s="1773"/>
      <c r="P43" s="1773"/>
      <c r="Q43" s="1773"/>
      <c r="R43" s="1693">
        <f t="shared" si="1"/>
        <v>43</v>
      </c>
      <c r="U43" s="140" t="str">
        <f>"Aufzinsungsmethode: EzE ReZins: "&amp;TEXT(V14,"0,00%")</f>
        <v>Aufzinsungsmethode: EzE ReZins: 6,00%</v>
      </c>
      <c r="V43" s="1664" t="e">
        <f>ROUND(VLOOKUP(ROUND(IF(M6&gt;I9,M6,I9),0),CHOOSE(Y10,Lebenserwartung_M_V2,Lebenserwartung_F_V2,Lebenserwartung_N_V2),YEAR(I5)+IF(MONTH(I5)&gt;6,1,0)-1900+2),2)</f>
        <v>#VALUE!</v>
      </c>
      <c r="W43" s="128">
        <f>ROUND(IF(I9&gt;M6,I9-M6,0),2)</f>
        <v>0</v>
      </c>
      <c r="X43" s="1765" t="e">
        <f ca="1">-PV(V14-J13,V43,I7*12)</f>
        <v>#VALUE!</v>
      </c>
      <c r="Y43" s="1765" t="e">
        <f ca="1">-PV(V14-J12,W43,,X43)</f>
        <v>#VALUE!</v>
      </c>
      <c r="Z43" s="619" t="e">
        <f>ROUND(VLOOKUP(M6,CHOOSE(68-IF(V21&lt;60,60,IF(V21&gt;67,67,V21)),HRIR67,HRIR66,HRIR,HRIR64,HRIR63,HRIR62,HRIR61,HRIR60),CHOOSE(Y10,7,16,25)),4)*J10</f>
        <v>#VALUE!</v>
      </c>
      <c r="AA43" s="1424" t="e">
        <f>ROUND(VLOOKUP(M6,CHOOSE(68-IF(V21&lt;60,60,IF(V21&gt;67,67,V21)),HRIR67,HRIR66,HRIR,HRIR64,HRIR63,HRIR62,HRIR61,HRIR60),CHOOSE(Y10,8,17,26)),4)*J11</f>
        <v>#VALUE!</v>
      </c>
      <c r="AB43" s="1664">
        <f>IFERROR(VLOOKUP(ROUND(M6,0),CHOOSE(Y10,G_Kohorte_M,G_Kohorte_F,G_Kohorte_N),YEAR(I5)+IF(MONTH(I5)&gt;6,1,0)-1900+2),0)</f>
        <v>0</v>
      </c>
      <c r="AC43" s="1664">
        <f>+AC36</f>
        <v>0</v>
      </c>
      <c r="AD43" s="1714">
        <v>1</v>
      </c>
      <c r="AE43" s="1774" t="e">
        <f ca="1">ROUND(+Y43*(1+AA43+Z43)*AD43,0)</f>
        <v>#VALUE!</v>
      </c>
      <c r="AF43" s="1664" t="e">
        <f ca="1">IF(V15-M6&lt;0,0,V15-M6)</f>
        <v>#VALUE!</v>
      </c>
      <c r="AG43" s="1664">
        <f ca="1">+AB36</f>
        <v>0</v>
      </c>
      <c r="AH43" s="1766" t="e">
        <f ca="1">ROUND(AG43/AB43,3)</f>
        <v>#DIV/0!</v>
      </c>
      <c r="AI43" s="1765" t="e">
        <f ca="1">IF(P32&gt;0,P32,AE43*(1+V14)^AF43*AH43)</f>
        <v>#VALUE!</v>
      </c>
      <c r="AJ43" s="1767" t="e">
        <f ca="1">+AI43/J30</f>
        <v>#VALUE!</v>
      </c>
      <c r="AK43" s="1765" t="e">
        <f ca="1">+AJ43*M30</f>
        <v>#VALUE!</v>
      </c>
      <c r="AL43" s="1765"/>
    </row>
    <row r="44" spans="1:38" s="128" customFormat="1" ht="16.350000000000001" customHeight="1" thickBot="1">
      <c r="A44" s="1510">
        <f t="shared" si="0"/>
        <v>44</v>
      </c>
      <c r="B44" s="3262" t="s">
        <v>1795</v>
      </c>
      <c r="C44" s="3263"/>
      <c r="D44" s="3263"/>
      <c r="E44" s="3263"/>
      <c r="F44" s="3263"/>
      <c r="G44" s="3263"/>
      <c r="H44" s="3263"/>
      <c r="I44" s="3263"/>
      <c r="J44" s="3264" t="str">
        <f ca="1">IFERROR(IF(J28&gt;0,"",J26*S27/J43),"")</f>
        <v/>
      </c>
      <c r="K44" s="3266"/>
      <c r="L44" s="3264" t="str">
        <f ca="1">IFERROR(IF(L28&gt;0,"",+L26*S27/L43),"")</f>
        <v/>
      </c>
      <c r="M44" s="3265"/>
      <c r="N44" s="978"/>
      <c r="O44" s="3273" t="s">
        <v>1796</v>
      </c>
      <c r="P44" s="3273"/>
      <c r="Q44" s="3273"/>
      <c r="R44" s="1693">
        <f t="shared" si="1"/>
        <v>44</v>
      </c>
      <c r="U44" s="140"/>
      <c r="V44" s="1664"/>
      <c r="X44" s="1765"/>
      <c r="Y44" s="1765"/>
      <c r="Z44" s="1424"/>
      <c r="AA44" s="1424"/>
      <c r="AB44" s="1664"/>
      <c r="AC44" s="1664"/>
      <c r="AD44" s="1777"/>
      <c r="AE44" s="1778"/>
      <c r="AF44" s="1664"/>
      <c r="AG44" s="1664"/>
      <c r="AH44" s="1766"/>
      <c r="AI44" s="1765"/>
      <c r="AJ44" s="1767"/>
      <c r="AK44" s="1765"/>
      <c r="AL44" s="1765"/>
    </row>
    <row r="45" spans="1:38" s="128" customFormat="1" ht="15.75" thickTop="1">
      <c r="A45" s="1693"/>
      <c r="B45" s="3272" t="s">
        <v>1680</v>
      </c>
      <c r="C45" s="3272"/>
      <c r="D45" s="3272"/>
      <c r="E45" s="3272"/>
      <c r="F45" s="3272"/>
      <c r="G45" s="3272"/>
      <c r="H45" s="3272"/>
      <c r="I45" s="3272"/>
      <c r="J45" s="3272"/>
      <c r="K45" s="3272"/>
      <c r="L45" s="3272"/>
      <c r="M45" s="3272"/>
      <c r="N45" s="3272"/>
      <c r="O45" s="3272"/>
      <c r="P45" s="3272"/>
      <c r="Q45" s="3272"/>
      <c r="R45" s="1693"/>
      <c r="AD45" s="128" t="e">
        <f>ROUND(IF(+AC43/AB43&gt;1,1,+AC43/AB43),3)</f>
        <v>#DIV/0!</v>
      </c>
    </row>
    <row r="46" spans="1:38" ht="15">
      <c r="A46" s="1693"/>
      <c r="B46" s="3241" t="s">
        <v>1681</v>
      </c>
      <c r="C46" s="3241"/>
      <c r="D46" s="3241"/>
      <c r="E46" s="3241"/>
      <c r="F46" s="3241"/>
      <c r="G46" s="3241"/>
      <c r="H46" s="3241"/>
      <c r="I46" s="3241"/>
      <c r="J46" s="3241"/>
      <c r="K46" s="3241"/>
      <c r="L46" s="3241"/>
      <c r="M46" s="3241"/>
      <c r="N46" s="1696"/>
      <c r="O46" s="1697" t="s">
        <v>1679</v>
      </c>
      <c r="P46" s="1696"/>
      <c r="Q46" s="1696"/>
      <c r="R46" s="978"/>
      <c r="T46" s="71">
        <v>525</v>
      </c>
      <c r="U46" s="560" t="str">
        <f ca="1">IFERROR(ROUND(J41/J26-1,2),"")</f>
        <v/>
      </c>
      <c r="V46" s="1665" t="str">
        <f ca="1">IFERROR(ABS(ROUND(+L41/L26-1,2)),"")</f>
        <v/>
      </c>
    </row>
    <row r="47" spans="1:38">
      <c r="A47" s="1693"/>
      <c r="B47" s="1651"/>
      <c r="C47" s="1651"/>
      <c r="D47" s="1651"/>
      <c r="E47" s="1651"/>
      <c r="F47" s="1651"/>
      <c r="G47" s="1651"/>
      <c r="H47" s="1651"/>
      <c r="I47" s="1651"/>
      <c r="J47" s="1651"/>
      <c r="K47" s="1651"/>
      <c r="L47" s="1651"/>
      <c r="M47" s="1651"/>
      <c r="N47" s="1651"/>
      <c r="O47" s="1651"/>
      <c r="P47" s="1651"/>
      <c r="Q47" s="1651"/>
      <c r="R47" s="978"/>
      <c r="U47" s="1664" t="str">
        <f ca="1">+IF(J41&lt;J26,"-","+")&amp;TEXT(U46,"0%")</f>
        <v>+</v>
      </c>
      <c r="V47" s="1664" t="str">
        <f ca="1">+IF(L41&lt;L26,"-","+")&amp;TEXT(V46,"0%")</f>
        <v>+</v>
      </c>
    </row>
  </sheetData>
  <sheetProtection algorithmName="SHA-512" hashValue="A6df7ydi9hvBhYejJ2ep52zpcayH5QW0ODo6edZamLm9XrocICBinnxmJkzR+SZFlU0SYBWURL0BmvjC/zsEzA==" saltValue="sRc6+LIqvTIjcZtFDcIsqQ==" spinCount="100000" sheet="1" objects="1" scenarios="1" selectLockedCells="1"/>
  <mergeCells count="135">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s>
  <conditionalFormatting sqref="C29">
    <cfRule type="expression" dxfId="197" priority="33">
      <formula>J29&gt;0</formula>
    </cfRule>
  </conditionalFormatting>
  <conditionalFormatting sqref="F6:G6">
    <cfRule type="expression" dxfId="196" priority="1">
      <formula>H6=""</formula>
    </cfRule>
  </conditionalFormatting>
  <conditionalFormatting sqref="G29">
    <cfRule type="expression" dxfId="195" priority="34">
      <formula>J29&gt;0</formula>
    </cfRule>
  </conditionalFormatting>
  <conditionalFormatting sqref="H30:M30 B31:M31">
    <cfRule type="expression" dxfId="194" priority="43">
      <formula>$V$33=2</formula>
    </cfRule>
  </conditionalFormatting>
  <conditionalFormatting sqref="I5">
    <cfRule type="expression" dxfId="193" priority="41">
      <formula>J4="m"</formula>
    </cfRule>
    <cfRule type="expression" dxfId="192" priority="40">
      <formula>J4="w"</formula>
    </cfRule>
    <cfRule type="expression" dxfId="191" priority="26">
      <formula>J4="d"</formula>
    </cfRule>
  </conditionalFormatting>
  <conditionalFormatting sqref="J5">
    <cfRule type="expression" dxfId="190" priority="39">
      <formula>I5=""</formula>
    </cfRule>
  </conditionalFormatting>
  <conditionalFormatting sqref="J7">
    <cfRule type="expression" dxfId="189" priority="36">
      <formula>J7=""</formula>
    </cfRule>
  </conditionalFormatting>
  <conditionalFormatting sqref="J14:J15">
    <cfRule type="expression" dxfId="188"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187" priority="35">
      <formula>J4=""</formula>
    </cfRule>
    <cfRule type="expression" dxfId="186" priority="23">
      <formula>$J$4:$M$4="d"</formula>
    </cfRule>
    <cfRule type="expression" dxfId="185" priority="24">
      <formula>$J$4:$M$4="w"</formula>
    </cfRule>
    <cfRule type="expression" dxfId="184" priority="25">
      <formula>$J$4:$M$4="m"</formula>
    </cfRule>
  </conditionalFormatting>
  <conditionalFormatting sqref="J29:M29">
    <cfRule type="expression" dxfId="183" priority="42">
      <formula>AND(C29+G29&gt;0,J29=0)</formula>
    </cfRule>
    <cfRule type="expression" dxfId="182" priority="22">
      <formula>AND(ZVAusglBerAlternativ=1,J29="")</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81" priority="11">
      <formula>P4="w"</formula>
    </cfRule>
    <cfRule type="expression" dxfId="180" priority="10">
      <formula>P4="M"</formula>
    </cfRule>
    <cfRule type="expression" dxfId="179" priority="9">
      <formula>P4="d"</formula>
    </cfRule>
  </conditionalFormatting>
  <conditionalFormatting sqref="P7">
    <cfRule type="expression" dxfId="178" priority="15">
      <formula>P8&gt;0</formula>
    </cfRule>
    <cfRule type="expression" dxfId="177" priority="14">
      <formula>AND(P7&gt;0,P8&gt;0)</formula>
    </cfRule>
  </conditionalFormatting>
  <conditionalFormatting sqref="P8">
    <cfRule type="expression" dxfId="176" priority="17">
      <formula>P7&gt;0</formula>
    </cfRule>
    <cfRule type="expression" dxfId="175" priority="16">
      <formula>AND(P8&gt;0,P7&gt;0)</formula>
    </cfRule>
  </conditionalFormatting>
  <conditionalFormatting sqref="Q5">
    <cfRule type="expression" dxfId="174" priority="19">
      <formula>P4="m"</formula>
    </cfRule>
    <cfRule type="expression" dxfId="173" priority="18">
      <formula>P4="w"</formula>
    </cfRule>
    <cfRule type="expression" dxfId="172" priority="12">
      <formula>P4="d"</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Normal="100" workbookViewId="0">
      <selection activeCell="F14" sqref="F14"/>
    </sheetView>
  </sheetViews>
  <sheetFormatPr baseColWidth="10" defaultColWidth="0" defaultRowHeight="14.25" customHeight="1" zeroHeight="1"/>
  <cols>
    <col min="1" max="1" width="5.625" customWidth="1"/>
    <col min="2" max="4" width="15.625" customWidth="1"/>
    <col min="5" max="5" width="28.125" customWidth="1"/>
    <col min="6" max="6" width="17.5" customWidth="1"/>
    <col min="7" max="7" width="21.625" customWidth="1"/>
    <col min="8" max="8" width="5.625" customWidth="1"/>
    <col min="9" max="10" width="14" hidden="1" customWidth="1"/>
    <col min="11" max="11" width="13.625" hidden="1" customWidth="1"/>
    <col min="12" max="12" width="11" hidden="1" customWidth="1"/>
    <col min="13" max="13" width="12.625" hidden="1" customWidth="1"/>
    <col min="14" max="14" width="11.5" hidden="1" customWidth="1"/>
    <col min="15" max="16" width="0" hidden="1" customWidth="1"/>
    <col min="17" max="16384" width="11" hidden="1"/>
  </cols>
  <sheetData>
    <row r="1" spans="1:16" ht="18.75" customHeight="1" thickBot="1">
      <c r="A1" s="974"/>
      <c r="B1" s="974"/>
      <c r="C1" s="974"/>
      <c r="D1" s="974"/>
      <c r="E1" s="974"/>
      <c r="F1" s="974"/>
      <c r="G1" s="974"/>
      <c r="H1" s="974"/>
    </row>
    <row r="2" spans="1:16" ht="21.75" customHeight="1">
      <c r="A2" s="974"/>
      <c r="B2" s="3422" t="s">
        <v>1739</v>
      </c>
      <c r="C2" s="3423"/>
      <c r="D2" s="3423"/>
      <c r="E2" s="3423"/>
      <c r="F2" s="3423"/>
      <c r="G2" s="3424"/>
      <c r="H2" s="974"/>
    </row>
    <row r="3" spans="1:16" ht="21.75" customHeight="1" thickBot="1">
      <c r="A3" s="974"/>
      <c r="B3" s="3425" t="str">
        <f>IF(D8=0,"für gesetzlich KV- und PV-Versicherte Personen","für privatversicherte Personen")</f>
        <v>für gesetzlich KV- und PV-Versicherte Personen</v>
      </c>
      <c r="C3" s="3426"/>
      <c r="D3" s="3426"/>
      <c r="E3" s="3426"/>
      <c r="F3" s="3426"/>
      <c r="G3" s="3427"/>
      <c r="H3" s="974"/>
    </row>
    <row r="4" spans="1:16" ht="17.100000000000001" customHeight="1">
      <c r="A4" s="974"/>
      <c r="B4" s="3428" t="s">
        <v>1740</v>
      </c>
      <c r="C4" s="3429"/>
      <c r="D4" s="1722">
        <f ca="1">Heute</f>
        <v>45748</v>
      </c>
      <c r="E4" s="1723" t="s">
        <v>1741</v>
      </c>
      <c r="F4" s="1724"/>
      <c r="G4" s="3430" t="s">
        <v>1742</v>
      </c>
      <c r="H4" s="974"/>
    </row>
    <row r="5" spans="1:16" s="71" customFormat="1" ht="17.100000000000001" customHeight="1">
      <c r="A5" s="978"/>
      <c r="B5" s="3431" t="s">
        <v>1751</v>
      </c>
      <c r="C5" s="3432"/>
      <c r="D5" s="1725"/>
      <c r="E5" s="1717" t="str">
        <f>" Pro Monat: "&amp;TEXT(F4,"#.##0,00")&amp;" / 120 ="</f>
        <v xml:space="preserve"> Pro Monat: 0,00 / 120 =</v>
      </c>
      <c r="F5" s="1718">
        <f>+F4/120</f>
        <v>0</v>
      </c>
      <c r="G5" s="3430"/>
      <c r="H5" s="978"/>
    </row>
    <row r="6" spans="1:16" s="71" customFormat="1" ht="17.100000000000001" customHeight="1">
      <c r="A6" s="978"/>
      <c r="B6" s="3336" t="s">
        <v>1752</v>
      </c>
      <c r="C6" s="3338"/>
      <c r="D6" s="1682"/>
      <c r="E6" s="1716" t="s">
        <v>1743</v>
      </c>
      <c r="F6" s="1719">
        <f ca="1">IFERROR(VLOOKUP(D4,KVundPV,2),"")</f>
        <v>5512.5</v>
      </c>
      <c r="G6" s="3430"/>
      <c r="H6" s="978"/>
      <c r="O6" s="71" t="s">
        <v>1744</v>
      </c>
      <c r="P6" s="71">
        <f>IF(D6="m",1,IF(D6="w",2,3))</f>
        <v>3</v>
      </c>
    </row>
    <row r="7" spans="1:16" s="71" customFormat="1" ht="17.100000000000001" customHeight="1">
      <c r="A7" s="978"/>
      <c r="B7" s="3252" t="str">
        <f>IF(D8&gt;0,"Beitragssatz deaktiviert","Sozialabgabensatz in %: ")</f>
        <v xml:space="preserve">Sozialabgabensatz in %: </v>
      </c>
      <c r="C7" s="2435"/>
      <c r="D7" s="1726">
        <v>0.185</v>
      </c>
      <c r="E7" s="1727" t="str">
        <f>IF(D8&gt;0,"sonst. monatl. Einkommen:","sozverspfl. mon. Gesamteink.:")</f>
        <v>sozverspfl. mon. Gesamteink.:</v>
      </c>
      <c r="F7" s="1728"/>
      <c r="G7" s="3430"/>
      <c r="H7" s="978"/>
      <c r="P7" s="71" t="s">
        <v>219</v>
      </c>
    </row>
    <row r="8" spans="1:16" s="71" customFormat="1" ht="17.100000000000001" customHeight="1">
      <c r="A8" s="978"/>
      <c r="B8" s="3418" t="s">
        <v>1753</v>
      </c>
      <c r="C8" s="3386"/>
      <c r="D8" s="321"/>
      <c r="E8" s="1729" t="s">
        <v>1745</v>
      </c>
      <c r="F8" s="1718">
        <f>+D8*12</f>
        <v>0</v>
      </c>
      <c r="G8" s="3433" t="str">
        <f>Summenzeichen&amp;" der sonstigen monatl. betrieblichen AV  "&amp;P12</f>
        <v>∑ der sonstigen monatl. betrieblichen AV  ↓</v>
      </c>
      <c r="H8" s="978"/>
    </row>
    <row r="9" spans="1:16" s="71" customFormat="1" ht="17.100000000000001" customHeight="1">
      <c r="A9" s="978"/>
      <c r="B9" s="3252" t="str">
        <f>IF(D8&gt;0,"","monatl. Freibetrag nach § 226 II SGB V ("&amp;TEXT(B14,"####")&amp;"):")</f>
        <v>monatl. Freibetrag nach § 226 II SGB V (2018):</v>
      </c>
      <c r="C9" s="2435"/>
      <c r="D9" s="2435"/>
      <c r="E9" s="2435"/>
      <c r="F9" s="1719">
        <f>IFERROR(IF(D8&gt;0,"",VLOOKUP(B14,MonatlicheBezugsgroesse,2)/20),"")</f>
        <v>152.25</v>
      </c>
      <c r="G9" s="3434"/>
      <c r="H9" s="978"/>
      <c r="P9" s="71" t="s">
        <v>265</v>
      </c>
    </row>
    <row r="10" spans="1:16" s="71" customFormat="1" ht="17.100000000000001" customHeight="1" thickBot="1">
      <c r="A10" s="978"/>
      <c r="B10" s="3252" t="str">
        <f>IF(D8&gt;0,"","Anteil des sozversrechtl. Freibetrags auf "&amp;TEXT(F5,"#.##0,00")&amp;": "&amp;TEXT(F9,"#.##0,00")&amp;" x "&amp;TEXT(F5,"#.##,00")&amp;" / "&amp;IF(G10&gt;0,"("&amp;TEXT(F5,"#.##,00")&amp;" + "&amp;TEXT(G10,"#.##0,00")&amp;")",TEXT(F5,"#.##0,00")))</f>
        <v>Anteil des sozversrechtl. Freibetrags auf 0,00: 152,25 x ,00 / 0,00</v>
      </c>
      <c r="C10" s="2435"/>
      <c r="D10" s="2435"/>
      <c r="E10" s="2435"/>
      <c r="F10" s="1718" t="str">
        <f>IFERROR(F9*F5/(F5+G10),"")</f>
        <v/>
      </c>
      <c r="G10" s="1730"/>
      <c r="H10" s="978"/>
      <c r="P10" s="71" t="s">
        <v>386</v>
      </c>
    </row>
    <row r="11" spans="1:16" s="71" customFormat="1" ht="17.100000000000001" customHeight="1">
      <c r="A11" s="978"/>
      <c r="B11" s="3252" t="str">
        <f ca="1">IF(D8&gt;0,"","zu verbeitragen: ("&amp;TEXT(F5,"#.##0,00")&amp;" - "&amp;TEXT(F10,"#.##0,00")&amp;")"&amp;IF(F7&gt;F6," x "&amp;TEXT(F6,"#.##0,00")&amp;" /  "&amp;TEXT(F7,"#.##0,00"),""))</f>
        <v>zu verbeitragen: (0,00 - )</v>
      </c>
      <c r="C11" s="2435"/>
      <c r="D11" s="2435"/>
      <c r="E11" s="2435"/>
      <c r="F11" s="1731">
        <f>IF(D8&gt;0,"",IF(F9&gt;F5,0,IFERROR(+(F5-F10)*IF(F6&lt;F7,F6/F7,1),"")))</f>
        <v>0</v>
      </c>
      <c r="G11" s="1732" t="str">
        <f>"Abzinsungszins: "&amp;P12</f>
        <v>Abzinsungszins: ↓</v>
      </c>
      <c r="H11" s="978"/>
    </row>
    <row r="12" spans="1:16" s="71" customFormat="1" ht="17.100000000000001" customHeight="1">
      <c r="A12" s="978"/>
      <c r="B12" s="3252" t="str">
        <f>"anteilige jährl. Sozialabgab.: "&amp;IF(D8=0,TEXT(F11,"#.##0,00")&amp;" x 12 x "&amp;TEXT(D7,"0,00%"),TEXT(F8,"#.##0,00")&amp;" x "&amp;TEXT(F5,"#.##0,00")&amp;" /( "&amp;TEXT(F7,"#.##0,00")&amp;" + "&amp;TEXT(F5,"#.##0,00"))&amp;") = "</f>
        <v xml:space="preserve">anteilige jährl. Sozialabgab.: 0,00 x 12 x 18,50%) = </v>
      </c>
      <c r="C12" s="2435"/>
      <c r="D12" s="2435"/>
      <c r="E12" s="2435"/>
      <c r="F12" s="1733">
        <f>IFERROR(IF(D8&gt;0,IF(F8*F5/(F7+F5)&gt;F5*12,F5*12,F8*F5/(F7+F5)),F11*D7*12),"Einkommen?")</f>
        <v>0</v>
      </c>
      <c r="G12" s="1734"/>
      <c r="H12" s="978"/>
      <c r="P12" s="1735" t="s">
        <v>881</v>
      </c>
    </row>
    <row r="13" spans="1:16" s="140" customFormat="1" ht="48.75" customHeight="1">
      <c r="A13" s="1736"/>
      <c r="B13" s="1737" t="s">
        <v>59</v>
      </c>
      <c r="C13" s="1683" t="s">
        <v>7</v>
      </c>
      <c r="D13" s="1683" t="s">
        <v>1746</v>
      </c>
      <c r="E13" s="1683" t="str">
        <f>"Versterbensrisiko VVR:"&amp;CHAR(10)&amp;"Überlebende im Alter ... / "&amp;TEXT(D14,"#.##0")</f>
        <v xml:space="preserve">Versterbensrisiko VVR:
Überlebende im Alter ... / </v>
      </c>
      <c r="F13" s="1683" t="str">
        <f>"SozBeitrag unter Berücksichtigung des VVR"&amp;IF(D6="m",männlich,IF(D6="w",weiblich,IF(D6="d",divers,"")))</f>
        <v>SozBeitrag unter Berücksichtigung des VVR</v>
      </c>
      <c r="G13" s="1738" t="s">
        <v>1747</v>
      </c>
      <c r="H13" s="1736"/>
      <c r="I13" s="1739"/>
    </row>
    <row r="14" spans="1:16" ht="17.100000000000001" customHeight="1">
      <c r="A14" s="974"/>
      <c r="B14" s="1740">
        <v>2018</v>
      </c>
      <c r="C14" s="180">
        <f>IF(B14="","",+B14-$D$5)</f>
        <v>2018</v>
      </c>
      <c r="D14" s="1741" t="str">
        <f t="shared" ref="D14:D23" si="0">IFERROR(VLOOKUP(C14,CHOOSE(sVA_Geschlecht,G_Kohorte_M,G_Kohorte_F,G_Kohorte_N),D$5-1900+2),"")</f>
        <v/>
      </c>
      <c r="E14" s="1742" t="str">
        <f>IFERROR(D14/D$14,"")</f>
        <v/>
      </c>
      <c r="F14" s="1743" t="str">
        <f t="shared" ref="F14:F23" si="1">IFERROR(+F$12*E14,"")</f>
        <v/>
      </c>
      <c r="G14" s="1744">
        <f>IFERROR(+F12,"")</f>
        <v>0</v>
      </c>
      <c r="H14" s="974"/>
    </row>
    <row r="15" spans="1:16" ht="17.100000000000001" customHeight="1">
      <c r="A15" s="974"/>
      <c r="B15" s="1745">
        <f>IF(B$14="","",+B14+1)</f>
        <v>2019</v>
      </c>
      <c r="C15" s="1746">
        <f>IFERROR(+B15-$D$5,"")</f>
        <v>2019</v>
      </c>
      <c r="D15" s="1747" t="str">
        <f t="shared" si="0"/>
        <v/>
      </c>
      <c r="E15" s="1742" t="str">
        <f t="shared" ref="E15:E23" si="2">IFERROR(D15/D$14,"")</f>
        <v/>
      </c>
      <c r="F15" s="1743" t="str">
        <f t="shared" si="1"/>
        <v/>
      </c>
      <c r="G15" s="1744" t="str">
        <f>IFERROR(-PV(G$12,B15-B$14,,F15),"")</f>
        <v/>
      </c>
      <c r="H15" s="974"/>
    </row>
    <row r="16" spans="1:16" ht="17.100000000000001" customHeight="1">
      <c r="A16" s="974"/>
      <c r="B16" s="1745">
        <f t="shared" ref="B16:B23" si="3">IF(B$14="","",+B15+1)</f>
        <v>2020</v>
      </c>
      <c r="C16" s="1746">
        <f t="shared" ref="C16:C23" si="4">IFERROR(+B16-$D$5,"")</f>
        <v>2020</v>
      </c>
      <c r="D16" s="1747" t="str">
        <f t="shared" si="0"/>
        <v/>
      </c>
      <c r="E16" s="1742" t="str">
        <f t="shared" si="2"/>
        <v/>
      </c>
      <c r="F16" s="1743" t="str">
        <f t="shared" si="1"/>
        <v/>
      </c>
      <c r="G16" s="1744" t="str">
        <f t="shared" ref="G16:G23" si="5">IFERROR(-PV(G$12,B16-B$14,,F16),"")</f>
        <v/>
      </c>
      <c r="H16" s="974"/>
      <c r="J16" s="149"/>
      <c r="K16" s="149"/>
    </row>
    <row r="17" spans="1:16" ht="17.100000000000001" customHeight="1">
      <c r="A17" s="974"/>
      <c r="B17" s="1745">
        <f t="shared" si="3"/>
        <v>2021</v>
      </c>
      <c r="C17" s="1746">
        <f t="shared" si="4"/>
        <v>2021</v>
      </c>
      <c r="D17" s="1747" t="str">
        <f t="shared" si="0"/>
        <v/>
      </c>
      <c r="E17" s="1742" t="str">
        <f t="shared" si="2"/>
        <v/>
      </c>
      <c r="F17" s="1743" t="str">
        <f t="shared" si="1"/>
        <v/>
      </c>
      <c r="G17" s="1744" t="str">
        <f t="shared" si="5"/>
        <v/>
      </c>
      <c r="H17" s="974"/>
    </row>
    <row r="18" spans="1:16" ht="17.100000000000001" customHeight="1">
      <c r="A18" s="974"/>
      <c r="B18" s="1745">
        <f t="shared" si="3"/>
        <v>2022</v>
      </c>
      <c r="C18" s="1746">
        <f t="shared" si="4"/>
        <v>2022</v>
      </c>
      <c r="D18" s="1747" t="str">
        <f t="shared" si="0"/>
        <v/>
      </c>
      <c r="E18" s="1742" t="str">
        <f t="shared" si="2"/>
        <v/>
      </c>
      <c r="F18" s="1743" t="str">
        <f t="shared" si="1"/>
        <v/>
      </c>
      <c r="G18" s="1744" t="str">
        <f t="shared" si="5"/>
        <v/>
      </c>
      <c r="H18" s="974"/>
    </row>
    <row r="19" spans="1:16" ht="17.100000000000001" customHeight="1">
      <c r="A19" s="974"/>
      <c r="B19" s="1745">
        <f t="shared" si="3"/>
        <v>2023</v>
      </c>
      <c r="C19" s="1746">
        <f t="shared" si="4"/>
        <v>2023</v>
      </c>
      <c r="D19" s="1747" t="str">
        <f t="shared" si="0"/>
        <v/>
      </c>
      <c r="E19" s="1742" t="str">
        <f t="shared" si="2"/>
        <v/>
      </c>
      <c r="F19" s="1743" t="str">
        <f t="shared" si="1"/>
        <v/>
      </c>
      <c r="G19" s="1744" t="str">
        <f t="shared" si="5"/>
        <v/>
      </c>
      <c r="H19" s="974"/>
    </row>
    <row r="20" spans="1:16" ht="17.100000000000001" customHeight="1">
      <c r="A20" s="974"/>
      <c r="B20" s="1745">
        <f t="shared" si="3"/>
        <v>2024</v>
      </c>
      <c r="C20" s="1746">
        <f t="shared" si="4"/>
        <v>2024</v>
      </c>
      <c r="D20" s="1747" t="str">
        <f t="shared" si="0"/>
        <v/>
      </c>
      <c r="E20" s="1742" t="str">
        <f t="shared" si="2"/>
        <v/>
      </c>
      <c r="F20" s="1743" t="str">
        <f t="shared" si="1"/>
        <v/>
      </c>
      <c r="G20" s="1744" t="str">
        <f t="shared" si="5"/>
        <v/>
      </c>
      <c r="H20" s="974"/>
    </row>
    <row r="21" spans="1:16" ht="17.100000000000001" customHeight="1">
      <c r="A21" s="974"/>
      <c r="B21" s="1745">
        <f t="shared" si="3"/>
        <v>2025</v>
      </c>
      <c r="C21" s="1746">
        <f t="shared" si="4"/>
        <v>2025</v>
      </c>
      <c r="D21" s="1747" t="str">
        <f t="shared" si="0"/>
        <v/>
      </c>
      <c r="E21" s="1742" t="str">
        <f t="shared" si="2"/>
        <v/>
      </c>
      <c r="F21" s="1743" t="str">
        <f t="shared" si="1"/>
        <v/>
      </c>
      <c r="G21" s="1744" t="str">
        <f t="shared" si="5"/>
        <v/>
      </c>
      <c r="H21" s="974"/>
    </row>
    <row r="22" spans="1:16" ht="17.100000000000001" customHeight="1">
      <c r="A22" s="974"/>
      <c r="B22" s="1745">
        <f t="shared" si="3"/>
        <v>2026</v>
      </c>
      <c r="C22" s="1746">
        <f t="shared" si="4"/>
        <v>2026</v>
      </c>
      <c r="D22" s="1747" t="str">
        <f t="shared" si="0"/>
        <v/>
      </c>
      <c r="E22" s="1742" t="str">
        <f t="shared" si="2"/>
        <v/>
      </c>
      <c r="F22" s="1743" t="str">
        <f t="shared" si="1"/>
        <v/>
      </c>
      <c r="G22" s="1744" t="str">
        <f t="shared" si="5"/>
        <v/>
      </c>
      <c r="H22" s="974"/>
    </row>
    <row r="23" spans="1:16" ht="17.100000000000001" customHeight="1">
      <c r="A23" s="974"/>
      <c r="B23" s="1745">
        <f t="shared" si="3"/>
        <v>2027</v>
      </c>
      <c r="C23" s="1746">
        <f t="shared" si="4"/>
        <v>2027</v>
      </c>
      <c r="D23" s="1747" t="str">
        <f t="shared" si="0"/>
        <v/>
      </c>
      <c r="E23" s="1742" t="str">
        <f t="shared" si="2"/>
        <v/>
      </c>
      <c r="F23" s="1743" t="str">
        <f t="shared" si="1"/>
        <v/>
      </c>
      <c r="G23" s="1744" t="str">
        <f t="shared" si="5"/>
        <v/>
      </c>
      <c r="H23" s="974"/>
    </row>
    <row r="24" spans="1:16" ht="36" customHeight="1">
      <c r="A24" s="974"/>
      <c r="B24" s="3412" t="s">
        <v>1748</v>
      </c>
      <c r="C24" s="3413"/>
      <c r="D24" s="3413"/>
      <c r="E24" s="3413"/>
      <c r="F24" s="3414"/>
      <c r="G24" s="1748">
        <f>SUM(G14:G23)</f>
        <v>0</v>
      </c>
      <c r="H24" s="974"/>
    </row>
    <row r="25" spans="1:16" ht="17.100000000000001" customHeight="1">
      <c r="A25" s="974"/>
      <c r="B25" s="3415" t="str">
        <f>"Barwert nach Tabelle 9a zu § 13 BewG: "&amp;TEXT(F12,"#.##0,00")&amp;" x 7,745 ="</f>
        <v>Barwert nach Tabelle 9a zu § 13 BewG: 0,00 x 7,745 =</v>
      </c>
      <c r="C25" s="3416"/>
      <c r="D25" s="3416"/>
      <c r="E25" s="3416"/>
      <c r="F25" s="3417"/>
      <c r="G25" s="1748">
        <f>IFERROR(F12*7.745,"")</f>
        <v>0</v>
      </c>
      <c r="H25" s="974"/>
      <c r="O25" t="s">
        <v>1749</v>
      </c>
      <c r="P25" s="15">
        <v>1</v>
      </c>
    </row>
    <row r="26" spans="1:16" ht="17.100000000000001" customHeight="1">
      <c r="A26" s="974"/>
      <c r="B26" s="3336" t="str">
        <f>IFERROR("Ehezeitanteil in % der Kapitalzahlung i.H.v. "&amp;TEXT(F4,"#.##0,00")&amp;" - "&amp;TEXT(CHOOSE(O_BewG,G24,G25),"#.##0,00")&amp;" =  "&amp;TEXT(F4-CHOOSE(O_BewG,G24,G25),"#.##0,00")&amp;": ","")</f>
        <v xml:space="preserve">Ehezeitanteil in % der Kapitalzahlung i.H.v. 0,00 - 0,00 =  0,00: </v>
      </c>
      <c r="C26" s="3337"/>
      <c r="D26" s="3337"/>
      <c r="E26" s="3337"/>
      <c r="F26" s="3338"/>
      <c r="G26" s="88">
        <v>1</v>
      </c>
      <c r="H26" s="974"/>
    </row>
    <row r="27" spans="1:16" ht="17.100000000000001" customHeight="1">
      <c r="A27" s="974"/>
      <c r="B27" s="3418" t="str">
        <f>IFERROR("Ehezeitanteil der Kapitalzahlung: "&amp;TEXT(F4-CHOOSE(O_BewG,G24,G25),"#.##0,00")&amp;" x "&amp;TEXT(G26,"0,00%")&amp;": ","")</f>
        <v xml:space="preserve">Ehezeitanteil der Kapitalzahlung: 0,00 x 100,00%: </v>
      </c>
      <c r="C27" s="3385"/>
      <c r="D27" s="3385"/>
      <c r="E27" s="3385"/>
      <c r="F27" s="3386"/>
      <c r="G27" s="1749">
        <f>IFERROR(+G26*(F4-CHOOSE(O_BewG,G24,G25)),"")</f>
        <v>0</v>
      </c>
      <c r="H27" s="974"/>
    </row>
    <row r="28" spans="1:16" ht="23.25" customHeight="1" thickBot="1">
      <c r="A28" s="974"/>
      <c r="B28" s="3419" t="str">
        <f>"schuldrechtlich auszugleichender Anteil: "&amp;TEXT(G27,"#.##0,00")&amp;" / 2 = "</f>
        <v xml:space="preserve">schuldrechtlich auszugleichender Anteil: 0,00 / 2 = </v>
      </c>
      <c r="C28" s="3420"/>
      <c r="D28" s="3420"/>
      <c r="E28" s="3420"/>
      <c r="F28" s="3421"/>
      <c r="G28" s="1750">
        <f>IFERROR(G27/2,"")</f>
        <v>0</v>
      </c>
      <c r="H28" s="974"/>
    </row>
    <row r="29" spans="1:16" ht="19.5" customHeight="1">
      <c r="A29" s="3411" t="s">
        <v>1754</v>
      </c>
      <c r="B29" s="3411"/>
      <c r="C29" s="3411"/>
      <c r="D29" s="3411"/>
      <c r="E29" s="3411"/>
      <c r="F29" s="3411"/>
      <c r="G29" s="3411"/>
      <c r="H29" s="3411"/>
    </row>
    <row r="129" spans="2:3" hidden="1"/>
    <row r="132" spans="2:3" hidden="1">
      <c r="B132" s="1437" t="s">
        <v>1750</v>
      </c>
      <c r="C132" s="1438">
        <v>18.600000000000001</v>
      </c>
    </row>
  </sheetData>
  <sheetProtection algorithmName="SHA-512" hashValue="nG+Q7gDT1ILp/t4U6tAqyEyZMFPeI7CRl23dk90KktztKK9fixCWi5tMiCEfnPLi0bh9rTmMMUlKvdiqnFjRnQ==" saltValue="q76NV4zqWQctHMUPEK+iDA==" spinCount="100000" sheet="1" objects="1" scenarios="1"/>
  <mergeCells count="19">
    <mergeCell ref="B12:E12"/>
    <mergeCell ref="B2:G2"/>
    <mergeCell ref="B3:G3"/>
    <mergeCell ref="B4:C4"/>
    <mergeCell ref="G4:G7"/>
    <mergeCell ref="B5:C5"/>
    <mergeCell ref="B6:C6"/>
    <mergeCell ref="B7:C7"/>
    <mergeCell ref="B8:C8"/>
    <mergeCell ref="G8:G9"/>
    <mergeCell ref="B9:E9"/>
    <mergeCell ref="B10:E10"/>
    <mergeCell ref="B11:E11"/>
    <mergeCell ref="A29:H29"/>
    <mergeCell ref="B24:F24"/>
    <mergeCell ref="B25:F25"/>
    <mergeCell ref="B26:F26"/>
    <mergeCell ref="B27:F27"/>
    <mergeCell ref="B28:F28"/>
  </mergeCells>
  <conditionalFormatting sqref="B14">
    <cfRule type="expression" dxfId="171" priority="13">
      <formula>B14=""</formula>
    </cfRule>
  </conditionalFormatting>
  <conditionalFormatting sqref="B24 G24">
    <cfRule type="expression" dxfId="170" priority="19">
      <formula>O_BewG=1</formula>
    </cfRule>
  </conditionalFormatting>
  <conditionalFormatting sqref="B25 G25">
    <cfRule type="expression" dxfId="169" priority="18">
      <formula>O_BewG=2</formula>
    </cfRule>
  </conditionalFormatting>
  <conditionalFormatting sqref="D4:D6">
    <cfRule type="expression" dxfId="168" priority="4">
      <formula>D4=""</formula>
    </cfRule>
  </conditionalFormatting>
  <conditionalFormatting sqref="D6">
    <cfRule type="expression" dxfId="167" priority="1">
      <formula>D6="d"</formula>
    </cfRule>
    <cfRule type="expression" dxfId="166" priority="2">
      <formula>D6="w"</formula>
    </cfRule>
    <cfRule type="expression" dxfId="165" priority="3">
      <formula>D6="m"</formula>
    </cfRule>
  </conditionalFormatting>
  <conditionalFormatting sqref="D7">
    <cfRule type="expression" dxfId="164" priority="12">
      <formula>D8&gt;0</formula>
    </cfRule>
    <cfRule type="expression" dxfId="163" priority="21">
      <formula>D7=""</formula>
    </cfRule>
  </conditionalFormatting>
  <conditionalFormatting sqref="D8">
    <cfRule type="expression" dxfId="162" priority="11">
      <formula>AND(D8="",D7="")</formula>
    </cfRule>
  </conditionalFormatting>
  <conditionalFormatting sqref="E8">
    <cfRule type="expression" dxfId="161" priority="16">
      <formula>D8=""</formula>
    </cfRule>
  </conditionalFormatting>
  <conditionalFormatting sqref="F4">
    <cfRule type="expression" dxfId="160" priority="7">
      <formula>F4=""</formula>
    </cfRule>
  </conditionalFormatting>
  <conditionalFormatting sqref="F7">
    <cfRule type="expression" dxfId="159" priority="14">
      <formula>AND(D8&gt;0,F7=0)</formula>
    </cfRule>
  </conditionalFormatting>
  <conditionalFormatting sqref="F8">
    <cfRule type="expression" dxfId="158" priority="15">
      <formula>D8=""</formula>
    </cfRule>
  </conditionalFormatting>
  <conditionalFormatting sqref="F12">
    <cfRule type="expression" dxfId="157" priority="10">
      <formula>F12="Einkommen?"</formula>
    </cfRule>
  </conditionalFormatting>
  <conditionalFormatting sqref="G8">
    <cfRule type="expression" dxfId="156" priority="22">
      <formula>D12&gt;0</formula>
    </cfRule>
    <cfRule type="expression" dxfId="155" priority="23">
      <formula>D8&gt;0</formula>
    </cfRule>
  </conditionalFormatting>
  <conditionalFormatting sqref="G10 G4">
    <cfRule type="expression" dxfId="154" priority="9">
      <formula>D8&gt;0</formula>
    </cfRule>
  </conditionalFormatting>
  <conditionalFormatting sqref="G10">
    <cfRule type="expression" dxfId="153" priority="8">
      <formula>D8=""</formula>
    </cfRule>
  </conditionalFormatting>
  <conditionalFormatting sqref="G12">
    <cfRule type="expression" dxfId="152" priority="17">
      <formula>G12=""</formula>
    </cfRule>
  </conditionalFormatting>
  <conditionalFormatting sqref="G26">
    <cfRule type="expression" dxfId="151"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180975</xdr:colOff>
                    <xdr:row>23</xdr:row>
                    <xdr:rowOff>257175</xdr:rowOff>
                  </from>
                  <to>
                    <xdr:col>2</xdr:col>
                    <xdr:colOff>333375</xdr:colOff>
                    <xdr:row>23</xdr:row>
                    <xdr:rowOff>409575</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180975</xdr:colOff>
                    <xdr:row>23</xdr:row>
                    <xdr:rowOff>419100</xdr:rowOff>
                  </from>
                  <to>
                    <xdr:col>2</xdr:col>
                    <xdr:colOff>371475</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25" zeroHeight="1"/>
  <cols>
    <col min="1" max="1" width="10.625" hidden="1" customWidth="1"/>
    <col min="2" max="2" width="2.625" customWidth="1"/>
    <col min="3" max="3" width="47.5" customWidth="1"/>
    <col min="4" max="4" width="12.625" customWidth="1"/>
    <col min="5" max="6" width="18.125" customWidth="1"/>
    <col min="7" max="7" width="2.625" customWidth="1"/>
    <col min="8" max="9" width="10.625" hidden="1" customWidth="1"/>
    <col min="10" max="12" width="10.625" customWidth="1"/>
    <col min="13" max="13" width="12.625" customWidth="1"/>
    <col min="14" max="14" width="11.625" customWidth="1"/>
    <col min="15" max="15" width="2.625" customWidth="1"/>
    <col min="16" max="16" width="11.625" hidden="1" customWidth="1"/>
    <col min="17" max="17" width="12.625" hidden="1" customWidth="1"/>
    <col min="18" max="16384" width="10.625" hidden="1"/>
  </cols>
  <sheetData>
    <row r="1" spans="2:17" ht="15" thickBot="1">
      <c r="B1" s="1922">
        <v>140</v>
      </c>
      <c r="C1" s="25"/>
      <c r="D1" s="25"/>
      <c r="E1" s="25"/>
      <c r="F1" s="25"/>
      <c r="G1" s="25"/>
      <c r="J1" s="25"/>
      <c r="K1" s="25"/>
      <c r="L1" s="25"/>
      <c r="M1" s="25"/>
      <c r="N1" s="25"/>
      <c r="O1" s="25"/>
    </row>
    <row r="2" spans="2:17" ht="33.75" customHeight="1">
      <c r="B2" s="25"/>
      <c r="C2" s="908" t="s">
        <v>1021</v>
      </c>
      <c r="D2" s="3467" t="s">
        <v>1020</v>
      </c>
      <c r="E2" s="3468"/>
      <c r="F2" s="3469"/>
      <c r="G2" s="2084" t="e" vm="2">
        <v>#VALUE!</v>
      </c>
      <c r="J2" s="3493" t="s">
        <v>360</v>
      </c>
      <c r="K2" s="3494"/>
      <c r="L2" s="3494"/>
      <c r="M2" s="3494"/>
      <c r="N2" s="3495"/>
      <c r="O2" s="25"/>
    </row>
    <row r="3" spans="2:17" ht="14.25" customHeight="1">
      <c r="B3" s="322">
        <v>5</v>
      </c>
      <c r="C3" s="3502" t="s">
        <v>351</v>
      </c>
      <c r="D3" s="3503"/>
      <c r="E3" s="3504"/>
      <c r="F3" s="3505"/>
      <c r="G3" s="322">
        <v>5</v>
      </c>
      <c r="J3" s="3487" t="s">
        <v>356</v>
      </c>
      <c r="K3" s="3488"/>
      <c r="L3" s="3488"/>
      <c r="M3" s="3489"/>
      <c r="N3" s="739"/>
      <c r="O3" s="25"/>
    </row>
    <row r="4" spans="2:17">
      <c r="B4" s="322">
        <v>6</v>
      </c>
      <c r="C4" s="3502" t="str">
        <f>IF(AND(E4="",F4=""),"Ehezeitende eingeben:",IF(AND(E4="",F4&gt;0),"Ehezeitende aus Fallerfassung übernommen","Ehezeitende"))</f>
        <v>Ehezeitende eingeben:</v>
      </c>
      <c r="D4" s="3503"/>
      <c r="E4" s="903"/>
      <c r="F4" s="2169" t="str">
        <f>IF(E4&gt;0,E4,IF(Dat_EzE&gt;0,Dat_EzE,""))</f>
        <v/>
      </c>
      <c r="G4" s="322">
        <v>6</v>
      </c>
      <c r="J4" s="3487" t="s">
        <v>279</v>
      </c>
      <c r="K4" s="3488"/>
      <c r="L4" s="3488"/>
      <c r="M4" s="3489"/>
      <c r="N4" s="1137" t="str">
        <f>IF(N3="","",DATE(YEAR(N3)+65,MONTH(N3)+VLOOKUP(YEAR(N3),Regelaltersgrenze,2),DAY(N3)))</f>
        <v/>
      </c>
      <c r="O4" s="25"/>
    </row>
    <row r="5" spans="2:17">
      <c r="B5" s="322">
        <v>7</v>
      </c>
      <c r="C5" s="3502" t="s">
        <v>353</v>
      </c>
      <c r="D5" s="3503"/>
      <c r="E5" s="3510"/>
      <c r="F5" s="3511"/>
      <c r="G5" s="322">
        <v>7</v>
      </c>
      <c r="J5" s="3487" t="s">
        <v>357</v>
      </c>
      <c r="K5" s="3488"/>
      <c r="L5" s="3488"/>
      <c r="M5" s="3489"/>
      <c r="N5" s="1138" t="str">
        <f>IFERROR(YEARFRAC(F4,N4,0),"")</f>
        <v/>
      </c>
      <c r="O5" s="25"/>
    </row>
    <row r="6" spans="2:17">
      <c r="B6" s="322">
        <v>8</v>
      </c>
      <c r="C6" s="3502" t="str">
        <f>"Datum der Anpassungsberechnung (Daten bis "&amp;TEXT(Enddatum,"TT.MM.JJ")&amp;" vorhanden:"</f>
        <v>Datum der Anpassungsberechnung (Daten bis 31.03.25 vorhanden:</v>
      </c>
      <c r="D6" s="3503"/>
      <c r="E6" s="3506"/>
      <c r="F6" s="3507"/>
      <c r="G6" s="322">
        <v>8</v>
      </c>
      <c r="J6" s="3487" t="s">
        <v>358</v>
      </c>
      <c r="K6" s="3488"/>
      <c r="L6" s="3488"/>
      <c r="M6" s="3489"/>
      <c r="N6" s="1138" t="str">
        <f>IFERROR(YEARFRAC(E6,N4,0),"")</f>
        <v/>
      </c>
      <c r="O6" s="25"/>
    </row>
    <row r="7" spans="2:17">
      <c r="B7" s="322">
        <v>9</v>
      </c>
      <c r="C7" s="3475" t="s">
        <v>1206</v>
      </c>
      <c r="D7" s="3476"/>
      <c r="E7" s="3481" t="s">
        <v>852</v>
      </c>
      <c r="F7" s="3484" t="s">
        <v>853</v>
      </c>
      <c r="G7" s="322">
        <v>9</v>
      </c>
      <c r="J7" s="3487" t="s">
        <v>372</v>
      </c>
      <c r="K7" s="3488"/>
      <c r="L7" s="3488"/>
      <c r="M7" s="3489"/>
      <c r="N7" s="324"/>
      <c r="O7" s="25"/>
    </row>
    <row r="8" spans="2:17">
      <c r="B8" s="322">
        <v>10</v>
      </c>
      <c r="C8" s="3477"/>
      <c r="D8" s="3478"/>
      <c r="E8" s="3482"/>
      <c r="F8" s="3485"/>
      <c r="G8" s="322">
        <v>10</v>
      </c>
      <c r="J8" s="3487" t="s">
        <v>359</v>
      </c>
      <c r="K8" s="3488"/>
      <c r="L8" s="3488"/>
      <c r="M8" s="3489"/>
      <c r="N8" s="1060"/>
      <c r="O8" s="25"/>
    </row>
    <row r="9" spans="2:17" ht="14.25" customHeight="1">
      <c r="B9" s="322">
        <v>11</v>
      </c>
      <c r="C9" s="3479"/>
      <c r="D9" s="3480"/>
      <c r="E9" s="3483"/>
      <c r="F9" s="3486"/>
      <c r="G9" s="322">
        <v>11</v>
      </c>
      <c r="J9" s="3487" t="str">
        <f>IFERROR("Rechnungszins: BilMoG-7 im EzE: "&amp;TEXT(VLOOKUP(F4,BilmoGZins,16)/100,"0,00%")&amp;" / "&amp;"am "&amp;TEXT(E6,"tt.MM.JJJJ")&amp;": "&amp;TEXT(VLOOKUP(E6,BilmoGZins,16)/100,"0,00%"),"")</f>
        <v/>
      </c>
      <c r="K9" s="3488"/>
      <c r="L9" s="3488"/>
      <c r="M9" s="3489"/>
      <c r="N9" s="742"/>
      <c r="O9" s="2771"/>
    </row>
    <row r="10" spans="2:17" ht="14.25" customHeight="1">
      <c r="B10" s="322">
        <v>12</v>
      </c>
      <c r="C10" s="3502" t="s">
        <v>373</v>
      </c>
      <c r="D10" s="3503"/>
      <c r="E10" s="402"/>
      <c r="F10" s="2170"/>
      <c r="G10" s="322">
        <v>12</v>
      </c>
      <c r="J10" s="3487" t="str">
        <f>"Unterhalt mon. Verrentung des Kapitals über "&amp;TEXT(N7,"0,0")&amp;" Jahre bei "&amp;TEXT(N9,"0,00%")</f>
        <v>Unterhalt mon. Verrentung des Kapitals über 0,0 Jahre bei 0,00%</v>
      </c>
      <c r="K10" s="3488"/>
      <c r="L10" s="3488"/>
      <c r="M10" s="3489"/>
      <c r="N10" s="224" t="str">
        <f>IFERROR(-PMT(N9,N7,N8)/12,"")</f>
        <v/>
      </c>
      <c r="O10" s="2771"/>
    </row>
    <row r="11" spans="2:17" ht="15" thickBot="1">
      <c r="B11" s="322">
        <v>13</v>
      </c>
      <c r="C11" s="3502" t="s">
        <v>374</v>
      </c>
      <c r="D11" s="3503"/>
      <c r="E11" s="402"/>
      <c r="F11" s="2171"/>
      <c r="G11" s="322">
        <v>13</v>
      </c>
      <c r="J11" s="3490" t="str">
        <f>"monatliche Unterhaltshöhe: "&amp;TEXT(N8,"#.##0,00")&amp;" / "&amp;TEXT(N7,"0,00")&amp;" / 12: "</f>
        <v xml:space="preserve">monatliche Unterhaltshöhe: 0,00 / 0,00 / 12: </v>
      </c>
      <c r="K11" s="3491"/>
      <c r="L11" s="3491"/>
      <c r="M11" s="3492"/>
      <c r="N11" s="944" t="str">
        <f>IFERROR(+N8/N7/12,"")</f>
        <v/>
      </c>
      <c r="O11" s="2771"/>
    </row>
    <row r="12" spans="2:17">
      <c r="B12" s="322">
        <v>14</v>
      </c>
      <c r="C12" s="3502" t="str">
        <f>"./. Erwerbstätigenbonus: "&amp;IF(E5=0,"",TEXT(E5,"0/#0"))</f>
        <v xml:space="preserve">./. Erwerbstätigenbonus: </v>
      </c>
      <c r="D12" s="3503"/>
      <c r="E12" s="823">
        <f>-E11*E5</f>
        <v>0</v>
      </c>
      <c r="F12" s="1010">
        <f>-F11*E5</f>
        <v>0</v>
      </c>
      <c r="G12" s="25"/>
      <c r="J12" s="3496" t="s">
        <v>361</v>
      </c>
      <c r="K12" s="3497"/>
      <c r="L12" s="3497"/>
      <c r="M12" s="3497"/>
      <c r="N12" s="3498"/>
      <c r="O12" s="2771"/>
    </row>
    <row r="13" spans="2:17" ht="15">
      <c r="B13" s="322">
        <v>15</v>
      </c>
      <c r="C13" s="3512" t="s">
        <v>354</v>
      </c>
      <c r="D13" s="3513"/>
      <c r="E13" s="555">
        <f>+E12+E11+E10</f>
        <v>0</v>
      </c>
      <c r="F13" s="2172">
        <f>+F12+F11+F10</f>
        <v>0</v>
      </c>
      <c r="G13" s="25"/>
      <c r="J13" s="3499"/>
      <c r="K13" s="3500"/>
      <c r="L13" s="3500"/>
      <c r="M13" s="3500"/>
      <c r="N13" s="3501"/>
      <c r="O13" s="2771"/>
    </row>
    <row r="14" spans="2:17">
      <c r="B14" s="322">
        <v>16</v>
      </c>
      <c r="C14" s="3502" t="s">
        <v>303</v>
      </c>
      <c r="D14" s="3503"/>
      <c r="E14" s="3508">
        <f>ABS(E13-F13)</f>
        <v>0</v>
      </c>
      <c r="F14" s="3509"/>
      <c r="G14" s="322">
        <v>16</v>
      </c>
      <c r="J14" s="3470" t="s">
        <v>356</v>
      </c>
      <c r="K14" s="3471"/>
      <c r="L14" s="3471"/>
      <c r="M14" s="3471"/>
      <c r="N14" s="739"/>
      <c r="O14" s="2771"/>
      <c r="P14" t="s">
        <v>257</v>
      </c>
      <c r="Q14" s="15">
        <v>2</v>
      </c>
    </row>
    <row r="15" spans="2:17" ht="15">
      <c r="B15" s="322">
        <v>17</v>
      </c>
      <c r="C15" s="807" t="str">
        <f>"gesetzlicher Unterhalt: "&amp;TEXT(E14,"#.##0,00")&amp;" / 2 ="</f>
        <v>gesetzlicher Unterhalt: 0,00 / 2 =</v>
      </c>
      <c r="D15" s="321"/>
      <c r="E15" s="555">
        <f>IF(VereinbarterUnterhalt,-D15,IF(E14&gt;F14,-E14/2,-F15))</f>
        <v>0</v>
      </c>
      <c r="F15" s="2172"/>
      <c r="G15" s="322">
        <v>17</v>
      </c>
      <c r="H15" t="s">
        <v>355</v>
      </c>
      <c r="I15" s="15" t="b">
        <v>0</v>
      </c>
      <c r="J15" s="3470" t="s">
        <v>362</v>
      </c>
      <c r="K15" s="3471"/>
      <c r="L15" s="3471"/>
      <c r="M15" s="3471"/>
      <c r="N15" s="739">
        <f ca="1">TODAY()</f>
        <v>45748</v>
      </c>
      <c r="O15" s="2771"/>
    </row>
    <row r="16" spans="2:17">
      <c r="B16" s="322">
        <v>18</v>
      </c>
      <c r="C16" s="1455" t="str">
        <f>"Saldo d. Versorgungskürzung am EzE in "&amp;IF(Euro_EP,"Euro: ","EP: ")</f>
        <v xml:space="preserve">Saldo d. Versorgungskürzung am EzE in Euro: </v>
      </c>
      <c r="D16" s="2173"/>
      <c r="E16" s="823">
        <f>IFERROR(-D16*IF(Euro_EP,1,VLOOKUP(F4,AktuellerRentenwert,2)),"")</f>
        <v>0</v>
      </c>
      <c r="F16" s="809" t="str">
        <f>IFERROR(IF(Euro_EP=FALSE,"Kapitalwert: "&amp;TEXT(VLOOKUP(F4,EntgeltpunkteInKapital,2)*D16,"#.000,00 €"),""),"")</f>
        <v/>
      </c>
      <c r="G16" s="322">
        <v>18</v>
      </c>
      <c r="H16" t="s">
        <v>350</v>
      </c>
      <c r="I16" s="15" t="b">
        <v>1</v>
      </c>
      <c r="J16" s="3470" t="s">
        <v>279</v>
      </c>
      <c r="K16" s="3471"/>
      <c r="L16" s="3471"/>
      <c r="M16" s="3471"/>
      <c r="N16" s="1137" t="str">
        <f>IF(N14="","",DATE(YEAR(N14)+65,MONTH(N14)+VLOOKUP(YEAR(N14),Regelaltersgrenze,2),DAY(N14)))</f>
        <v/>
      </c>
      <c r="O16" s="2771"/>
    </row>
    <row r="17" spans="2:17">
      <c r="B17" s="322">
        <v>19</v>
      </c>
      <c r="C17" s="3502" t="s">
        <v>352</v>
      </c>
      <c r="D17" s="3503"/>
      <c r="E17" s="3508" t="str">
        <f>IFERROR(-VLOOKUP(YEAR(F4),MonatlicheBezugsgroesse,2)*IF(Euro_EP,0.02,2.4),"")</f>
        <v/>
      </c>
      <c r="F17" s="3509"/>
      <c r="G17" s="322">
        <v>19</v>
      </c>
      <c r="J17" s="3470" t="s">
        <v>357</v>
      </c>
      <c r="K17" s="3471"/>
      <c r="L17" s="3471"/>
      <c r="M17" s="3471"/>
      <c r="N17" s="1138" t="str">
        <f>IFERROR(YEARFRAC(F4,N4,0),"")</f>
        <v/>
      </c>
      <c r="O17" s="2771"/>
    </row>
    <row r="18" spans="2:17" ht="15">
      <c r="B18" s="322">
        <v>20</v>
      </c>
      <c r="C18" s="3502" t="s">
        <v>349</v>
      </c>
      <c r="D18" s="3503"/>
      <c r="E18" s="555">
        <f>IF(E16&lt;0,IF(E16&gt;E17,0,MAX(E15:E16)),0)</f>
        <v>0</v>
      </c>
      <c r="F18" s="2172">
        <f>IF(F16&lt;0,IF(F15&gt;F16,-F15,F16),0)</f>
        <v>0</v>
      </c>
      <c r="G18" s="322">
        <v>20</v>
      </c>
      <c r="J18" s="3470" t="s">
        <v>358</v>
      </c>
      <c r="K18" s="3471"/>
      <c r="L18" s="3471"/>
      <c r="M18" s="3471"/>
      <c r="N18" s="1138" t="str">
        <f>IFERROR(YEARFRAC(E6,N4,0),"")</f>
        <v/>
      </c>
      <c r="O18" s="2771"/>
    </row>
    <row r="19" spans="2:17" ht="15">
      <c r="B19" s="322">
        <v>21</v>
      </c>
      <c r="C19" s="3516" t="str">
        <f>IF(E15&lt;0,IF(E18+F18&lt;=E17,"Anpassung ist möglich (§ 33 II VersAusglG)","Anpassung ist nicht möglich (§ 33 II VersAusglG)"),"")</f>
        <v/>
      </c>
      <c r="D19" s="3517"/>
      <c r="E19" s="3517"/>
      <c r="F19" s="3518"/>
      <c r="G19" s="322">
        <v>21</v>
      </c>
      <c r="J19" s="3470" t="str">
        <f ca="1">"Lebenserwartung ab Berechnungsdatum "&amp;TEXT(N15,"TT.MM.JJJJ")</f>
        <v>Lebenserwartung ab Berechnungsdatum 01.04.2025</v>
      </c>
      <c r="K19" s="3471"/>
      <c r="L19" s="3471"/>
      <c r="M19" s="3471"/>
      <c r="N19" s="1138" t="str">
        <f>IF(N14="","",ROUND(VLOOKUP(YEARFRAC(N14,N15,0),CHOOSE(Geschlecht,Lebenserwartung_M_V2,Lebenserwartung_F_V2),YEAR(N14)-1900+2),2))</f>
        <v/>
      </c>
      <c r="O19" s="25"/>
    </row>
    <row r="20" spans="2:17">
      <c r="B20" s="322">
        <v>22</v>
      </c>
      <c r="C20" s="3502" t="str">
        <f>IFERROR("Rente nach Anpassung: "&amp;TEXT(E10,"#.##0,00")&amp;" - "&amp;TEXT(ABS(E16),"#.##0,00")&amp;" + "&amp;TEXT(ABS(E18),"#.##0,00"),"")</f>
        <v>Rente nach Anpassung: 0,00 - 0,00 + 0,00</v>
      </c>
      <c r="D20" s="3503"/>
      <c r="E20" s="823">
        <f>IFERROR(+E10+E16-E18,"")</f>
        <v>0</v>
      </c>
      <c r="F20" s="1012"/>
      <c r="G20" s="322">
        <v>22</v>
      </c>
      <c r="J20" s="3470" t="s">
        <v>369</v>
      </c>
      <c r="K20" s="3471"/>
      <c r="L20" s="3471"/>
      <c r="M20" s="3471"/>
      <c r="N20" s="323"/>
      <c r="O20" s="25"/>
    </row>
    <row r="21" spans="2:17">
      <c r="B21" s="322">
        <v>23</v>
      </c>
      <c r="C21" s="3502" t="str">
        <f>+C11</f>
        <v xml:space="preserve">anrechenbares Erwerbseinkommen: </v>
      </c>
      <c r="D21" s="3503"/>
      <c r="E21" s="553"/>
      <c r="F21" s="1010">
        <f>+F11</f>
        <v>0</v>
      </c>
      <c r="G21" s="322">
        <v>23</v>
      </c>
      <c r="J21" s="3470" t="s">
        <v>370</v>
      </c>
      <c r="K21" s="3471"/>
      <c r="L21" s="3471"/>
      <c r="M21" s="3471"/>
      <c r="N21" s="740"/>
      <c r="O21" s="25"/>
    </row>
    <row r="22" spans="2:17">
      <c r="B22" s="322">
        <v>24</v>
      </c>
      <c r="C22" s="3502" t="str">
        <f>"./. Erwerbstätigenbonus: "&amp;IF(E5=0,"",TEXT(E5,"0/#0"))</f>
        <v xml:space="preserve">./. Erwerbstätigenbonus: </v>
      </c>
      <c r="D22" s="3503"/>
      <c r="E22" s="823">
        <f>-E21*E5</f>
        <v>0</v>
      </c>
      <c r="F22" s="1010">
        <f>-F21*E5</f>
        <v>0</v>
      </c>
      <c r="G22" s="322">
        <v>24</v>
      </c>
      <c r="J22" s="3470" t="s">
        <v>371</v>
      </c>
      <c r="K22" s="3471"/>
      <c r="L22" s="3471"/>
      <c r="M22" s="3471"/>
      <c r="N22" s="741"/>
      <c r="O22" s="25"/>
    </row>
    <row r="23" spans="2:17">
      <c r="B23" s="322">
        <v>25</v>
      </c>
      <c r="C23" s="3502" t="s">
        <v>347</v>
      </c>
      <c r="D23" s="3503"/>
      <c r="E23" s="823">
        <f>IFERROR(+E22+E21+E20,"")</f>
        <v>0</v>
      </c>
      <c r="F23" s="1010">
        <f>+F22+F21+F20</f>
        <v>0</v>
      </c>
      <c r="G23" s="322">
        <v>25</v>
      </c>
      <c r="J23" s="3470" t="str">
        <f ca="1">IFERROR("Rechnungszins: BilMoG-7 im EzE: "&amp;TEXT(VLOOKUP(N15,BilmoGZins,16)/100,"0,00%")&amp;" am "&amp;TEXT(N15,"tt.MM.JJJJ"),"")</f>
        <v>Rechnungszins: BilMoG-7 im EzE: 2,02% am 01.04.2025</v>
      </c>
      <c r="K23" s="3471"/>
      <c r="L23" s="3471"/>
      <c r="M23" s="3471"/>
      <c r="N23" s="741"/>
      <c r="O23" s="25"/>
    </row>
    <row r="24" spans="2:17">
      <c r="B24" s="322">
        <v>26</v>
      </c>
      <c r="C24" s="3502" t="s">
        <v>303</v>
      </c>
      <c r="D24" s="3503"/>
      <c r="E24" s="3508">
        <f>IFERROR(ABS(E23-F23),"")</f>
        <v>0</v>
      </c>
      <c r="F24" s="3509"/>
      <c r="G24" s="322">
        <v>26</v>
      </c>
      <c r="J24" s="3470" t="str">
        <f>"Abfindungsbetrag (Barwert), ReZins: "&amp;TEXT(N23,"0,00%")&amp;IF(N22&gt;0," - "&amp;TEXT(N22,"0,00%"),"")&amp;": "</f>
        <v xml:space="preserve">Abfindungsbetrag (Barwert), ReZins: 0,00%: </v>
      </c>
      <c r="K24" s="3471"/>
      <c r="L24" s="3471"/>
      <c r="M24" s="3471"/>
      <c r="N24" s="1139">
        <f>(-PV(N23-N22,N20,N21*12,0,1)+-PV(N23-N22,N20,N21*12,0,0))/2</f>
        <v>0</v>
      </c>
      <c r="O24" s="25"/>
    </row>
    <row r="25" spans="2:17" ht="15" thickBot="1">
      <c r="B25" s="322">
        <v>27</v>
      </c>
      <c r="C25" s="3514" t="s">
        <v>348</v>
      </c>
      <c r="D25" s="3515"/>
      <c r="E25" s="2174">
        <f>IFERROR(-E24/2,"")</f>
        <v>0</v>
      </c>
      <c r="F25" s="2175">
        <f>IFERROR(IF(F23&gt;E23,-E24/2,-E25),"")</f>
        <v>0</v>
      </c>
      <c r="G25" s="322">
        <v>27</v>
      </c>
      <c r="J25" s="3472" t="s">
        <v>367</v>
      </c>
      <c r="K25" s="3473"/>
      <c r="L25" s="3473"/>
      <c r="M25" s="3473"/>
      <c r="N25" s="972">
        <f>(-PV(5.5%,N20,N21*12,0,1)+-PV(5.5%,N20,N21*12,0,0))/2</f>
        <v>0</v>
      </c>
      <c r="O25" s="25"/>
    </row>
    <row r="26" spans="2:17">
      <c r="B26" s="3474" t="s">
        <v>117</v>
      </c>
      <c r="C26" s="3474"/>
      <c r="D26" s="3474"/>
      <c r="E26" s="3474"/>
      <c r="F26" s="3474"/>
      <c r="G26" s="3474"/>
      <c r="H26" s="3474"/>
      <c r="I26" s="3474"/>
      <c r="J26" s="3474"/>
      <c r="K26" s="3474"/>
      <c r="L26" s="3474"/>
      <c r="M26" s="3474"/>
      <c r="N26" s="3474"/>
      <c r="O26" s="25"/>
    </row>
    <row r="27" spans="2:17" hidden="1">
      <c r="M27" t="s">
        <v>365</v>
      </c>
      <c r="N27">
        <f>YEAR(N14)+2-1900</f>
        <v>2</v>
      </c>
    </row>
    <row r="28" spans="2:17" hidden="1">
      <c r="M28" t="s">
        <v>364</v>
      </c>
      <c r="N28">
        <f ca="1">YEARFRAC(N14,N15,0)</f>
        <v>125.25277777777778</v>
      </c>
      <c r="P28" t="s">
        <v>368</v>
      </c>
      <c r="Q28" s="149">
        <f ca="1">SUM(Q30:Q76)</f>
        <v>0</v>
      </c>
    </row>
    <row r="29" spans="2:17" hidden="1">
      <c r="M29" t="s">
        <v>363</v>
      </c>
      <c r="N29">
        <f ca="1">VLOOKUP(N28,CHOOSE(Geschlecht,G_Kohorte_M,G_Kohorte_F),N$27)</f>
        <v>0</v>
      </c>
      <c r="P29" t="s">
        <v>366</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DaXne7HBcFIrjaG2cWqTY8wa7fUCXJVYl2uTzmen6wLrzrX2502rPwTLkhlCh1mcy5ly9UGvzoFuAMb9y+UVLA==" saltValue="4FJ3dUrMMnmajuSxM+x8WQ==" spinCount="100000" sheet="1" objects="1" scenarios="1" selectLockedCells="1"/>
  <mergeCells count="53">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 ref="C4:D4"/>
    <mergeCell ref="C3:D3"/>
    <mergeCell ref="E3:F3"/>
    <mergeCell ref="E6:F6"/>
    <mergeCell ref="E14:F14"/>
    <mergeCell ref="E5:F5"/>
    <mergeCell ref="C13:D13"/>
    <mergeCell ref="C14:D14"/>
    <mergeCell ref="O9:O18"/>
    <mergeCell ref="J14:M14"/>
    <mergeCell ref="J16:M16"/>
    <mergeCell ref="J17:M17"/>
    <mergeCell ref="J18:M18"/>
    <mergeCell ref="J12:N13"/>
    <mergeCell ref="J15:M15"/>
    <mergeCell ref="J9:M9"/>
    <mergeCell ref="J2:N2"/>
    <mergeCell ref="J3:M3"/>
    <mergeCell ref="J4:M4"/>
    <mergeCell ref="J5:M5"/>
    <mergeCell ref="J6:M6"/>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s>
  <conditionalFormatting sqref="C19:D19">
    <cfRule type="expression" dxfId="147" priority="87">
      <formula>C19="Anpassung ist nicht möglich (§ 33 II VersAusglG)"</formula>
    </cfRule>
    <cfRule type="expression" dxfId="146" priority="88">
      <formula>$C$19="Anpassung ist möglich (§ 33 II VersAusglG)"</formula>
    </cfRule>
  </conditionalFormatting>
  <conditionalFormatting sqref="D16">
    <cfRule type="expression" dxfId="145" priority="4">
      <formula>D16=""</formula>
    </cfRule>
    <cfRule type="expression" dxfId="144" priority="9">
      <formula>Euro_EP</formula>
    </cfRule>
  </conditionalFormatting>
  <conditionalFormatting sqref="E4">
    <cfRule type="expression" dxfId="143" priority="2">
      <formula>AND(E4="",$F$4="")</formula>
    </cfRule>
  </conditionalFormatting>
  <conditionalFormatting sqref="E10">
    <cfRule type="expression" dxfId="142" priority="5">
      <formula>E10=""</formula>
    </cfRule>
  </conditionalFormatting>
  <conditionalFormatting sqref="E5:F5">
    <cfRule type="expression" dxfId="141" priority="3">
      <formula>$E$5=""</formula>
    </cfRule>
  </conditionalFormatting>
  <conditionalFormatting sqref="E6:F6">
    <cfRule type="expression" dxfId="140"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2924175</xdr:colOff>
                    <xdr:row>14</xdr:row>
                    <xdr:rowOff>180975</xdr:rowOff>
                  </from>
                  <to>
                    <xdr:col>2</xdr:col>
                    <xdr:colOff>3609975</xdr:colOff>
                    <xdr:row>16</xdr:row>
                    <xdr:rowOff>28575</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2924175</xdr:colOff>
                    <xdr:row>13</xdr:row>
                    <xdr:rowOff>180975</xdr:rowOff>
                  </from>
                  <to>
                    <xdr:col>2</xdr:col>
                    <xdr:colOff>3609975</xdr:colOff>
                    <xdr:row>15</xdr:row>
                    <xdr:rowOff>28575</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219075</xdr:colOff>
                    <xdr:row>12</xdr:row>
                    <xdr:rowOff>180975</xdr:rowOff>
                  </from>
                  <to>
                    <xdr:col>9</xdr:col>
                    <xdr:colOff>371475</xdr:colOff>
                    <xdr:row>14</xdr:row>
                    <xdr:rowOff>28575</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409575</xdr:colOff>
                    <xdr:row>12</xdr:row>
                    <xdr:rowOff>180975</xdr:rowOff>
                  </from>
                  <to>
                    <xdr:col>9</xdr:col>
                    <xdr:colOff>800100</xdr:colOff>
                    <xdr:row>14</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zoomScaleNormal="100" workbookViewId="0">
      <pane ySplit="2655" topLeftCell="A188" activePane="bottomLeft"/>
      <selection activeCell="A4" sqref="A4:V4"/>
      <selection pane="bottomLeft" activeCell="A205" sqref="A205:AY205"/>
    </sheetView>
  </sheetViews>
  <sheetFormatPr baseColWidth="10" defaultColWidth="11" defaultRowHeight="14.25"/>
  <cols>
    <col min="1" max="1" width="11.625" style="93" customWidth="1"/>
    <col min="2" max="15" width="5" style="71" customWidth="1"/>
    <col min="16" max="16" width="5" style="198" customWidth="1"/>
    <col min="17" max="51" width="5" style="71" customWidth="1"/>
  </cols>
  <sheetData>
    <row r="1" spans="1:53" ht="15">
      <c r="Q1" s="94"/>
    </row>
    <row r="2" spans="1:53" ht="15">
      <c r="Q2" s="94"/>
    </row>
    <row r="3" spans="1:53" ht="15">
      <c r="A3" s="95">
        <f>MAX(A9:A300)</f>
        <v>45747</v>
      </c>
      <c r="Q3" s="94"/>
    </row>
    <row r="4" spans="1:53" ht="15" customHeight="1">
      <c r="A4" s="2289" t="s">
        <v>157</v>
      </c>
      <c r="B4" s="2289"/>
      <c r="C4" s="2289"/>
      <c r="D4" s="2289"/>
      <c r="E4" s="2289"/>
      <c r="F4" s="2289"/>
      <c r="G4" s="2289"/>
      <c r="H4" s="2289"/>
      <c r="I4" s="2289"/>
      <c r="J4" s="2289"/>
      <c r="K4" s="2289"/>
      <c r="L4" s="2289"/>
      <c r="M4" s="2289"/>
      <c r="N4" s="2289"/>
      <c r="O4" s="2289"/>
      <c r="P4" s="2289"/>
      <c r="Q4" s="2289"/>
      <c r="R4" s="2289"/>
      <c r="S4" s="2289"/>
      <c r="T4" s="2289"/>
      <c r="U4" s="2289"/>
      <c r="V4" s="2289"/>
    </row>
    <row r="5" spans="1:53" ht="15.75">
      <c r="A5" s="97"/>
      <c r="B5" s="96"/>
      <c r="C5" s="96"/>
      <c r="D5" s="96"/>
      <c r="E5" s="96"/>
      <c r="F5" s="96"/>
      <c r="G5" s="98"/>
      <c r="H5" s="98"/>
      <c r="I5" s="98"/>
      <c r="J5" s="98"/>
      <c r="K5" s="98"/>
      <c r="P5" s="199"/>
    </row>
    <row r="6" spans="1:53" ht="15" customHeight="1">
      <c r="A6" s="99">
        <f>MAX(A9:B372)</f>
        <v>45747</v>
      </c>
      <c r="B6" s="100" t="s">
        <v>30</v>
      </c>
      <c r="C6" s="100"/>
      <c r="D6" s="100"/>
      <c r="E6" s="100"/>
      <c r="F6" s="100"/>
      <c r="G6" s="100"/>
      <c r="H6" s="100"/>
      <c r="I6" s="100"/>
      <c r="J6" s="100"/>
      <c r="K6" s="100"/>
      <c r="L6" s="100" t="s">
        <v>30</v>
      </c>
      <c r="P6" s="199">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00"/>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00">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75">
      <c r="A9" s="103">
        <v>39813</v>
      </c>
      <c r="B9" s="353">
        <v>3.93</v>
      </c>
      <c r="C9" s="353">
        <v>4.07</v>
      </c>
      <c r="D9" s="353">
        <v>4.2300000000000004</v>
      </c>
      <c r="E9" s="353">
        <v>4.38</v>
      </c>
      <c r="F9" s="353">
        <v>4.5</v>
      </c>
      <c r="G9" s="353">
        <v>4.62</v>
      </c>
      <c r="H9" s="353">
        <v>4.72</v>
      </c>
      <c r="I9" s="353">
        <v>4.82</v>
      </c>
      <c r="J9" s="353">
        <v>4.91</v>
      </c>
      <c r="K9" s="353">
        <v>4.9800000000000004</v>
      </c>
      <c r="L9" s="353">
        <v>5.05</v>
      </c>
      <c r="M9" s="353">
        <v>5.1100000000000003</v>
      </c>
      <c r="N9" s="353">
        <v>5.16</v>
      </c>
      <c r="O9" s="353">
        <v>5.21</v>
      </c>
      <c r="P9" s="442">
        <v>5.25</v>
      </c>
      <c r="Q9" s="353">
        <v>5.28</v>
      </c>
      <c r="R9" s="353">
        <v>5.31</v>
      </c>
      <c r="S9" s="353">
        <v>5.34</v>
      </c>
      <c r="T9" s="353">
        <v>5.36</v>
      </c>
      <c r="U9" s="353">
        <v>5.38</v>
      </c>
      <c r="V9" s="353">
        <v>5.39</v>
      </c>
      <c r="W9" s="353">
        <v>5.39</v>
      </c>
      <c r="X9" s="353">
        <v>5.4</v>
      </c>
      <c r="Y9" s="353">
        <v>5.4</v>
      </c>
      <c r="Z9" s="353">
        <v>5.41</v>
      </c>
      <c r="AA9" s="353">
        <v>5.4</v>
      </c>
      <c r="AB9" s="353">
        <v>5.4</v>
      </c>
      <c r="AC9" s="353">
        <v>5.39</v>
      </c>
      <c r="AD9" s="353">
        <v>5.39</v>
      </c>
      <c r="AE9" s="353">
        <v>5.38</v>
      </c>
      <c r="AF9" s="353">
        <v>5.37</v>
      </c>
      <c r="AG9" s="353">
        <v>5.37</v>
      </c>
      <c r="AH9" s="353">
        <v>5.36</v>
      </c>
      <c r="AI9" s="353">
        <v>5.35</v>
      </c>
      <c r="AJ9" s="353">
        <v>5.34</v>
      </c>
      <c r="AK9" s="353">
        <v>5.33</v>
      </c>
      <c r="AL9" s="353">
        <v>5.33</v>
      </c>
      <c r="AM9" s="353">
        <v>5.32</v>
      </c>
      <c r="AN9" s="353">
        <v>5.32</v>
      </c>
      <c r="AO9" s="353">
        <v>5.31</v>
      </c>
      <c r="AP9" s="353">
        <v>5.3</v>
      </c>
      <c r="AQ9" s="353">
        <v>5.29</v>
      </c>
      <c r="AR9" s="353">
        <v>5.28</v>
      </c>
      <c r="AS9" s="353">
        <v>5.27</v>
      </c>
      <c r="AT9" s="353">
        <v>5.26</v>
      </c>
      <c r="AU9" s="353">
        <v>5.26</v>
      </c>
      <c r="AV9" s="353">
        <v>5.25</v>
      </c>
      <c r="AW9" s="353">
        <v>5.24</v>
      </c>
      <c r="AX9" s="353">
        <v>5.23</v>
      </c>
      <c r="AY9" s="353">
        <v>5.23</v>
      </c>
      <c r="AZ9" s="150">
        <v>2.75E-2</v>
      </c>
      <c r="BA9" s="104">
        <f>+AZ9*100</f>
        <v>2.75</v>
      </c>
    </row>
    <row r="10" spans="1:53" s="106" customFormat="1" ht="12.75">
      <c r="A10" s="105">
        <v>39844</v>
      </c>
      <c r="B10" s="353">
        <v>3.94</v>
      </c>
      <c r="C10" s="353">
        <v>4.08</v>
      </c>
      <c r="D10" s="353">
        <v>4.24</v>
      </c>
      <c r="E10" s="353">
        <v>4.4000000000000004</v>
      </c>
      <c r="F10" s="353">
        <v>4.51</v>
      </c>
      <c r="G10" s="353">
        <v>4.62</v>
      </c>
      <c r="H10" s="353">
        <v>4.7300000000000004</v>
      </c>
      <c r="I10" s="353">
        <v>4.83</v>
      </c>
      <c r="J10" s="353">
        <v>4.91</v>
      </c>
      <c r="K10" s="353">
        <v>4.99</v>
      </c>
      <c r="L10" s="353">
        <v>5.0599999999999996</v>
      </c>
      <c r="M10" s="353">
        <v>5.12</v>
      </c>
      <c r="N10" s="353">
        <v>5.17</v>
      </c>
      <c r="O10" s="353">
        <v>5.22</v>
      </c>
      <c r="P10" s="442">
        <v>5.26</v>
      </c>
      <c r="Q10" s="353">
        <v>5.29</v>
      </c>
      <c r="R10" s="353">
        <v>5.32</v>
      </c>
      <c r="S10" s="353">
        <v>5.35</v>
      </c>
      <c r="T10" s="353">
        <v>5.37</v>
      </c>
      <c r="U10" s="353">
        <v>5.39</v>
      </c>
      <c r="V10" s="353">
        <v>5.4</v>
      </c>
      <c r="W10" s="353">
        <v>5.4</v>
      </c>
      <c r="X10" s="353">
        <v>5.41</v>
      </c>
      <c r="Y10" s="353">
        <v>5.41</v>
      </c>
      <c r="Z10" s="353">
        <v>5.42</v>
      </c>
      <c r="AA10" s="353">
        <v>5.41</v>
      </c>
      <c r="AB10" s="353">
        <v>5.4</v>
      </c>
      <c r="AC10" s="353">
        <v>5.4</v>
      </c>
      <c r="AD10" s="353">
        <v>5.39</v>
      </c>
      <c r="AE10" s="353">
        <v>5.39</v>
      </c>
      <c r="AF10" s="353">
        <v>5.38</v>
      </c>
      <c r="AG10" s="353">
        <v>5.37</v>
      </c>
      <c r="AH10" s="353">
        <v>5.36</v>
      </c>
      <c r="AI10" s="353">
        <v>5.35</v>
      </c>
      <c r="AJ10" s="353">
        <v>5.35</v>
      </c>
      <c r="AK10" s="353">
        <v>5.34</v>
      </c>
      <c r="AL10" s="353">
        <v>5.33</v>
      </c>
      <c r="AM10" s="353">
        <v>5.32</v>
      </c>
      <c r="AN10" s="353">
        <v>5.32</v>
      </c>
      <c r="AO10" s="353">
        <v>5.31</v>
      </c>
      <c r="AP10" s="353">
        <v>5.3</v>
      </c>
      <c r="AQ10" s="353">
        <v>5.29</v>
      </c>
      <c r="AR10" s="353">
        <v>5.28</v>
      </c>
      <c r="AS10" s="353">
        <v>5.27</v>
      </c>
      <c r="AT10" s="353">
        <v>5.27</v>
      </c>
      <c r="AU10" s="353">
        <v>5.26</v>
      </c>
      <c r="AV10" s="353">
        <v>5.25</v>
      </c>
      <c r="AW10" s="353">
        <v>5.24</v>
      </c>
      <c r="AX10" s="353">
        <v>5.24</v>
      </c>
      <c r="AY10" s="353">
        <v>5.23</v>
      </c>
      <c r="AZ10" s="150">
        <v>2.75E-2</v>
      </c>
      <c r="BA10" s="104">
        <f t="shared" ref="BA10:BA73" si="0">+AZ10*100</f>
        <v>2.75</v>
      </c>
    </row>
    <row r="11" spans="1:53" s="106" customFormat="1" ht="12.75">
      <c r="A11" s="105">
        <v>39872</v>
      </c>
      <c r="B11" s="353">
        <v>3.94</v>
      </c>
      <c r="C11" s="353">
        <v>4.08</v>
      </c>
      <c r="D11" s="353">
        <v>4.24</v>
      </c>
      <c r="E11" s="353">
        <v>4.41</v>
      </c>
      <c r="F11" s="353">
        <v>4.51</v>
      </c>
      <c r="G11" s="353">
        <v>4.63</v>
      </c>
      <c r="H11" s="353">
        <v>4.74</v>
      </c>
      <c r="I11" s="353">
        <v>4.83</v>
      </c>
      <c r="J11" s="353">
        <v>4.92</v>
      </c>
      <c r="K11" s="353">
        <v>5</v>
      </c>
      <c r="L11" s="353">
        <v>5.07</v>
      </c>
      <c r="M11" s="353">
        <v>5.13</v>
      </c>
      <c r="N11" s="353">
        <v>5.18</v>
      </c>
      <c r="O11" s="353">
        <v>5.23</v>
      </c>
      <c r="P11" s="442">
        <v>5.27</v>
      </c>
      <c r="Q11" s="353">
        <v>5.3</v>
      </c>
      <c r="R11" s="353">
        <v>5.33</v>
      </c>
      <c r="S11" s="353">
        <v>5.36</v>
      </c>
      <c r="T11" s="353">
        <v>5.38</v>
      </c>
      <c r="U11" s="353">
        <v>5.4</v>
      </c>
      <c r="V11" s="353">
        <v>5.4</v>
      </c>
      <c r="W11" s="353">
        <v>5.41</v>
      </c>
      <c r="X11" s="353">
        <v>5.41</v>
      </c>
      <c r="Y11" s="353">
        <v>5.42</v>
      </c>
      <c r="Z11" s="353">
        <v>5.42</v>
      </c>
      <c r="AA11" s="353">
        <v>5.42</v>
      </c>
      <c r="AB11" s="353">
        <v>5.41</v>
      </c>
      <c r="AC11" s="353">
        <v>5.4</v>
      </c>
      <c r="AD11" s="353">
        <v>5.4</v>
      </c>
      <c r="AE11" s="353">
        <v>5.39</v>
      </c>
      <c r="AF11" s="353">
        <v>5.38</v>
      </c>
      <c r="AG11" s="353">
        <v>5.37</v>
      </c>
      <c r="AH11" s="353">
        <v>5.36</v>
      </c>
      <c r="AI11" s="353">
        <v>5.35</v>
      </c>
      <c r="AJ11" s="353">
        <v>5.35</v>
      </c>
      <c r="AK11" s="353">
        <v>5.34</v>
      </c>
      <c r="AL11" s="353">
        <v>5.33</v>
      </c>
      <c r="AM11" s="353">
        <v>5.32</v>
      </c>
      <c r="AN11" s="353">
        <v>5.32</v>
      </c>
      <c r="AO11" s="353">
        <v>5.31</v>
      </c>
      <c r="AP11" s="353">
        <v>5.3</v>
      </c>
      <c r="AQ11" s="353">
        <v>5.29</v>
      </c>
      <c r="AR11" s="353">
        <v>5.28</v>
      </c>
      <c r="AS11" s="353">
        <v>5.27</v>
      </c>
      <c r="AT11" s="353">
        <v>5.26</v>
      </c>
      <c r="AU11" s="353">
        <v>5.26</v>
      </c>
      <c r="AV11" s="353">
        <v>5.25</v>
      </c>
      <c r="AW11" s="353">
        <v>5.24</v>
      </c>
      <c r="AX11" s="353">
        <v>5.23</v>
      </c>
      <c r="AY11" s="353">
        <v>5.23</v>
      </c>
      <c r="AZ11" s="150">
        <v>2.75E-2</v>
      </c>
      <c r="BA11" s="104">
        <f t="shared" si="0"/>
        <v>2.75</v>
      </c>
    </row>
    <row r="12" spans="1:53" s="106" customFormat="1" ht="12.75">
      <c r="A12" s="105">
        <v>39903</v>
      </c>
      <c r="B12" s="353">
        <v>3.95</v>
      </c>
      <c r="C12" s="353">
        <v>4.08</v>
      </c>
      <c r="D12" s="353">
        <v>4.24</v>
      </c>
      <c r="E12" s="353">
        <v>4.41</v>
      </c>
      <c r="F12" s="353">
        <v>4.51</v>
      </c>
      <c r="G12" s="353">
        <v>4.63</v>
      </c>
      <c r="H12" s="353">
        <v>4.74</v>
      </c>
      <c r="I12" s="353">
        <v>4.84</v>
      </c>
      <c r="J12" s="353">
        <v>4.93</v>
      </c>
      <c r="K12" s="353">
        <v>5.01</v>
      </c>
      <c r="L12" s="353">
        <v>5.08</v>
      </c>
      <c r="M12" s="353">
        <v>5.13</v>
      </c>
      <c r="N12" s="353">
        <v>5.19</v>
      </c>
      <c r="O12" s="353">
        <v>5.24</v>
      </c>
      <c r="P12" s="442">
        <v>5.28</v>
      </c>
      <c r="Q12" s="353">
        <v>5.31</v>
      </c>
      <c r="R12" s="353">
        <v>5.34</v>
      </c>
      <c r="S12" s="353">
        <v>5.37</v>
      </c>
      <c r="T12" s="353">
        <v>5.39</v>
      </c>
      <c r="U12" s="353">
        <v>5.41</v>
      </c>
      <c r="V12" s="353">
        <v>5.41</v>
      </c>
      <c r="W12" s="353">
        <v>5.42</v>
      </c>
      <c r="X12" s="353">
        <v>5.42</v>
      </c>
      <c r="Y12" s="353">
        <v>5.43</v>
      </c>
      <c r="Z12" s="353">
        <v>5.43</v>
      </c>
      <c r="AA12" s="353">
        <v>5.42</v>
      </c>
      <c r="AB12" s="353">
        <v>5.42</v>
      </c>
      <c r="AC12" s="353">
        <v>5.41</v>
      </c>
      <c r="AD12" s="353">
        <v>5.4</v>
      </c>
      <c r="AE12" s="353">
        <v>5.4</v>
      </c>
      <c r="AF12" s="353">
        <v>5.39</v>
      </c>
      <c r="AG12" s="353">
        <v>5.38</v>
      </c>
      <c r="AH12" s="353">
        <v>5.37</v>
      </c>
      <c r="AI12" s="353">
        <v>5.36</v>
      </c>
      <c r="AJ12" s="353">
        <v>5.35</v>
      </c>
      <c r="AK12" s="353">
        <v>5.34</v>
      </c>
      <c r="AL12" s="353">
        <v>5.34</v>
      </c>
      <c r="AM12" s="353">
        <v>5.33</v>
      </c>
      <c r="AN12" s="353">
        <v>5.32</v>
      </c>
      <c r="AO12" s="353">
        <v>5.32</v>
      </c>
      <c r="AP12" s="353">
        <v>5.31</v>
      </c>
      <c r="AQ12" s="353">
        <v>5.3</v>
      </c>
      <c r="AR12" s="353">
        <v>5.29</v>
      </c>
      <c r="AS12" s="353">
        <v>5.28</v>
      </c>
      <c r="AT12" s="353">
        <v>5.27</v>
      </c>
      <c r="AU12" s="353">
        <v>5.26</v>
      </c>
      <c r="AV12" s="353">
        <v>5.25</v>
      </c>
      <c r="AW12" s="353">
        <v>5.25</v>
      </c>
      <c r="AX12" s="353">
        <v>5.24</v>
      </c>
      <c r="AY12" s="353">
        <v>5.23</v>
      </c>
      <c r="AZ12" s="150">
        <v>2.75E-2</v>
      </c>
      <c r="BA12" s="104">
        <f t="shared" si="0"/>
        <v>2.75</v>
      </c>
    </row>
    <row r="13" spans="1:53" s="106" customFormat="1" ht="12.75">
      <c r="A13" s="105">
        <v>39933</v>
      </c>
      <c r="B13" s="353">
        <v>3.95</v>
      </c>
      <c r="C13" s="353">
        <v>4.08</v>
      </c>
      <c r="D13" s="353">
        <v>4.24</v>
      </c>
      <c r="E13" s="353">
        <v>4.41</v>
      </c>
      <c r="F13" s="353">
        <v>4.51</v>
      </c>
      <c r="G13" s="353">
        <v>4.63</v>
      </c>
      <c r="H13" s="353">
        <v>4.74</v>
      </c>
      <c r="I13" s="353">
        <v>4.84</v>
      </c>
      <c r="J13" s="353">
        <v>4.93</v>
      </c>
      <c r="K13" s="353">
        <v>5.01</v>
      </c>
      <c r="L13" s="353">
        <v>5.08</v>
      </c>
      <c r="M13" s="353">
        <v>5.14</v>
      </c>
      <c r="N13" s="353">
        <v>5.2</v>
      </c>
      <c r="O13" s="353">
        <v>5.24</v>
      </c>
      <c r="P13" s="442">
        <v>5.29</v>
      </c>
      <c r="Q13" s="353">
        <v>5.32</v>
      </c>
      <c r="R13" s="353">
        <v>5.35</v>
      </c>
      <c r="S13" s="353">
        <v>5.37</v>
      </c>
      <c r="T13" s="353">
        <v>5.39</v>
      </c>
      <c r="U13" s="353">
        <v>5.41</v>
      </c>
      <c r="V13" s="353">
        <v>5.42</v>
      </c>
      <c r="W13" s="353">
        <v>5.42</v>
      </c>
      <c r="X13" s="353">
        <v>5.43</v>
      </c>
      <c r="Y13" s="353">
        <v>5.43</v>
      </c>
      <c r="Z13" s="353">
        <v>5.43</v>
      </c>
      <c r="AA13" s="353">
        <v>5.43</v>
      </c>
      <c r="AB13" s="353">
        <v>5.42</v>
      </c>
      <c r="AC13" s="353">
        <v>5.41</v>
      </c>
      <c r="AD13" s="353">
        <v>5.41</v>
      </c>
      <c r="AE13" s="353">
        <v>5.4</v>
      </c>
      <c r="AF13" s="353">
        <v>5.39</v>
      </c>
      <c r="AG13" s="353">
        <v>5.38</v>
      </c>
      <c r="AH13" s="353">
        <v>5.37</v>
      </c>
      <c r="AI13" s="353">
        <v>5.36</v>
      </c>
      <c r="AJ13" s="353">
        <v>5.35</v>
      </c>
      <c r="AK13" s="353">
        <v>5.35</v>
      </c>
      <c r="AL13" s="353">
        <v>5.34</v>
      </c>
      <c r="AM13" s="353">
        <v>5.33</v>
      </c>
      <c r="AN13" s="353">
        <v>5.32</v>
      </c>
      <c r="AO13" s="353">
        <v>5.32</v>
      </c>
      <c r="AP13" s="353">
        <v>5.31</v>
      </c>
      <c r="AQ13" s="353">
        <v>5.3</v>
      </c>
      <c r="AR13" s="353">
        <v>5.29</v>
      </c>
      <c r="AS13" s="353">
        <v>5.28</v>
      </c>
      <c r="AT13" s="353">
        <v>5.27</v>
      </c>
      <c r="AU13" s="353">
        <v>5.26</v>
      </c>
      <c r="AV13" s="353">
        <v>5.26</v>
      </c>
      <c r="AW13" s="353">
        <v>5.25</v>
      </c>
      <c r="AX13" s="353">
        <v>5.24</v>
      </c>
      <c r="AY13" s="353">
        <v>5.23</v>
      </c>
      <c r="AZ13" s="150">
        <v>2.75E-2</v>
      </c>
      <c r="BA13" s="104">
        <f t="shared" si="0"/>
        <v>2.75</v>
      </c>
    </row>
    <row r="14" spans="1:53" s="106" customFormat="1" ht="12.75">
      <c r="A14" s="105">
        <v>39964</v>
      </c>
      <c r="B14" s="353">
        <v>3.93</v>
      </c>
      <c r="C14" s="353">
        <v>4.07</v>
      </c>
      <c r="D14" s="353">
        <v>4.2300000000000004</v>
      </c>
      <c r="E14" s="353">
        <v>4.4000000000000004</v>
      </c>
      <c r="F14" s="353">
        <v>4.51</v>
      </c>
      <c r="G14" s="353">
        <v>4.63</v>
      </c>
      <c r="H14" s="353">
        <v>4.74</v>
      </c>
      <c r="I14" s="353">
        <v>4.84</v>
      </c>
      <c r="J14" s="353">
        <v>4.93</v>
      </c>
      <c r="K14" s="353">
        <v>5.01</v>
      </c>
      <c r="L14" s="353">
        <v>5.08</v>
      </c>
      <c r="M14" s="353">
        <v>5.14</v>
      </c>
      <c r="N14" s="353">
        <v>5.2</v>
      </c>
      <c r="O14" s="353">
        <v>5.25</v>
      </c>
      <c r="P14" s="442">
        <v>5.29</v>
      </c>
      <c r="Q14" s="353">
        <v>5.32</v>
      </c>
      <c r="R14" s="353">
        <v>5.35</v>
      </c>
      <c r="S14" s="353">
        <v>5.37</v>
      </c>
      <c r="T14" s="353">
        <v>5.4</v>
      </c>
      <c r="U14" s="353">
        <v>5.42</v>
      </c>
      <c r="V14" s="353">
        <v>5.42</v>
      </c>
      <c r="W14" s="353">
        <v>5.42</v>
      </c>
      <c r="X14" s="353">
        <v>5.43</v>
      </c>
      <c r="Y14" s="353">
        <v>5.43</v>
      </c>
      <c r="Z14" s="353">
        <v>5.43</v>
      </c>
      <c r="AA14" s="353">
        <v>5.43</v>
      </c>
      <c r="AB14" s="353">
        <v>5.42</v>
      </c>
      <c r="AC14" s="353">
        <v>5.41</v>
      </c>
      <c r="AD14" s="353">
        <v>5.41</v>
      </c>
      <c r="AE14" s="353">
        <v>5.4</v>
      </c>
      <c r="AF14" s="353">
        <v>5.39</v>
      </c>
      <c r="AG14" s="353">
        <v>5.38</v>
      </c>
      <c r="AH14" s="353">
        <v>5.37</v>
      </c>
      <c r="AI14" s="353">
        <v>5.36</v>
      </c>
      <c r="AJ14" s="353">
        <v>5.35</v>
      </c>
      <c r="AK14" s="353">
        <v>5.34</v>
      </c>
      <c r="AL14" s="353">
        <v>5.34</v>
      </c>
      <c r="AM14" s="353">
        <v>5.33</v>
      </c>
      <c r="AN14" s="353">
        <v>5.32</v>
      </c>
      <c r="AO14" s="353">
        <v>5.31</v>
      </c>
      <c r="AP14" s="353">
        <v>5.3</v>
      </c>
      <c r="AQ14" s="353">
        <v>5.29</v>
      </c>
      <c r="AR14" s="353">
        <v>5.29</v>
      </c>
      <c r="AS14" s="353">
        <v>5.28</v>
      </c>
      <c r="AT14" s="353">
        <v>5.27</v>
      </c>
      <c r="AU14" s="353">
        <v>5.26</v>
      </c>
      <c r="AV14" s="353">
        <v>5.25</v>
      </c>
      <c r="AW14" s="353">
        <v>5.24</v>
      </c>
      <c r="AX14" s="353">
        <v>5.24</v>
      </c>
      <c r="AY14" s="353">
        <v>5.23</v>
      </c>
      <c r="AZ14" s="150">
        <v>2.75E-2</v>
      </c>
      <c r="BA14" s="104">
        <f t="shared" si="0"/>
        <v>2.75</v>
      </c>
    </row>
    <row r="15" spans="1:53" s="106" customFormat="1" ht="12.75">
      <c r="A15" s="105">
        <v>39994</v>
      </c>
      <c r="B15" s="353">
        <v>3.92</v>
      </c>
      <c r="C15" s="353">
        <v>4.05</v>
      </c>
      <c r="D15" s="353">
        <v>4.22</v>
      </c>
      <c r="E15" s="353">
        <v>4.3899999999999997</v>
      </c>
      <c r="F15" s="353">
        <v>4.5</v>
      </c>
      <c r="G15" s="353">
        <v>4.62</v>
      </c>
      <c r="H15" s="353">
        <v>4.7300000000000004</v>
      </c>
      <c r="I15" s="353">
        <v>4.83</v>
      </c>
      <c r="J15" s="353">
        <v>4.92</v>
      </c>
      <c r="K15" s="353">
        <v>5</v>
      </c>
      <c r="L15" s="353">
        <v>5.08</v>
      </c>
      <c r="M15" s="353">
        <v>5.14</v>
      </c>
      <c r="N15" s="353">
        <v>5.19</v>
      </c>
      <c r="O15" s="353">
        <v>5.24</v>
      </c>
      <c r="P15" s="442">
        <v>5.29</v>
      </c>
      <c r="Q15" s="353">
        <v>5.32</v>
      </c>
      <c r="R15" s="353">
        <v>5.35</v>
      </c>
      <c r="S15" s="353">
        <v>5.37</v>
      </c>
      <c r="T15" s="353">
        <v>5.4</v>
      </c>
      <c r="U15" s="353">
        <v>5.42</v>
      </c>
      <c r="V15" s="353">
        <v>5.42</v>
      </c>
      <c r="W15" s="353">
        <v>5.42</v>
      </c>
      <c r="X15" s="353">
        <v>5.43</v>
      </c>
      <c r="Y15" s="353">
        <v>5.43</v>
      </c>
      <c r="Z15" s="353">
        <v>5.43</v>
      </c>
      <c r="AA15" s="353">
        <v>5.43</v>
      </c>
      <c r="AB15" s="353">
        <v>5.42</v>
      </c>
      <c r="AC15" s="353">
        <v>5.41</v>
      </c>
      <c r="AD15" s="353">
        <v>5.4</v>
      </c>
      <c r="AE15" s="353">
        <v>5.4</v>
      </c>
      <c r="AF15" s="353">
        <v>5.39</v>
      </c>
      <c r="AG15" s="353">
        <v>5.38</v>
      </c>
      <c r="AH15" s="353">
        <v>5.37</v>
      </c>
      <c r="AI15" s="353">
        <v>5.36</v>
      </c>
      <c r="AJ15" s="353">
        <v>5.35</v>
      </c>
      <c r="AK15" s="353">
        <v>5.34</v>
      </c>
      <c r="AL15" s="353">
        <v>5.33</v>
      </c>
      <c r="AM15" s="353">
        <v>5.33</v>
      </c>
      <c r="AN15" s="353">
        <v>5.32</v>
      </c>
      <c r="AO15" s="353">
        <v>5.31</v>
      </c>
      <c r="AP15" s="353">
        <v>5.3</v>
      </c>
      <c r="AQ15" s="353">
        <v>5.29</v>
      </c>
      <c r="AR15" s="353">
        <v>5.28</v>
      </c>
      <c r="AS15" s="353">
        <v>5.27</v>
      </c>
      <c r="AT15" s="353">
        <v>5.27</v>
      </c>
      <c r="AU15" s="353">
        <v>5.26</v>
      </c>
      <c r="AV15" s="353">
        <v>5.25</v>
      </c>
      <c r="AW15" s="353">
        <v>5.24</v>
      </c>
      <c r="AX15" s="353">
        <v>5.23</v>
      </c>
      <c r="AY15" s="353">
        <v>5.23</v>
      </c>
      <c r="AZ15" s="150">
        <v>2.75E-2</v>
      </c>
      <c r="BA15" s="104">
        <f t="shared" si="0"/>
        <v>2.75</v>
      </c>
    </row>
    <row r="16" spans="1:53" s="106" customFormat="1" ht="12.75">
      <c r="A16" s="105">
        <v>40025</v>
      </c>
      <c r="B16" s="353">
        <v>3.9</v>
      </c>
      <c r="C16" s="353">
        <v>4.04</v>
      </c>
      <c r="D16" s="353">
        <v>4.2</v>
      </c>
      <c r="E16" s="353">
        <v>4.38</v>
      </c>
      <c r="F16" s="353">
        <v>4.49</v>
      </c>
      <c r="G16" s="353">
        <v>4.6100000000000003</v>
      </c>
      <c r="H16" s="353">
        <v>4.72</v>
      </c>
      <c r="I16" s="353">
        <v>4.82</v>
      </c>
      <c r="J16" s="353">
        <v>4.91</v>
      </c>
      <c r="K16" s="353">
        <v>4.99</v>
      </c>
      <c r="L16" s="353">
        <v>5.07</v>
      </c>
      <c r="M16" s="353">
        <v>5.13</v>
      </c>
      <c r="N16" s="353">
        <v>5.19</v>
      </c>
      <c r="O16" s="353">
        <v>5.24</v>
      </c>
      <c r="P16" s="442">
        <v>5.28</v>
      </c>
      <c r="Q16" s="353">
        <v>5.31</v>
      </c>
      <c r="R16" s="353">
        <v>5.34</v>
      </c>
      <c r="S16" s="353">
        <v>5.37</v>
      </c>
      <c r="T16" s="353">
        <v>5.39</v>
      </c>
      <c r="U16" s="353">
        <v>5.41</v>
      </c>
      <c r="V16" s="353">
        <v>5.41</v>
      </c>
      <c r="W16" s="353">
        <v>5.42</v>
      </c>
      <c r="X16" s="353">
        <v>5.42</v>
      </c>
      <c r="Y16" s="353">
        <v>5.42</v>
      </c>
      <c r="Z16" s="353">
        <v>5.43</v>
      </c>
      <c r="AA16" s="353">
        <v>5.42</v>
      </c>
      <c r="AB16" s="353">
        <v>5.41</v>
      </c>
      <c r="AC16" s="353">
        <v>5.4</v>
      </c>
      <c r="AD16" s="353">
        <v>5.4</v>
      </c>
      <c r="AE16" s="353">
        <v>5.39</v>
      </c>
      <c r="AF16" s="353">
        <v>5.38</v>
      </c>
      <c r="AG16" s="353">
        <v>5.37</v>
      </c>
      <c r="AH16" s="353">
        <v>5.36</v>
      </c>
      <c r="AI16" s="353">
        <v>5.35</v>
      </c>
      <c r="AJ16" s="353">
        <v>5.34</v>
      </c>
      <c r="AK16" s="353">
        <v>5.33</v>
      </c>
      <c r="AL16" s="353">
        <v>5.32</v>
      </c>
      <c r="AM16" s="353">
        <v>5.32</v>
      </c>
      <c r="AN16" s="353">
        <v>5.31</v>
      </c>
      <c r="AO16" s="353">
        <v>5.3</v>
      </c>
      <c r="AP16" s="353">
        <v>5.29</v>
      </c>
      <c r="AQ16" s="353">
        <v>5.28</v>
      </c>
      <c r="AR16" s="353">
        <v>5.27</v>
      </c>
      <c r="AS16" s="353">
        <v>5.26</v>
      </c>
      <c r="AT16" s="353">
        <v>5.26</v>
      </c>
      <c r="AU16" s="353">
        <v>5.25</v>
      </c>
      <c r="AV16" s="353">
        <v>5.24</v>
      </c>
      <c r="AW16" s="353">
        <v>5.23</v>
      </c>
      <c r="AX16" s="353">
        <v>5.22</v>
      </c>
      <c r="AY16" s="353">
        <v>5.22</v>
      </c>
      <c r="AZ16" s="150">
        <v>2.75E-2</v>
      </c>
      <c r="BA16" s="104">
        <f t="shared" si="0"/>
        <v>2.75</v>
      </c>
    </row>
    <row r="17" spans="1:53" s="106" customFormat="1" ht="12.75">
      <c r="A17" s="105">
        <v>40056</v>
      </c>
      <c r="B17" s="353">
        <v>3.88</v>
      </c>
      <c r="C17" s="353">
        <v>4.0199999999999996</v>
      </c>
      <c r="D17" s="353">
        <v>4.1900000000000004</v>
      </c>
      <c r="E17" s="353">
        <v>4.3499999999999996</v>
      </c>
      <c r="F17" s="353">
        <v>4.4800000000000004</v>
      </c>
      <c r="G17" s="353">
        <v>4.5999999999999996</v>
      </c>
      <c r="H17" s="353">
        <v>4.72</v>
      </c>
      <c r="I17" s="353">
        <v>4.82</v>
      </c>
      <c r="J17" s="353">
        <v>4.91</v>
      </c>
      <c r="K17" s="353">
        <v>4.99</v>
      </c>
      <c r="L17" s="353">
        <v>5.0599999999999996</v>
      </c>
      <c r="M17" s="353">
        <v>5.12</v>
      </c>
      <c r="N17" s="353">
        <v>5.18</v>
      </c>
      <c r="O17" s="353">
        <v>5.23</v>
      </c>
      <c r="P17" s="442">
        <v>5.28</v>
      </c>
      <c r="Q17" s="353">
        <v>5.31</v>
      </c>
      <c r="R17" s="353">
        <v>5.34</v>
      </c>
      <c r="S17" s="353">
        <v>5.36</v>
      </c>
      <c r="T17" s="353">
        <v>5.39</v>
      </c>
      <c r="U17" s="353">
        <v>5.41</v>
      </c>
      <c r="V17" s="353">
        <v>5.41</v>
      </c>
      <c r="W17" s="353">
        <v>5.41</v>
      </c>
      <c r="X17" s="353">
        <v>5.42</v>
      </c>
      <c r="Y17" s="353">
        <v>5.42</v>
      </c>
      <c r="Z17" s="353">
        <v>5.42</v>
      </c>
      <c r="AA17" s="353">
        <v>5.41</v>
      </c>
      <c r="AB17" s="353">
        <v>5.41</v>
      </c>
      <c r="AC17" s="353">
        <v>5.4</v>
      </c>
      <c r="AD17" s="353">
        <v>5.39</v>
      </c>
      <c r="AE17" s="353">
        <v>5.39</v>
      </c>
      <c r="AF17" s="353">
        <v>5.38</v>
      </c>
      <c r="AG17" s="353">
        <v>5.36</v>
      </c>
      <c r="AH17" s="353">
        <v>5.35</v>
      </c>
      <c r="AI17" s="353">
        <v>5.34</v>
      </c>
      <c r="AJ17" s="353">
        <v>5.34</v>
      </c>
      <c r="AK17" s="353">
        <v>5.33</v>
      </c>
      <c r="AL17" s="353">
        <v>5.32</v>
      </c>
      <c r="AM17" s="353">
        <v>5.31</v>
      </c>
      <c r="AN17" s="353">
        <v>5.3</v>
      </c>
      <c r="AO17" s="353">
        <v>5.3</v>
      </c>
      <c r="AP17" s="353">
        <v>5.29</v>
      </c>
      <c r="AQ17" s="353">
        <v>5.28</v>
      </c>
      <c r="AR17" s="353">
        <v>5.27</v>
      </c>
      <c r="AS17" s="353">
        <v>5.26</v>
      </c>
      <c r="AT17" s="353">
        <v>5.25</v>
      </c>
      <c r="AU17" s="353">
        <v>5.24</v>
      </c>
      <c r="AV17" s="353">
        <v>5.23</v>
      </c>
      <c r="AW17" s="353">
        <v>5.23</v>
      </c>
      <c r="AX17" s="353">
        <v>5.22</v>
      </c>
      <c r="AY17" s="353">
        <v>5.21</v>
      </c>
      <c r="AZ17" s="150">
        <v>2.75E-2</v>
      </c>
      <c r="BA17" s="104">
        <f t="shared" si="0"/>
        <v>2.75</v>
      </c>
    </row>
    <row r="18" spans="1:53" s="106" customFormat="1" ht="12.75">
      <c r="A18" s="105">
        <v>40086</v>
      </c>
      <c r="B18" s="353">
        <v>3.87</v>
      </c>
      <c r="C18" s="353">
        <v>4.01</v>
      </c>
      <c r="D18" s="353">
        <v>4.18</v>
      </c>
      <c r="E18" s="353">
        <v>4.34</v>
      </c>
      <c r="F18" s="353">
        <v>4.47</v>
      </c>
      <c r="G18" s="353">
        <v>4.5999999999999996</v>
      </c>
      <c r="H18" s="353">
        <v>4.71</v>
      </c>
      <c r="I18" s="353">
        <v>4.8099999999999996</v>
      </c>
      <c r="J18" s="353">
        <v>4.9000000000000004</v>
      </c>
      <c r="K18" s="353">
        <v>4.9800000000000004</v>
      </c>
      <c r="L18" s="353">
        <v>5.0599999999999996</v>
      </c>
      <c r="M18" s="353">
        <v>5.12</v>
      </c>
      <c r="N18" s="353">
        <v>5.18</v>
      </c>
      <c r="O18" s="353">
        <v>5.23</v>
      </c>
      <c r="P18" s="442">
        <v>5.27</v>
      </c>
      <c r="Q18" s="353">
        <v>5.3</v>
      </c>
      <c r="R18" s="353">
        <v>5.33</v>
      </c>
      <c r="S18" s="353">
        <v>5.36</v>
      </c>
      <c r="T18" s="353">
        <v>5.38</v>
      </c>
      <c r="U18" s="353">
        <v>5.4</v>
      </c>
      <c r="V18" s="353">
        <v>5.41</v>
      </c>
      <c r="W18" s="353">
        <v>5.41</v>
      </c>
      <c r="X18" s="353">
        <v>5.41</v>
      </c>
      <c r="Y18" s="353">
        <v>5.41</v>
      </c>
      <c r="Z18" s="353">
        <v>5.42</v>
      </c>
      <c r="AA18" s="353">
        <v>5.41</v>
      </c>
      <c r="AB18" s="353">
        <v>5.4</v>
      </c>
      <c r="AC18" s="353">
        <v>5.39</v>
      </c>
      <c r="AD18" s="353">
        <v>5.39</v>
      </c>
      <c r="AE18" s="353">
        <v>5.38</v>
      </c>
      <c r="AF18" s="353">
        <v>5.37</v>
      </c>
      <c r="AG18" s="353">
        <v>5.36</v>
      </c>
      <c r="AH18" s="353">
        <v>5.35</v>
      </c>
      <c r="AI18" s="353">
        <v>5.34</v>
      </c>
      <c r="AJ18" s="353">
        <v>5.33</v>
      </c>
      <c r="AK18" s="353">
        <v>5.32</v>
      </c>
      <c r="AL18" s="353">
        <v>5.31</v>
      </c>
      <c r="AM18" s="353">
        <v>5.3</v>
      </c>
      <c r="AN18" s="353">
        <v>5.3</v>
      </c>
      <c r="AO18" s="353">
        <v>5.29</v>
      </c>
      <c r="AP18" s="353">
        <v>5.28</v>
      </c>
      <c r="AQ18" s="353">
        <v>5.27</v>
      </c>
      <c r="AR18" s="353">
        <v>5.26</v>
      </c>
      <c r="AS18" s="353">
        <v>5.25</v>
      </c>
      <c r="AT18" s="353">
        <v>5.24</v>
      </c>
      <c r="AU18" s="353">
        <v>5.23</v>
      </c>
      <c r="AV18" s="353">
        <v>5.23</v>
      </c>
      <c r="AW18" s="353">
        <v>5.22</v>
      </c>
      <c r="AX18" s="353">
        <v>5.21</v>
      </c>
      <c r="AY18" s="353">
        <v>5.2</v>
      </c>
      <c r="AZ18" s="150">
        <v>2.75E-2</v>
      </c>
      <c r="BA18" s="104">
        <f t="shared" si="0"/>
        <v>2.75</v>
      </c>
    </row>
    <row r="19" spans="1:53" s="106" customFormat="1" ht="12.75">
      <c r="A19" s="105">
        <v>40117</v>
      </c>
      <c r="B19" s="353">
        <v>3.85</v>
      </c>
      <c r="C19" s="353">
        <v>4</v>
      </c>
      <c r="D19" s="353">
        <v>4.17</v>
      </c>
      <c r="E19" s="353">
        <v>4.33</v>
      </c>
      <c r="F19" s="353">
        <v>4.46</v>
      </c>
      <c r="G19" s="353">
        <v>4.58</v>
      </c>
      <c r="H19" s="353">
        <v>4.7</v>
      </c>
      <c r="I19" s="353">
        <v>4.8</v>
      </c>
      <c r="J19" s="353">
        <v>4.8899999999999997</v>
      </c>
      <c r="K19" s="353">
        <v>4.97</v>
      </c>
      <c r="L19" s="353">
        <v>5.04</v>
      </c>
      <c r="M19" s="353">
        <v>5.1100000000000003</v>
      </c>
      <c r="N19" s="353">
        <v>5.17</v>
      </c>
      <c r="O19" s="353">
        <v>5.22</v>
      </c>
      <c r="P19" s="442">
        <v>5.26</v>
      </c>
      <c r="Q19" s="353">
        <v>5.29</v>
      </c>
      <c r="R19" s="353">
        <v>5.32</v>
      </c>
      <c r="S19" s="353">
        <v>5.35</v>
      </c>
      <c r="T19" s="353">
        <v>5.37</v>
      </c>
      <c r="U19" s="353">
        <v>5.39</v>
      </c>
      <c r="V19" s="353">
        <v>5.39</v>
      </c>
      <c r="W19" s="353">
        <v>5.4</v>
      </c>
      <c r="X19" s="353">
        <v>5.4</v>
      </c>
      <c r="Y19" s="353">
        <v>5.4</v>
      </c>
      <c r="Z19" s="353">
        <v>5.4</v>
      </c>
      <c r="AA19" s="353">
        <v>5.4</v>
      </c>
      <c r="AB19" s="353">
        <v>5.39</v>
      </c>
      <c r="AC19" s="353">
        <v>5.38</v>
      </c>
      <c r="AD19" s="353">
        <v>5.37</v>
      </c>
      <c r="AE19" s="353">
        <v>5.37</v>
      </c>
      <c r="AF19" s="353">
        <v>5.36</v>
      </c>
      <c r="AG19" s="353">
        <v>5.34</v>
      </c>
      <c r="AH19" s="353">
        <v>5.33</v>
      </c>
      <c r="AI19" s="353">
        <v>5.32</v>
      </c>
      <c r="AJ19" s="353">
        <v>5.31</v>
      </c>
      <c r="AK19" s="353">
        <v>5.31</v>
      </c>
      <c r="AL19" s="353">
        <v>5.3</v>
      </c>
      <c r="AM19" s="353">
        <v>5.29</v>
      </c>
      <c r="AN19" s="353">
        <v>5.28</v>
      </c>
      <c r="AO19" s="353">
        <v>5.27</v>
      </c>
      <c r="AP19" s="353">
        <v>5.26</v>
      </c>
      <c r="AQ19" s="353">
        <v>5.25</v>
      </c>
      <c r="AR19" s="353">
        <v>5.25</v>
      </c>
      <c r="AS19" s="353">
        <v>5.24</v>
      </c>
      <c r="AT19" s="353">
        <v>5.23</v>
      </c>
      <c r="AU19" s="353">
        <v>5.22</v>
      </c>
      <c r="AV19" s="353">
        <v>5.21</v>
      </c>
      <c r="AW19" s="353">
        <v>5.2</v>
      </c>
      <c r="AX19" s="353">
        <v>5.2</v>
      </c>
      <c r="AY19" s="353">
        <v>5.19</v>
      </c>
      <c r="AZ19" s="150">
        <v>2.75E-2</v>
      </c>
      <c r="BA19" s="104">
        <f t="shared" si="0"/>
        <v>2.75</v>
      </c>
    </row>
    <row r="20" spans="1:53" s="106" customFormat="1" ht="12.75">
      <c r="A20" s="105">
        <v>40147</v>
      </c>
      <c r="B20" s="353">
        <v>3.83</v>
      </c>
      <c r="C20" s="353">
        <v>3.98</v>
      </c>
      <c r="D20" s="353">
        <v>4.16</v>
      </c>
      <c r="E20" s="353">
        <v>4.3099999999999996</v>
      </c>
      <c r="F20" s="353">
        <v>4.45</v>
      </c>
      <c r="G20" s="353">
        <v>4.57</v>
      </c>
      <c r="H20" s="353">
        <v>4.6900000000000004</v>
      </c>
      <c r="I20" s="353">
        <v>4.79</v>
      </c>
      <c r="J20" s="353">
        <v>4.88</v>
      </c>
      <c r="K20" s="353">
        <v>4.96</v>
      </c>
      <c r="L20" s="353">
        <v>5.03</v>
      </c>
      <c r="M20" s="353">
        <v>5.0999999999999996</v>
      </c>
      <c r="N20" s="353">
        <v>5.16</v>
      </c>
      <c r="O20" s="353">
        <v>5.21</v>
      </c>
      <c r="P20" s="442">
        <v>5.25</v>
      </c>
      <c r="Q20" s="353">
        <v>5.28</v>
      </c>
      <c r="R20" s="353">
        <v>5.31</v>
      </c>
      <c r="S20" s="353">
        <v>5.34</v>
      </c>
      <c r="T20" s="353">
        <v>5.36</v>
      </c>
      <c r="U20" s="353">
        <v>5.38</v>
      </c>
      <c r="V20" s="353">
        <v>5.38</v>
      </c>
      <c r="W20" s="353">
        <v>5.39</v>
      </c>
      <c r="X20" s="353">
        <v>5.39</v>
      </c>
      <c r="Y20" s="353">
        <v>5.39</v>
      </c>
      <c r="Z20" s="353">
        <v>5.39</v>
      </c>
      <c r="AA20" s="353">
        <v>5.38</v>
      </c>
      <c r="AB20" s="353">
        <v>5.38</v>
      </c>
      <c r="AC20" s="353">
        <v>5.37</v>
      </c>
      <c r="AD20" s="353">
        <v>5.36</v>
      </c>
      <c r="AE20" s="353">
        <v>5.36</v>
      </c>
      <c r="AF20" s="353">
        <v>5.34</v>
      </c>
      <c r="AG20" s="353">
        <v>5.33</v>
      </c>
      <c r="AH20" s="353">
        <v>5.32</v>
      </c>
      <c r="AI20" s="353">
        <v>5.31</v>
      </c>
      <c r="AJ20" s="353">
        <v>5.3</v>
      </c>
      <c r="AK20" s="353">
        <v>5.29</v>
      </c>
      <c r="AL20" s="353">
        <v>5.28</v>
      </c>
      <c r="AM20" s="353">
        <v>5.28</v>
      </c>
      <c r="AN20" s="353">
        <v>5.27</v>
      </c>
      <c r="AO20" s="353">
        <v>5.26</v>
      </c>
      <c r="AP20" s="353">
        <v>5.25</v>
      </c>
      <c r="AQ20" s="353">
        <v>5.24</v>
      </c>
      <c r="AR20" s="353">
        <v>5.23</v>
      </c>
      <c r="AS20" s="353">
        <v>5.22</v>
      </c>
      <c r="AT20" s="353">
        <v>5.21</v>
      </c>
      <c r="AU20" s="353">
        <v>5.21</v>
      </c>
      <c r="AV20" s="353">
        <v>5.2</v>
      </c>
      <c r="AW20" s="353">
        <v>5.19</v>
      </c>
      <c r="AX20" s="353">
        <v>5.18</v>
      </c>
      <c r="AY20" s="353">
        <v>5.18</v>
      </c>
      <c r="AZ20" s="150">
        <v>2.75E-2</v>
      </c>
      <c r="BA20" s="104">
        <f t="shared" si="0"/>
        <v>2.75</v>
      </c>
    </row>
    <row r="21" spans="1:53" s="106" customFormat="1" ht="12.75">
      <c r="A21" s="105">
        <v>40178</v>
      </c>
      <c r="B21" s="353">
        <v>3.82</v>
      </c>
      <c r="C21" s="353">
        <v>3.97</v>
      </c>
      <c r="D21" s="353">
        <v>4.1500000000000004</v>
      </c>
      <c r="E21" s="353">
        <v>4.3099999999999996</v>
      </c>
      <c r="F21" s="353">
        <v>4.4400000000000004</v>
      </c>
      <c r="G21" s="353">
        <v>4.57</v>
      </c>
      <c r="H21" s="353">
        <v>4.68</v>
      </c>
      <c r="I21" s="353">
        <v>4.78</v>
      </c>
      <c r="J21" s="353">
        <v>4.87</v>
      </c>
      <c r="K21" s="353">
        <v>4.95</v>
      </c>
      <c r="L21" s="353">
        <v>5.03</v>
      </c>
      <c r="M21" s="353">
        <v>5.09</v>
      </c>
      <c r="N21" s="353">
        <v>5.15</v>
      </c>
      <c r="O21" s="353">
        <v>5.2</v>
      </c>
      <c r="P21" s="442">
        <v>5.25</v>
      </c>
      <c r="Q21" s="353">
        <v>5.28</v>
      </c>
      <c r="R21" s="353">
        <v>5.31</v>
      </c>
      <c r="S21" s="353">
        <v>5.33</v>
      </c>
      <c r="T21" s="353">
        <v>5.36</v>
      </c>
      <c r="U21" s="353">
        <v>5.38</v>
      </c>
      <c r="V21" s="353">
        <v>5.38</v>
      </c>
      <c r="W21" s="353">
        <v>5.38</v>
      </c>
      <c r="X21" s="353">
        <v>5.38</v>
      </c>
      <c r="Y21" s="353">
        <v>5.38</v>
      </c>
      <c r="Z21" s="353">
        <v>5.39</v>
      </c>
      <c r="AA21" s="353">
        <v>5.38</v>
      </c>
      <c r="AB21" s="353">
        <v>5.37</v>
      </c>
      <c r="AC21" s="353">
        <v>5.36</v>
      </c>
      <c r="AD21" s="353">
        <v>5.35</v>
      </c>
      <c r="AE21" s="353">
        <v>5.35</v>
      </c>
      <c r="AF21" s="353">
        <v>5.33</v>
      </c>
      <c r="AG21" s="353">
        <v>5.32</v>
      </c>
      <c r="AH21" s="353">
        <v>5.31</v>
      </c>
      <c r="AI21" s="353">
        <v>5.3</v>
      </c>
      <c r="AJ21" s="353">
        <v>5.29</v>
      </c>
      <c r="AK21" s="353">
        <v>5.28</v>
      </c>
      <c r="AL21" s="353">
        <v>5.27</v>
      </c>
      <c r="AM21" s="353">
        <v>5.27</v>
      </c>
      <c r="AN21" s="353">
        <v>5.26</v>
      </c>
      <c r="AO21" s="353">
        <v>5.25</v>
      </c>
      <c r="AP21" s="353">
        <v>5.24</v>
      </c>
      <c r="AQ21" s="353">
        <v>5.23</v>
      </c>
      <c r="AR21" s="353">
        <v>5.22</v>
      </c>
      <c r="AS21" s="353">
        <v>5.21</v>
      </c>
      <c r="AT21" s="353">
        <v>5.2</v>
      </c>
      <c r="AU21" s="353">
        <v>5.2</v>
      </c>
      <c r="AV21" s="353">
        <v>5.19</v>
      </c>
      <c r="AW21" s="353">
        <v>5.18</v>
      </c>
      <c r="AX21" s="353">
        <v>5.17</v>
      </c>
      <c r="AY21" s="353">
        <v>5.17</v>
      </c>
      <c r="AZ21" s="150">
        <v>2.75E-2</v>
      </c>
      <c r="BA21" s="104">
        <f t="shared" si="0"/>
        <v>2.75</v>
      </c>
    </row>
    <row r="22" spans="1:53" s="106" customFormat="1" ht="12.75">
      <c r="A22" s="105">
        <v>40209</v>
      </c>
      <c r="B22" s="353">
        <v>3.81</v>
      </c>
      <c r="C22" s="353">
        <v>3.96</v>
      </c>
      <c r="D22" s="353">
        <v>4.1399999999999997</v>
      </c>
      <c r="E22" s="353">
        <v>4.3</v>
      </c>
      <c r="F22" s="353">
        <v>4.4400000000000004</v>
      </c>
      <c r="G22" s="353">
        <v>4.5599999999999996</v>
      </c>
      <c r="H22" s="353">
        <v>4.67</v>
      </c>
      <c r="I22" s="353">
        <v>4.78</v>
      </c>
      <c r="J22" s="353">
        <v>4.87</v>
      </c>
      <c r="K22" s="353">
        <v>4.95</v>
      </c>
      <c r="L22" s="353">
        <v>5.0199999999999996</v>
      </c>
      <c r="M22" s="353">
        <v>5.09</v>
      </c>
      <c r="N22" s="353">
        <v>5.15</v>
      </c>
      <c r="O22" s="353">
        <v>5.2</v>
      </c>
      <c r="P22" s="442">
        <v>5.24</v>
      </c>
      <c r="Q22" s="353">
        <v>5.27</v>
      </c>
      <c r="R22" s="353">
        <v>5.3</v>
      </c>
      <c r="S22" s="353">
        <v>5.33</v>
      </c>
      <c r="T22" s="353">
        <v>5.35</v>
      </c>
      <c r="U22" s="353">
        <v>5.37</v>
      </c>
      <c r="V22" s="353">
        <v>5.37</v>
      </c>
      <c r="W22" s="353">
        <v>5.37</v>
      </c>
      <c r="X22" s="353">
        <v>5.38</v>
      </c>
      <c r="Y22" s="353">
        <v>5.38</v>
      </c>
      <c r="Z22" s="353">
        <v>5.38</v>
      </c>
      <c r="AA22" s="353">
        <v>5.37</v>
      </c>
      <c r="AB22" s="353">
        <v>5.36</v>
      </c>
      <c r="AC22" s="353">
        <v>5.35</v>
      </c>
      <c r="AD22" s="353">
        <v>5.35</v>
      </c>
      <c r="AE22" s="353">
        <v>5.34</v>
      </c>
      <c r="AF22" s="353">
        <v>5.33</v>
      </c>
      <c r="AG22" s="353">
        <v>5.31</v>
      </c>
      <c r="AH22" s="353">
        <v>5.3</v>
      </c>
      <c r="AI22" s="353">
        <v>5.29</v>
      </c>
      <c r="AJ22" s="353">
        <v>5.28</v>
      </c>
      <c r="AK22" s="353">
        <v>5.27</v>
      </c>
      <c r="AL22" s="353">
        <v>5.27</v>
      </c>
      <c r="AM22" s="353">
        <v>5.26</v>
      </c>
      <c r="AN22" s="353">
        <v>5.25</v>
      </c>
      <c r="AO22" s="353">
        <v>5.24</v>
      </c>
      <c r="AP22" s="353">
        <v>5.23</v>
      </c>
      <c r="AQ22" s="353">
        <v>5.22</v>
      </c>
      <c r="AR22" s="353">
        <v>5.21</v>
      </c>
      <c r="AS22" s="353">
        <v>5.2</v>
      </c>
      <c r="AT22" s="353">
        <v>5.2</v>
      </c>
      <c r="AU22" s="353">
        <v>5.19</v>
      </c>
      <c r="AV22" s="353">
        <v>5.18</v>
      </c>
      <c r="AW22" s="353">
        <v>5.17</v>
      </c>
      <c r="AX22" s="353">
        <v>5.17</v>
      </c>
      <c r="AY22" s="353">
        <v>5.16</v>
      </c>
      <c r="AZ22" s="150">
        <v>2.75E-2</v>
      </c>
      <c r="BA22" s="104">
        <f t="shared" si="0"/>
        <v>2.75</v>
      </c>
    </row>
    <row r="23" spans="1:53" s="106" customFormat="1" ht="12.75">
      <c r="A23" s="105">
        <v>40237</v>
      </c>
      <c r="B23" s="353">
        <v>3.8</v>
      </c>
      <c r="C23" s="353">
        <v>3.96</v>
      </c>
      <c r="D23" s="353">
        <v>4.1399999999999997</v>
      </c>
      <c r="E23" s="353">
        <v>4.29</v>
      </c>
      <c r="F23" s="353">
        <v>4.43</v>
      </c>
      <c r="G23" s="353">
        <v>4.5599999999999996</v>
      </c>
      <c r="H23" s="353">
        <v>4.67</v>
      </c>
      <c r="I23" s="353">
        <v>4.7699999999999996</v>
      </c>
      <c r="J23" s="353">
        <v>4.8600000000000003</v>
      </c>
      <c r="K23" s="353">
        <v>4.9400000000000004</v>
      </c>
      <c r="L23" s="353">
        <v>5.0199999999999996</v>
      </c>
      <c r="M23" s="353">
        <v>5.08</v>
      </c>
      <c r="N23" s="353">
        <v>5.14</v>
      </c>
      <c r="O23" s="353">
        <v>5.19</v>
      </c>
      <c r="P23" s="442">
        <v>5.24</v>
      </c>
      <c r="Q23" s="353">
        <v>5.27</v>
      </c>
      <c r="R23" s="353">
        <v>5.3</v>
      </c>
      <c r="S23" s="353">
        <v>5.32</v>
      </c>
      <c r="T23" s="353">
        <v>5.34</v>
      </c>
      <c r="U23" s="353">
        <v>5.36</v>
      </c>
      <c r="V23" s="353">
        <v>5.36</v>
      </c>
      <c r="W23" s="353">
        <v>5.37</v>
      </c>
      <c r="X23" s="353">
        <v>5.37</v>
      </c>
      <c r="Y23" s="353">
        <v>5.37</v>
      </c>
      <c r="Z23" s="353">
        <v>5.37</v>
      </c>
      <c r="AA23" s="353">
        <v>5.36</v>
      </c>
      <c r="AB23" s="353">
        <v>5.35</v>
      </c>
      <c r="AC23" s="353">
        <v>5.34</v>
      </c>
      <c r="AD23" s="353">
        <v>5.33</v>
      </c>
      <c r="AE23" s="353">
        <v>5.33</v>
      </c>
      <c r="AF23" s="353">
        <v>5.31</v>
      </c>
      <c r="AG23" s="353">
        <v>5.3</v>
      </c>
      <c r="AH23" s="353">
        <v>5.29</v>
      </c>
      <c r="AI23" s="353">
        <v>5.28</v>
      </c>
      <c r="AJ23" s="353">
        <v>5.27</v>
      </c>
      <c r="AK23" s="353">
        <v>5.26</v>
      </c>
      <c r="AL23" s="353">
        <v>5.25</v>
      </c>
      <c r="AM23" s="353">
        <v>5.24</v>
      </c>
      <c r="AN23" s="353">
        <v>5.24</v>
      </c>
      <c r="AO23" s="353">
        <v>5.23</v>
      </c>
      <c r="AP23" s="353">
        <v>5.22</v>
      </c>
      <c r="AQ23" s="353">
        <v>5.21</v>
      </c>
      <c r="AR23" s="353">
        <v>5.2</v>
      </c>
      <c r="AS23" s="353">
        <v>5.19</v>
      </c>
      <c r="AT23" s="353">
        <v>5.18</v>
      </c>
      <c r="AU23" s="353">
        <v>5.18</v>
      </c>
      <c r="AV23" s="353">
        <v>5.17</v>
      </c>
      <c r="AW23" s="353">
        <v>5.16</v>
      </c>
      <c r="AX23" s="353">
        <v>5.15</v>
      </c>
      <c r="AY23" s="353">
        <v>5.15</v>
      </c>
      <c r="AZ23" s="150">
        <v>2.75E-2</v>
      </c>
      <c r="BA23" s="104">
        <f t="shared" si="0"/>
        <v>2.75</v>
      </c>
    </row>
    <row r="24" spans="1:53" s="106" customFormat="1" ht="12.75">
      <c r="A24" s="105">
        <v>40268</v>
      </c>
      <c r="B24" s="353">
        <v>3.78</v>
      </c>
      <c r="C24" s="353">
        <v>3.95</v>
      </c>
      <c r="D24" s="353">
        <v>4.13</v>
      </c>
      <c r="E24" s="353">
        <v>4.29</v>
      </c>
      <c r="F24" s="353">
        <v>4.42</v>
      </c>
      <c r="G24" s="353">
        <v>4.55</v>
      </c>
      <c r="H24" s="353">
        <v>4.66</v>
      </c>
      <c r="I24" s="353">
        <v>4.76</v>
      </c>
      <c r="J24" s="353">
        <v>4.8499999999999996</v>
      </c>
      <c r="K24" s="353">
        <v>4.9400000000000004</v>
      </c>
      <c r="L24" s="353">
        <v>5.01</v>
      </c>
      <c r="M24" s="353">
        <v>5.07</v>
      </c>
      <c r="N24" s="353">
        <v>5.13</v>
      </c>
      <c r="O24" s="353">
        <v>5.18</v>
      </c>
      <c r="P24" s="442">
        <v>5.23</v>
      </c>
      <c r="Q24" s="353">
        <v>5.26</v>
      </c>
      <c r="R24" s="353">
        <v>5.29</v>
      </c>
      <c r="S24" s="353">
        <v>5.31</v>
      </c>
      <c r="T24" s="353">
        <v>5.33</v>
      </c>
      <c r="U24" s="353">
        <v>5.35</v>
      </c>
      <c r="V24" s="353">
        <v>5.36</v>
      </c>
      <c r="W24" s="353">
        <v>5.36</v>
      </c>
      <c r="X24" s="353">
        <v>5.36</v>
      </c>
      <c r="Y24" s="353">
        <v>5.36</v>
      </c>
      <c r="Z24" s="353">
        <v>5.36</v>
      </c>
      <c r="AA24" s="353">
        <v>5.35</v>
      </c>
      <c r="AB24" s="353">
        <v>5.34</v>
      </c>
      <c r="AC24" s="353">
        <v>5.33</v>
      </c>
      <c r="AD24" s="353">
        <v>5.32</v>
      </c>
      <c r="AE24" s="353">
        <v>5.32</v>
      </c>
      <c r="AF24" s="353">
        <v>5.3</v>
      </c>
      <c r="AG24" s="353">
        <v>5.29</v>
      </c>
      <c r="AH24" s="353">
        <v>5.28</v>
      </c>
      <c r="AI24" s="353">
        <v>5.27</v>
      </c>
      <c r="AJ24" s="353">
        <v>5.26</v>
      </c>
      <c r="AK24" s="353">
        <v>5.25</v>
      </c>
      <c r="AL24" s="353">
        <v>5.24</v>
      </c>
      <c r="AM24" s="353">
        <v>5.23</v>
      </c>
      <c r="AN24" s="353">
        <v>5.22</v>
      </c>
      <c r="AO24" s="353">
        <v>5.22</v>
      </c>
      <c r="AP24" s="353">
        <v>5.21</v>
      </c>
      <c r="AQ24" s="353">
        <v>5.2</v>
      </c>
      <c r="AR24" s="353">
        <v>5.19</v>
      </c>
      <c r="AS24" s="353">
        <v>5.18</v>
      </c>
      <c r="AT24" s="353">
        <v>5.17</v>
      </c>
      <c r="AU24" s="353">
        <v>5.16</v>
      </c>
      <c r="AV24" s="353">
        <v>5.16</v>
      </c>
      <c r="AW24" s="353">
        <v>5.15</v>
      </c>
      <c r="AX24" s="353">
        <v>5.14</v>
      </c>
      <c r="AY24" s="353">
        <v>5.13</v>
      </c>
      <c r="AZ24" s="150">
        <v>2.75E-2</v>
      </c>
      <c r="BA24" s="104">
        <f t="shared" si="0"/>
        <v>2.75</v>
      </c>
    </row>
    <row r="25" spans="1:53" s="106" customFormat="1" ht="12.75">
      <c r="A25" s="105">
        <v>40298</v>
      </c>
      <c r="B25" s="353">
        <v>3.77</v>
      </c>
      <c r="C25" s="353">
        <v>3.94</v>
      </c>
      <c r="D25" s="353">
        <v>4.12</v>
      </c>
      <c r="E25" s="353">
        <v>4.28</v>
      </c>
      <c r="F25" s="353">
        <v>4.42</v>
      </c>
      <c r="G25" s="353">
        <v>4.54</v>
      </c>
      <c r="H25" s="353">
        <v>4.6500000000000004</v>
      </c>
      <c r="I25" s="353">
        <v>4.76</v>
      </c>
      <c r="J25" s="353">
        <v>4.8499999999999996</v>
      </c>
      <c r="K25" s="353">
        <v>4.93</v>
      </c>
      <c r="L25" s="353">
        <v>5</v>
      </c>
      <c r="M25" s="353">
        <v>5.07</v>
      </c>
      <c r="N25" s="353">
        <v>5.13</v>
      </c>
      <c r="O25" s="353">
        <v>5.18</v>
      </c>
      <c r="P25" s="442">
        <v>5.22</v>
      </c>
      <c r="Q25" s="353">
        <v>5.25</v>
      </c>
      <c r="R25" s="353">
        <v>5.28</v>
      </c>
      <c r="S25" s="353">
        <v>5.3</v>
      </c>
      <c r="T25" s="353">
        <v>5.33</v>
      </c>
      <c r="U25" s="353">
        <v>5.34</v>
      </c>
      <c r="V25" s="353">
        <v>5.35</v>
      </c>
      <c r="W25" s="353">
        <v>5.35</v>
      </c>
      <c r="X25" s="353">
        <v>5.35</v>
      </c>
      <c r="Y25" s="353">
        <v>5.35</v>
      </c>
      <c r="Z25" s="353">
        <v>5.35</v>
      </c>
      <c r="AA25" s="353">
        <v>5.34</v>
      </c>
      <c r="AB25" s="353">
        <v>5.33</v>
      </c>
      <c r="AC25" s="353">
        <v>5.32</v>
      </c>
      <c r="AD25" s="353">
        <v>5.31</v>
      </c>
      <c r="AE25" s="353">
        <v>5.3</v>
      </c>
      <c r="AF25" s="353">
        <v>5.29</v>
      </c>
      <c r="AG25" s="353">
        <v>5.28</v>
      </c>
      <c r="AH25" s="353">
        <v>5.27</v>
      </c>
      <c r="AI25" s="353">
        <v>5.25</v>
      </c>
      <c r="AJ25" s="353">
        <v>5.24</v>
      </c>
      <c r="AK25" s="353">
        <v>5.23</v>
      </c>
      <c r="AL25" s="353">
        <v>5.23</v>
      </c>
      <c r="AM25" s="353">
        <v>5.22</v>
      </c>
      <c r="AN25" s="353">
        <v>5.21</v>
      </c>
      <c r="AO25" s="353">
        <v>5.2</v>
      </c>
      <c r="AP25" s="353">
        <v>5.19</v>
      </c>
      <c r="AQ25" s="353">
        <v>5.18</v>
      </c>
      <c r="AR25" s="353">
        <v>5.17</v>
      </c>
      <c r="AS25" s="353">
        <v>5.16</v>
      </c>
      <c r="AT25" s="353">
        <v>5.16</v>
      </c>
      <c r="AU25" s="353">
        <v>5.15</v>
      </c>
      <c r="AV25" s="353">
        <v>5.14</v>
      </c>
      <c r="AW25" s="353">
        <v>5.13</v>
      </c>
      <c r="AX25" s="353">
        <v>5.13</v>
      </c>
      <c r="AY25" s="353">
        <v>5.12</v>
      </c>
      <c r="AZ25" s="150">
        <v>2.75E-2</v>
      </c>
      <c r="BA25" s="104">
        <f t="shared" si="0"/>
        <v>2.75</v>
      </c>
    </row>
    <row r="26" spans="1:53" s="106" customFormat="1" ht="12.75">
      <c r="A26" s="105">
        <v>40329</v>
      </c>
      <c r="B26" s="353">
        <v>3.77</v>
      </c>
      <c r="C26" s="353">
        <v>3.94</v>
      </c>
      <c r="D26" s="353">
        <v>4.12</v>
      </c>
      <c r="E26" s="353">
        <v>4.28</v>
      </c>
      <c r="F26" s="353">
        <v>4.41</v>
      </c>
      <c r="G26" s="353">
        <v>4.54</v>
      </c>
      <c r="H26" s="353">
        <v>4.6500000000000004</v>
      </c>
      <c r="I26" s="353">
        <v>4.75</v>
      </c>
      <c r="J26" s="353">
        <v>4.84</v>
      </c>
      <c r="K26" s="353">
        <v>4.92</v>
      </c>
      <c r="L26" s="353">
        <v>5</v>
      </c>
      <c r="M26" s="353">
        <v>5.0599999999999996</v>
      </c>
      <c r="N26" s="353">
        <v>5.12</v>
      </c>
      <c r="O26" s="353">
        <v>5.17</v>
      </c>
      <c r="P26" s="442">
        <v>5.22</v>
      </c>
      <c r="Q26" s="353">
        <v>5.25</v>
      </c>
      <c r="R26" s="353">
        <v>5.27</v>
      </c>
      <c r="S26" s="353">
        <v>5.3</v>
      </c>
      <c r="T26" s="353">
        <v>5.32</v>
      </c>
      <c r="U26" s="353">
        <v>5.34</v>
      </c>
      <c r="V26" s="353">
        <v>5.34</v>
      </c>
      <c r="W26" s="353">
        <v>5.34</v>
      </c>
      <c r="X26" s="353">
        <v>5.34</v>
      </c>
      <c r="Y26" s="353">
        <v>5.34</v>
      </c>
      <c r="Z26" s="353">
        <v>5.34</v>
      </c>
      <c r="AA26" s="353">
        <v>5.33</v>
      </c>
      <c r="AB26" s="353">
        <v>5.32</v>
      </c>
      <c r="AC26" s="353">
        <v>5.31</v>
      </c>
      <c r="AD26" s="353">
        <v>5.3</v>
      </c>
      <c r="AE26" s="353">
        <v>5.29</v>
      </c>
      <c r="AF26" s="353">
        <v>5.28</v>
      </c>
      <c r="AG26" s="353">
        <v>5.26</v>
      </c>
      <c r="AH26" s="353">
        <v>5.25</v>
      </c>
      <c r="AI26" s="353">
        <v>5.24</v>
      </c>
      <c r="AJ26" s="353">
        <v>5.23</v>
      </c>
      <c r="AK26" s="353">
        <v>5.22</v>
      </c>
      <c r="AL26" s="353">
        <v>5.21</v>
      </c>
      <c r="AM26" s="353">
        <v>5.2</v>
      </c>
      <c r="AN26" s="353">
        <v>5.19</v>
      </c>
      <c r="AO26" s="353">
        <v>5.19</v>
      </c>
      <c r="AP26" s="353">
        <v>5.18</v>
      </c>
      <c r="AQ26" s="353">
        <v>5.17</v>
      </c>
      <c r="AR26" s="353">
        <v>5.16</v>
      </c>
      <c r="AS26" s="353">
        <v>5.15</v>
      </c>
      <c r="AT26" s="353">
        <v>5.14</v>
      </c>
      <c r="AU26" s="353">
        <v>5.13</v>
      </c>
      <c r="AV26" s="353">
        <v>5.13</v>
      </c>
      <c r="AW26" s="353">
        <v>5.12</v>
      </c>
      <c r="AX26" s="353">
        <v>5.1100000000000003</v>
      </c>
      <c r="AY26" s="353">
        <v>5.1100000000000003</v>
      </c>
      <c r="AZ26" s="150">
        <v>2.75E-2</v>
      </c>
      <c r="BA26" s="104">
        <f t="shared" si="0"/>
        <v>2.75</v>
      </c>
    </row>
    <row r="27" spans="1:53" s="106" customFormat="1" ht="12.75">
      <c r="A27" s="105">
        <v>40359</v>
      </c>
      <c r="B27" s="353">
        <v>3.77</v>
      </c>
      <c r="C27" s="353">
        <v>3.93</v>
      </c>
      <c r="D27" s="353">
        <v>4.1100000000000003</v>
      </c>
      <c r="E27" s="353">
        <v>4.2699999999999996</v>
      </c>
      <c r="F27" s="353">
        <v>4.41</v>
      </c>
      <c r="G27" s="353">
        <v>4.54</v>
      </c>
      <c r="H27" s="353">
        <v>4.6500000000000004</v>
      </c>
      <c r="I27" s="353">
        <v>4.75</v>
      </c>
      <c r="J27" s="353">
        <v>4.84</v>
      </c>
      <c r="K27" s="353">
        <v>4.92</v>
      </c>
      <c r="L27" s="353">
        <v>5</v>
      </c>
      <c r="M27" s="353">
        <v>5.0599999999999996</v>
      </c>
      <c r="N27" s="353">
        <v>5.12</v>
      </c>
      <c r="O27" s="353">
        <v>5.17</v>
      </c>
      <c r="P27" s="442">
        <v>5.21</v>
      </c>
      <c r="Q27" s="353">
        <v>5.24</v>
      </c>
      <c r="R27" s="353">
        <v>5.27</v>
      </c>
      <c r="S27" s="353">
        <v>5.29</v>
      </c>
      <c r="T27" s="353">
        <v>5.31</v>
      </c>
      <c r="U27" s="353">
        <v>5.33</v>
      </c>
      <c r="V27" s="353">
        <v>5.33</v>
      </c>
      <c r="W27" s="353">
        <v>5.33</v>
      </c>
      <c r="X27" s="353">
        <v>5.33</v>
      </c>
      <c r="Y27" s="353">
        <v>5.33</v>
      </c>
      <c r="Z27" s="353">
        <v>5.33</v>
      </c>
      <c r="AA27" s="353">
        <v>5.32</v>
      </c>
      <c r="AB27" s="353">
        <v>5.31</v>
      </c>
      <c r="AC27" s="353">
        <v>5.3</v>
      </c>
      <c r="AD27" s="353">
        <v>5.29</v>
      </c>
      <c r="AE27" s="353">
        <v>5.28</v>
      </c>
      <c r="AF27" s="353">
        <v>5.26</v>
      </c>
      <c r="AG27" s="353">
        <v>5.25</v>
      </c>
      <c r="AH27" s="353">
        <v>5.24</v>
      </c>
      <c r="AI27" s="353">
        <v>5.23</v>
      </c>
      <c r="AJ27" s="353">
        <v>5.22</v>
      </c>
      <c r="AK27" s="353">
        <v>5.21</v>
      </c>
      <c r="AL27" s="353">
        <v>5.2</v>
      </c>
      <c r="AM27" s="353">
        <v>5.19</v>
      </c>
      <c r="AN27" s="353">
        <v>5.18</v>
      </c>
      <c r="AO27" s="353">
        <v>5.17</v>
      </c>
      <c r="AP27" s="353">
        <v>5.16</v>
      </c>
      <c r="AQ27" s="353">
        <v>5.15</v>
      </c>
      <c r="AR27" s="353">
        <v>5.14</v>
      </c>
      <c r="AS27" s="353">
        <v>5.13</v>
      </c>
      <c r="AT27" s="353">
        <v>5.13</v>
      </c>
      <c r="AU27" s="353">
        <v>5.12</v>
      </c>
      <c r="AV27" s="353">
        <v>5.1100000000000003</v>
      </c>
      <c r="AW27" s="353">
        <v>5.0999999999999996</v>
      </c>
      <c r="AX27" s="353">
        <v>5.0999999999999996</v>
      </c>
      <c r="AY27" s="353">
        <v>5.09</v>
      </c>
      <c r="AZ27" s="150">
        <v>2.75E-2</v>
      </c>
      <c r="BA27" s="104">
        <f t="shared" si="0"/>
        <v>2.75</v>
      </c>
    </row>
    <row r="28" spans="1:53" s="106" customFormat="1" ht="12.75">
      <c r="A28" s="105">
        <v>40390</v>
      </c>
      <c r="B28" s="353">
        <v>3.77</v>
      </c>
      <c r="C28" s="353">
        <v>3.93</v>
      </c>
      <c r="D28" s="353">
        <v>4.1100000000000003</v>
      </c>
      <c r="E28" s="353">
        <v>4.26</v>
      </c>
      <c r="F28" s="353">
        <v>4.4000000000000004</v>
      </c>
      <c r="G28" s="353">
        <v>4.53</v>
      </c>
      <c r="H28" s="353">
        <v>4.6399999999999997</v>
      </c>
      <c r="I28" s="353">
        <v>4.74</v>
      </c>
      <c r="J28" s="353">
        <v>4.83</v>
      </c>
      <c r="K28" s="353">
        <v>4.91</v>
      </c>
      <c r="L28" s="353">
        <v>4.99</v>
      </c>
      <c r="M28" s="353">
        <v>5.05</v>
      </c>
      <c r="N28" s="353">
        <v>5.1100000000000003</v>
      </c>
      <c r="O28" s="353">
        <v>5.16</v>
      </c>
      <c r="P28" s="442">
        <v>5.2</v>
      </c>
      <c r="Q28" s="353">
        <v>5.23</v>
      </c>
      <c r="R28" s="353">
        <v>5.26</v>
      </c>
      <c r="S28" s="353">
        <v>5.28</v>
      </c>
      <c r="T28" s="353">
        <v>5.3</v>
      </c>
      <c r="U28" s="353">
        <v>5.32</v>
      </c>
      <c r="V28" s="353">
        <v>5.32</v>
      </c>
      <c r="W28" s="353">
        <v>5.32</v>
      </c>
      <c r="X28" s="353">
        <v>5.32</v>
      </c>
      <c r="Y28" s="353">
        <v>5.32</v>
      </c>
      <c r="Z28" s="353">
        <v>5.31</v>
      </c>
      <c r="AA28" s="353">
        <v>5.3</v>
      </c>
      <c r="AB28" s="353">
        <v>5.29</v>
      </c>
      <c r="AC28" s="353">
        <v>5.28</v>
      </c>
      <c r="AD28" s="353">
        <v>5.27</v>
      </c>
      <c r="AE28" s="353">
        <v>5.26</v>
      </c>
      <c r="AF28" s="353">
        <v>5.25</v>
      </c>
      <c r="AG28" s="353">
        <v>5.23</v>
      </c>
      <c r="AH28" s="353">
        <v>5.22</v>
      </c>
      <c r="AI28" s="353">
        <v>5.21</v>
      </c>
      <c r="AJ28" s="353">
        <v>5.2</v>
      </c>
      <c r="AK28" s="353">
        <v>5.19</v>
      </c>
      <c r="AL28" s="353">
        <v>5.18</v>
      </c>
      <c r="AM28" s="353">
        <v>5.17</v>
      </c>
      <c r="AN28" s="353">
        <v>5.16</v>
      </c>
      <c r="AO28" s="353">
        <v>5.15</v>
      </c>
      <c r="AP28" s="353">
        <v>5.14</v>
      </c>
      <c r="AQ28" s="353">
        <v>5.13</v>
      </c>
      <c r="AR28" s="353">
        <v>5.12</v>
      </c>
      <c r="AS28" s="353">
        <v>5.12</v>
      </c>
      <c r="AT28" s="353">
        <v>5.1100000000000003</v>
      </c>
      <c r="AU28" s="353">
        <v>5.0999999999999996</v>
      </c>
      <c r="AV28" s="353">
        <v>5.09</v>
      </c>
      <c r="AW28" s="353">
        <v>5.09</v>
      </c>
      <c r="AX28" s="353">
        <v>5.08</v>
      </c>
      <c r="AY28" s="353">
        <v>5.07</v>
      </c>
      <c r="AZ28" s="150">
        <v>2.75E-2</v>
      </c>
      <c r="BA28" s="104">
        <f t="shared" si="0"/>
        <v>2.75</v>
      </c>
    </row>
    <row r="29" spans="1:53">
      <c r="A29" s="105">
        <v>40421</v>
      </c>
      <c r="B29" s="353">
        <v>3.76</v>
      </c>
      <c r="C29" s="353">
        <v>3.92</v>
      </c>
      <c r="D29" s="353">
        <v>4.0999999999999996</v>
      </c>
      <c r="E29" s="353">
        <v>4.25</v>
      </c>
      <c r="F29" s="353">
        <v>4.3899999999999997</v>
      </c>
      <c r="G29" s="353">
        <v>4.51</v>
      </c>
      <c r="H29" s="353">
        <v>4.62</v>
      </c>
      <c r="I29" s="353">
        <v>4.7300000000000004</v>
      </c>
      <c r="J29" s="353">
        <v>4.82</v>
      </c>
      <c r="K29" s="353">
        <v>4.9000000000000004</v>
      </c>
      <c r="L29" s="353">
        <v>4.97</v>
      </c>
      <c r="M29" s="353">
        <v>5.03</v>
      </c>
      <c r="N29" s="353">
        <v>5.09</v>
      </c>
      <c r="O29" s="353">
        <v>5.14</v>
      </c>
      <c r="P29" s="442">
        <v>5.19</v>
      </c>
      <c r="Q29" s="353">
        <v>5.22</v>
      </c>
      <c r="R29" s="353">
        <v>5.24</v>
      </c>
      <c r="S29" s="353">
        <v>5.26</v>
      </c>
      <c r="T29" s="353">
        <v>5.28</v>
      </c>
      <c r="U29" s="353">
        <v>5.3</v>
      </c>
      <c r="V29" s="353">
        <v>5.3</v>
      </c>
      <c r="W29" s="353">
        <v>5.3</v>
      </c>
      <c r="X29" s="353">
        <v>5.3</v>
      </c>
      <c r="Y29" s="353">
        <v>5.3</v>
      </c>
      <c r="Z29" s="353">
        <v>5.29</v>
      </c>
      <c r="AA29" s="353">
        <v>5.28</v>
      </c>
      <c r="AB29" s="353">
        <v>5.27</v>
      </c>
      <c r="AC29" s="353">
        <v>5.26</v>
      </c>
      <c r="AD29" s="353">
        <v>5.25</v>
      </c>
      <c r="AE29" s="353">
        <v>5.24</v>
      </c>
      <c r="AF29" s="353">
        <v>5.23</v>
      </c>
      <c r="AG29" s="353">
        <v>5.21</v>
      </c>
      <c r="AH29" s="353">
        <v>5.2</v>
      </c>
      <c r="AI29" s="353">
        <v>5.19</v>
      </c>
      <c r="AJ29" s="353">
        <v>5.18</v>
      </c>
      <c r="AK29" s="353">
        <v>5.17</v>
      </c>
      <c r="AL29" s="353">
        <v>5.16</v>
      </c>
      <c r="AM29" s="353">
        <v>5.15</v>
      </c>
      <c r="AN29" s="353">
        <v>5.14</v>
      </c>
      <c r="AO29" s="353">
        <v>5.13</v>
      </c>
      <c r="AP29" s="353">
        <v>5.12</v>
      </c>
      <c r="AQ29" s="353">
        <v>5.1100000000000003</v>
      </c>
      <c r="AR29" s="353">
        <v>5.0999999999999996</v>
      </c>
      <c r="AS29" s="353">
        <v>5.09</v>
      </c>
      <c r="AT29" s="353">
        <v>5.08</v>
      </c>
      <c r="AU29" s="353">
        <v>5.08</v>
      </c>
      <c r="AV29" s="353">
        <v>5.07</v>
      </c>
      <c r="AW29" s="353">
        <v>5.0599999999999996</v>
      </c>
      <c r="AX29" s="353">
        <v>5.05</v>
      </c>
      <c r="AY29" s="353">
        <v>5.05</v>
      </c>
      <c r="AZ29" s="150">
        <v>2.75E-2</v>
      </c>
      <c r="BA29" s="104">
        <f t="shared" si="0"/>
        <v>2.75</v>
      </c>
    </row>
    <row r="30" spans="1:53">
      <c r="A30" s="105">
        <v>40451</v>
      </c>
      <c r="B30" s="353">
        <v>3.76</v>
      </c>
      <c r="C30" s="353">
        <v>3.91</v>
      </c>
      <c r="D30" s="353">
        <v>4.09</v>
      </c>
      <c r="E30" s="353">
        <v>4.24</v>
      </c>
      <c r="F30" s="353">
        <v>4.38</v>
      </c>
      <c r="G30" s="353">
        <v>4.5</v>
      </c>
      <c r="H30" s="353">
        <v>4.6100000000000003</v>
      </c>
      <c r="I30" s="353">
        <v>4.72</v>
      </c>
      <c r="J30" s="353">
        <v>4.8099999999999996</v>
      </c>
      <c r="K30" s="353">
        <v>4.8899999999999997</v>
      </c>
      <c r="L30" s="353">
        <v>4.96</v>
      </c>
      <c r="M30" s="353">
        <v>5.0199999999999996</v>
      </c>
      <c r="N30" s="353">
        <v>5.08</v>
      </c>
      <c r="O30" s="353">
        <v>5.13</v>
      </c>
      <c r="P30" s="442">
        <v>5.17</v>
      </c>
      <c r="Q30" s="353">
        <v>5.2</v>
      </c>
      <c r="R30" s="353">
        <v>5.23</v>
      </c>
      <c r="S30" s="353">
        <v>5.25</v>
      </c>
      <c r="T30" s="353">
        <v>5.27</v>
      </c>
      <c r="U30" s="353">
        <v>5.29</v>
      </c>
      <c r="V30" s="353">
        <v>5.28</v>
      </c>
      <c r="W30" s="353">
        <v>5.28</v>
      </c>
      <c r="X30" s="353">
        <v>5.28</v>
      </c>
      <c r="Y30" s="353">
        <v>5.28</v>
      </c>
      <c r="Z30" s="353">
        <v>5.28</v>
      </c>
      <c r="AA30" s="353">
        <v>5.26</v>
      </c>
      <c r="AB30" s="353">
        <v>5.25</v>
      </c>
      <c r="AC30" s="353">
        <v>5.24</v>
      </c>
      <c r="AD30" s="353">
        <v>5.23</v>
      </c>
      <c r="AE30" s="353">
        <v>5.22</v>
      </c>
      <c r="AF30" s="353">
        <v>5.2</v>
      </c>
      <c r="AG30" s="353">
        <v>5.19</v>
      </c>
      <c r="AH30" s="353">
        <v>5.18</v>
      </c>
      <c r="AI30" s="353">
        <v>5.17</v>
      </c>
      <c r="AJ30" s="353">
        <v>5.15</v>
      </c>
      <c r="AK30" s="353">
        <v>5.14</v>
      </c>
      <c r="AL30" s="353">
        <v>5.13</v>
      </c>
      <c r="AM30" s="353">
        <v>5.12</v>
      </c>
      <c r="AN30" s="353">
        <v>5.1100000000000003</v>
      </c>
      <c r="AO30" s="353">
        <v>5.0999999999999996</v>
      </c>
      <c r="AP30" s="353">
        <v>5.09</v>
      </c>
      <c r="AQ30" s="353">
        <v>5.08</v>
      </c>
      <c r="AR30" s="353">
        <v>5.08</v>
      </c>
      <c r="AS30" s="353">
        <v>5.07</v>
      </c>
      <c r="AT30" s="353">
        <v>5.0599999999999996</v>
      </c>
      <c r="AU30" s="353">
        <v>5.05</v>
      </c>
      <c r="AV30" s="353">
        <v>5.04</v>
      </c>
      <c r="AW30" s="353">
        <v>5.04</v>
      </c>
      <c r="AX30" s="353">
        <v>5.03</v>
      </c>
      <c r="AY30" s="353">
        <v>5.0199999999999996</v>
      </c>
      <c r="AZ30" s="150">
        <v>2.75E-2</v>
      </c>
      <c r="BA30" s="104">
        <f t="shared" si="0"/>
        <v>2.75</v>
      </c>
    </row>
    <row r="31" spans="1:53">
      <c r="A31" s="105">
        <v>40482</v>
      </c>
      <c r="B31" s="353">
        <v>3.75</v>
      </c>
      <c r="C31" s="353">
        <v>3.91</v>
      </c>
      <c r="D31" s="353">
        <v>4.08</v>
      </c>
      <c r="E31" s="353">
        <v>4.2300000000000004</v>
      </c>
      <c r="F31" s="353">
        <v>4.37</v>
      </c>
      <c r="G31" s="353">
        <v>4.49</v>
      </c>
      <c r="H31" s="353">
        <v>4.5999999999999996</v>
      </c>
      <c r="I31" s="353">
        <v>4.7</v>
      </c>
      <c r="J31" s="353">
        <v>4.79</v>
      </c>
      <c r="K31" s="353">
        <v>4.87</v>
      </c>
      <c r="L31" s="353">
        <v>4.95</v>
      </c>
      <c r="M31" s="353">
        <v>5.01</v>
      </c>
      <c r="N31" s="353">
        <v>5.07</v>
      </c>
      <c r="O31" s="353">
        <v>5.12</v>
      </c>
      <c r="P31" s="442">
        <v>5.16</v>
      </c>
      <c r="Q31" s="353">
        <v>5.19</v>
      </c>
      <c r="R31" s="353">
        <v>5.21</v>
      </c>
      <c r="S31" s="353">
        <v>5.23</v>
      </c>
      <c r="T31" s="353">
        <v>5.25</v>
      </c>
      <c r="U31" s="353">
        <v>5.27</v>
      </c>
      <c r="V31" s="353">
        <v>5.27</v>
      </c>
      <c r="W31" s="353">
        <v>5.27</v>
      </c>
      <c r="X31" s="353">
        <v>5.26</v>
      </c>
      <c r="Y31" s="353">
        <v>5.26</v>
      </c>
      <c r="Z31" s="353">
        <v>5.26</v>
      </c>
      <c r="AA31" s="353">
        <v>5.24</v>
      </c>
      <c r="AB31" s="353">
        <v>5.23</v>
      </c>
      <c r="AC31" s="353">
        <v>5.22</v>
      </c>
      <c r="AD31" s="353">
        <v>5.21</v>
      </c>
      <c r="AE31" s="353">
        <v>5.2</v>
      </c>
      <c r="AF31" s="353">
        <v>5.18</v>
      </c>
      <c r="AG31" s="353">
        <v>5.17</v>
      </c>
      <c r="AH31" s="353">
        <v>5.16</v>
      </c>
      <c r="AI31" s="353">
        <v>5.14</v>
      </c>
      <c r="AJ31" s="353">
        <v>5.13</v>
      </c>
      <c r="AK31" s="353">
        <v>5.12</v>
      </c>
      <c r="AL31" s="353">
        <v>5.1100000000000003</v>
      </c>
      <c r="AM31" s="353">
        <v>5.0999999999999996</v>
      </c>
      <c r="AN31" s="353">
        <v>5.09</v>
      </c>
      <c r="AO31" s="353">
        <v>5.08</v>
      </c>
      <c r="AP31" s="353">
        <v>5.07</v>
      </c>
      <c r="AQ31" s="353">
        <v>5.0599999999999996</v>
      </c>
      <c r="AR31" s="353">
        <v>5.05</v>
      </c>
      <c r="AS31" s="353">
        <v>5.04</v>
      </c>
      <c r="AT31" s="353">
        <v>5.04</v>
      </c>
      <c r="AU31" s="353">
        <v>5.03</v>
      </c>
      <c r="AV31" s="353">
        <v>5.0199999999999996</v>
      </c>
      <c r="AW31" s="353">
        <v>5.01</v>
      </c>
      <c r="AX31" s="353">
        <v>5.01</v>
      </c>
      <c r="AY31" s="353">
        <v>5</v>
      </c>
      <c r="AZ31" s="150">
        <v>2.75E-2</v>
      </c>
      <c r="BA31" s="104">
        <f t="shared" si="0"/>
        <v>2.75</v>
      </c>
    </row>
    <row r="32" spans="1:53">
      <c r="A32" s="105">
        <v>40512</v>
      </c>
      <c r="B32" s="353">
        <v>3.75</v>
      </c>
      <c r="C32" s="353">
        <v>3.9</v>
      </c>
      <c r="D32" s="353">
        <v>4.07</v>
      </c>
      <c r="E32" s="353">
        <v>4.22</v>
      </c>
      <c r="F32" s="353">
        <v>4.3600000000000003</v>
      </c>
      <c r="G32" s="353">
        <v>4.4800000000000004</v>
      </c>
      <c r="H32" s="353">
        <v>4.5999999999999996</v>
      </c>
      <c r="I32" s="353">
        <v>4.7</v>
      </c>
      <c r="J32" s="353">
        <v>4.79</v>
      </c>
      <c r="K32" s="353">
        <v>4.87</v>
      </c>
      <c r="L32" s="353">
        <v>4.9400000000000004</v>
      </c>
      <c r="M32" s="353">
        <v>5</v>
      </c>
      <c r="N32" s="353">
        <v>5.0599999999999996</v>
      </c>
      <c r="O32" s="353">
        <v>5.1100000000000003</v>
      </c>
      <c r="P32" s="442">
        <v>5.15</v>
      </c>
      <c r="Q32" s="353">
        <v>5.18</v>
      </c>
      <c r="R32" s="353">
        <v>5.21</v>
      </c>
      <c r="S32" s="353">
        <v>5.23</v>
      </c>
      <c r="T32" s="353">
        <v>5.25</v>
      </c>
      <c r="U32" s="353">
        <v>5.26</v>
      </c>
      <c r="V32" s="353">
        <v>5.26</v>
      </c>
      <c r="W32" s="353">
        <v>5.25</v>
      </c>
      <c r="X32" s="353">
        <v>5.25</v>
      </c>
      <c r="Y32" s="353">
        <v>5.25</v>
      </c>
      <c r="Z32" s="353">
        <v>5.25</v>
      </c>
      <c r="AA32" s="353">
        <v>5.23</v>
      </c>
      <c r="AB32" s="353">
        <v>5.22</v>
      </c>
      <c r="AC32" s="353">
        <v>5.21</v>
      </c>
      <c r="AD32" s="353">
        <v>5.19</v>
      </c>
      <c r="AE32" s="353">
        <v>5.18</v>
      </c>
      <c r="AF32" s="353">
        <v>5.17</v>
      </c>
      <c r="AG32" s="353">
        <v>5.15</v>
      </c>
      <c r="AH32" s="353">
        <v>5.14</v>
      </c>
      <c r="AI32" s="353">
        <v>5.13</v>
      </c>
      <c r="AJ32" s="353">
        <v>5.1100000000000003</v>
      </c>
      <c r="AK32" s="353">
        <v>5.0999999999999996</v>
      </c>
      <c r="AL32" s="353">
        <v>5.09</v>
      </c>
      <c r="AM32" s="353">
        <v>5.08</v>
      </c>
      <c r="AN32" s="353">
        <v>5.07</v>
      </c>
      <c r="AO32" s="353">
        <v>5.0599999999999996</v>
      </c>
      <c r="AP32" s="353">
        <v>5.05</v>
      </c>
      <c r="AQ32" s="353">
        <v>5.04</v>
      </c>
      <c r="AR32" s="353">
        <v>5.03</v>
      </c>
      <c r="AS32" s="353">
        <v>5.03</v>
      </c>
      <c r="AT32" s="353">
        <v>5.0199999999999996</v>
      </c>
      <c r="AU32" s="353">
        <v>5.01</v>
      </c>
      <c r="AV32" s="353">
        <v>5</v>
      </c>
      <c r="AW32" s="353">
        <v>4.99</v>
      </c>
      <c r="AX32" s="353">
        <v>4.99</v>
      </c>
      <c r="AY32" s="353">
        <v>4.9800000000000004</v>
      </c>
      <c r="AZ32" s="150">
        <v>2.75E-2</v>
      </c>
      <c r="BA32" s="104">
        <f t="shared" si="0"/>
        <v>2.75</v>
      </c>
    </row>
    <row r="33" spans="1:53">
      <c r="A33" s="105">
        <v>40543</v>
      </c>
      <c r="B33" s="353">
        <v>3.75</v>
      </c>
      <c r="C33" s="353">
        <v>3.9</v>
      </c>
      <c r="D33" s="353">
        <v>4.07</v>
      </c>
      <c r="E33" s="353">
        <v>4.22</v>
      </c>
      <c r="F33" s="353">
        <v>4.3600000000000003</v>
      </c>
      <c r="G33" s="353">
        <v>4.4800000000000004</v>
      </c>
      <c r="H33" s="353">
        <v>4.59</v>
      </c>
      <c r="I33" s="353">
        <v>4.6900000000000004</v>
      </c>
      <c r="J33" s="353">
        <v>4.78</v>
      </c>
      <c r="K33" s="353">
        <v>4.8600000000000003</v>
      </c>
      <c r="L33" s="353">
        <v>4.9400000000000004</v>
      </c>
      <c r="M33" s="353">
        <v>5</v>
      </c>
      <c r="N33" s="353">
        <v>5.0599999999999996</v>
      </c>
      <c r="O33" s="353">
        <v>5.1100000000000003</v>
      </c>
      <c r="P33" s="442">
        <v>5.15</v>
      </c>
      <c r="Q33" s="353">
        <v>5.18</v>
      </c>
      <c r="R33" s="353">
        <v>5.2</v>
      </c>
      <c r="S33" s="353">
        <v>5.22</v>
      </c>
      <c r="T33" s="353">
        <v>5.24</v>
      </c>
      <c r="U33" s="353">
        <v>5.26</v>
      </c>
      <c r="V33" s="353">
        <v>5.25</v>
      </c>
      <c r="W33" s="353">
        <v>5.25</v>
      </c>
      <c r="X33" s="353">
        <v>5.24</v>
      </c>
      <c r="Y33" s="353">
        <v>5.24</v>
      </c>
      <c r="Z33" s="353">
        <v>5.24</v>
      </c>
      <c r="AA33" s="353">
        <v>5.22</v>
      </c>
      <c r="AB33" s="353">
        <v>5.21</v>
      </c>
      <c r="AC33" s="353">
        <v>5.2</v>
      </c>
      <c r="AD33" s="353">
        <v>5.18</v>
      </c>
      <c r="AE33" s="353">
        <v>5.17</v>
      </c>
      <c r="AF33" s="353">
        <v>5.16</v>
      </c>
      <c r="AG33" s="353">
        <v>5.14</v>
      </c>
      <c r="AH33" s="353">
        <v>5.13</v>
      </c>
      <c r="AI33" s="353">
        <v>5.1100000000000003</v>
      </c>
      <c r="AJ33" s="353">
        <v>5.0999999999999996</v>
      </c>
      <c r="AK33" s="353">
        <v>5.09</v>
      </c>
      <c r="AL33" s="353">
        <v>5.08</v>
      </c>
      <c r="AM33" s="353">
        <v>5.07</v>
      </c>
      <c r="AN33" s="353">
        <v>5.0599999999999996</v>
      </c>
      <c r="AO33" s="353">
        <v>5.05</v>
      </c>
      <c r="AP33" s="353">
        <v>5.04</v>
      </c>
      <c r="AQ33" s="353">
        <v>5.03</v>
      </c>
      <c r="AR33" s="353">
        <v>5.0199999999999996</v>
      </c>
      <c r="AS33" s="353">
        <v>5.01</v>
      </c>
      <c r="AT33" s="353">
        <v>5</v>
      </c>
      <c r="AU33" s="353">
        <v>5</v>
      </c>
      <c r="AV33" s="353">
        <v>4.99</v>
      </c>
      <c r="AW33" s="353">
        <v>4.9800000000000004</v>
      </c>
      <c r="AX33" s="353">
        <v>4.97</v>
      </c>
      <c r="AY33" s="353">
        <v>4.97</v>
      </c>
      <c r="AZ33" s="150">
        <v>2.75E-2</v>
      </c>
      <c r="BA33" s="104">
        <f t="shared" si="0"/>
        <v>2.75</v>
      </c>
    </row>
    <row r="34" spans="1:53" s="106" customFormat="1" ht="12.75">
      <c r="A34" s="107">
        <v>40574</v>
      </c>
      <c r="B34" s="353">
        <v>3.75</v>
      </c>
      <c r="C34" s="353">
        <v>3.9</v>
      </c>
      <c r="D34" s="353">
        <v>4.07</v>
      </c>
      <c r="E34" s="353">
        <v>4.22</v>
      </c>
      <c r="F34" s="353">
        <v>4.3499999999999996</v>
      </c>
      <c r="G34" s="353">
        <v>4.4800000000000004</v>
      </c>
      <c r="H34" s="353">
        <v>4.59</v>
      </c>
      <c r="I34" s="353">
        <v>4.6900000000000004</v>
      </c>
      <c r="J34" s="353">
        <v>4.78</v>
      </c>
      <c r="K34" s="353">
        <v>4.8600000000000003</v>
      </c>
      <c r="L34" s="353">
        <v>4.9400000000000004</v>
      </c>
      <c r="M34" s="353">
        <v>5</v>
      </c>
      <c r="N34" s="353">
        <v>5.0599999999999996</v>
      </c>
      <c r="O34" s="353">
        <v>5.1100000000000003</v>
      </c>
      <c r="P34" s="442">
        <v>5.15</v>
      </c>
      <c r="Q34" s="353">
        <v>5.17</v>
      </c>
      <c r="R34" s="353">
        <v>5.2</v>
      </c>
      <c r="S34" s="353">
        <v>5.22</v>
      </c>
      <c r="T34" s="353">
        <v>5.24</v>
      </c>
      <c r="U34" s="353">
        <v>5.25</v>
      </c>
      <c r="V34" s="353">
        <v>5.25</v>
      </c>
      <c r="W34" s="353">
        <v>5.24</v>
      </c>
      <c r="X34" s="353">
        <v>5.24</v>
      </c>
      <c r="Y34" s="353">
        <v>5.23</v>
      </c>
      <c r="Z34" s="353">
        <v>5.23</v>
      </c>
      <c r="AA34" s="353">
        <v>5.21</v>
      </c>
      <c r="AB34" s="353">
        <v>5.2</v>
      </c>
      <c r="AC34" s="353">
        <v>5.19</v>
      </c>
      <c r="AD34" s="353">
        <v>5.17</v>
      </c>
      <c r="AE34" s="353">
        <v>5.16</v>
      </c>
      <c r="AF34" s="353">
        <v>5.15</v>
      </c>
      <c r="AG34" s="353">
        <v>5.13</v>
      </c>
      <c r="AH34" s="353">
        <v>5.12</v>
      </c>
      <c r="AI34" s="353">
        <v>5.0999999999999996</v>
      </c>
      <c r="AJ34" s="353">
        <v>5.09</v>
      </c>
      <c r="AK34" s="353">
        <v>5.08</v>
      </c>
      <c r="AL34" s="353">
        <v>5.07</v>
      </c>
      <c r="AM34" s="353">
        <v>5.0599999999999996</v>
      </c>
      <c r="AN34" s="353">
        <v>5.05</v>
      </c>
      <c r="AO34" s="353">
        <v>5.04</v>
      </c>
      <c r="AP34" s="353">
        <v>5.03</v>
      </c>
      <c r="AQ34" s="353">
        <v>5.0199999999999996</v>
      </c>
      <c r="AR34" s="353">
        <v>5.01</v>
      </c>
      <c r="AS34" s="353">
        <v>5</v>
      </c>
      <c r="AT34" s="353">
        <v>4.99</v>
      </c>
      <c r="AU34" s="353">
        <v>4.9800000000000004</v>
      </c>
      <c r="AV34" s="353">
        <v>4.97</v>
      </c>
      <c r="AW34" s="353">
        <v>4.97</v>
      </c>
      <c r="AX34" s="353">
        <v>4.96</v>
      </c>
      <c r="AY34" s="353">
        <v>4.95</v>
      </c>
      <c r="AZ34" s="150">
        <v>2.75E-2</v>
      </c>
      <c r="BA34" s="104">
        <f t="shared" si="0"/>
        <v>2.75</v>
      </c>
    </row>
    <row r="35" spans="1:53" s="106" customFormat="1" ht="12.75">
      <c r="A35" s="107">
        <v>40602</v>
      </c>
      <c r="B35" s="353">
        <v>3.75</v>
      </c>
      <c r="C35" s="353">
        <v>3.9</v>
      </c>
      <c r="D35" s="353">
        <v>4.07</v>
      </c>
      <c r="E35" s="353">
        <v>4.22</v>
      </c>
      <c r="F35" s="353">
        <v>4.3600000000000003</v>
      </c>
      <c r="G35" s="353">
        <v>4.4800000000000004</v>
      </c>
      <c r="H35" s="353">
        <v>4.59</v>
      </c>
      <c r="I35" s="353">
        <v>4.6900000000000004</v>
      </c>
      <c r="J35" s="353">
        <v>4.78</v>
      </c>
      <c r="K35" s="353">
        <v>4.8600000000000003</v>
      </c>
      <c r="L35" s="353">
        <v>4.93</v>
      </c>
      <c r="M35" s="353">
        <v>5</v>
      </c>
      <c r="N35" s="353">
        <v>5.05</v>
      </c>
      <c r="O35" s="353">
        <v>5.0999999999999996</v>
      </c>
      <c r="P35" s="442">
        <v>5.14</v>
      </c>
      <c r="Q35" s="353">
        <v>5.17</v>
      </c>
      <c r="R35" s="353">
        <v>5.19</v>
      </c>
      <c r="S35" s="353">
        <v>5.21</v>
      </c>
      <c r="T35" s="353">
        <v>5.23</v>
      </c>
      <c r="U35" s="353">
        <v>5.25</v>
      </c>
      <c r="V35" s="353">
        <v>5.24</v>
      </c>
      <c r="W35" s="353">
        <v>5.23</v>
      </c>
      <c r="X35" s="353">
        <v>5.23</v>
      </c>
      <c r="Y35" s="353">
        <v>5.23</v>
      </c>
      <c r="Z35" s="353">
        <v>5.22</v>
      </c>
      <c r="AA35" s="353">
        <v>5.2</v>
      </c>
      <c r="AB35" s="353">
        <v>5.19</v>
      </c>
      <c r="AC35" s="353">
        <v>5.18</v>
      </c>
      <c r="AD35" s="353">
        <v>5.16</v>
      </c>
      <c r="AE35" s="353">
        <v>5.15</v>
      </c>
      <c r="AF35" s="353">
        <v>5.13</v>
      </c>
      <c r="AG35" s="353">
        <v>5.12</v>
      </c>
      <c r="AH35" s="353">
        <v>5.0999999999999996</v>
      </c>
      <c r="AI35" s="353">
        <v>5.09</v>
      </c>
      <c r="AJ35" s="353">
        <v>5.08</v>
      </c>
      <c r="AK35" s="353">
        <v>5.0599999999999996</v>
      </c>
      <c r="AL35" s="353">
        <v>5.05</v>
      </c>
      <c r="AM35" s="353">
        <v>5.04</v>
      </c>
      <c r="AN35" s="353">
        <v>5.03</v>
      </c>
      <c r="AO35" s="353">
        <v>5.0199999999999996</v>
      </c>
      <c r="AP35" s="353">
        <v>5.01</v>
      </c>
      <c r="AQ35" s="353">
        <v>5</v>
      </c>
      <c r="AR35" s="353">
        <v>4.99</v>
      </c>
      <c r="AS35" s="353">
        <v>4.9800000000000004</v>
      </c>
      <c r="AT35" s="353">
        <v>4.9800000000000004</v>
      </c>
      <c r="AU35" s="353">
        <v>4.97</v>
      </c>
      <c r="AV35" s="353">
        <v>4.96</v>
      </c>
      <c r="AW35" s="353">
        <v>4.95</v>
      </c>
      <c r="AX35" s="353">
        <v>4.9400000000000004</v>
      </c>
      <c r="AY35" s="353">
        <v>4.9400000000000004</v>
      </c>
      <c r="AZ35" s="150">
        <v>2.75E-2</v>
      </c>
      <c r="BA35" s="104">
        <f t="shared" si="0"/>
        <v>2.75</v>
      </c>
    </row>
    <row r="36" spans="1:53" s="106" customFormat="1" ht="12.75">
      <c r="A36" s="107">
        <v>40633</v>
      </c>
      <c r="B36" s="353">
        <v>3.76</v>
      </c>
      <c r="C36" s="353">
        <v>3.91</v>
      </c>
      <c r="D36" s="353">
        <v>4.08</v>
      </c>
      <c r="E36" s="353">
        <v>4.2300000000000004</v>
      </c>
      <c r="F36" s="353">
        <v>4.3600000000000003</v>
      </c>
      <c r="G36" s="353">
        <v>4.4800000000000004</v>
      </c>
      <c r="H36" s="353">
        <v>4.59</v>
      </c>
      <c r="I36" s="353">
        <v>4.6900000000000004</v>
      </c>
      <c r="J36" s="353">
        <v>4.78</v>
      </c>
      <c r="K36" s="353">
        <v>4.8600000000000003</v>
      </c>
      <c r="L36" s="353">
        <v>4.93</v>
      </c>
      <c r="M36" s="353">
        <v>5</v>
      </c>
      <c r="N36" s="353">
        <v>5.05</v>
      </c>
      <c r="O36" s="353">
        <v>5.0999999999999996</v>
      </c>
      <c r="P36" s="442">
        <v>5.14</v>
      </c>
      <c r="Q36" s="353">
        <v>5.17</v>
      </c>
      <c r="R36" s="353">
        <v>5.19</v>
      </c>
      <c r="S36" s="353">
        <v>5.21</v>
      </c>
      <c r="T36" s="353">
        <v>5.23</v>
      </c>
      <c r="U36" s="353">
        <v>5.24</v>
      </c>
      <c r="V36" s="353">
        <v>5.24</v>
      </c>
      <c r="W36" s="353">
        <v>5.23</v>
      </c>
      <c r="X36" s="353">
        <v>5.22</v>
      </c>
      <c r="Y36" s="353">
        <v>5.22</v>
      </c>
      <c r="Z36" s="353">
        <v>5.21</v>
      </c>
      <c r="AA36" s="353">
        <v>5.2</v>
      </c>
      <c r="AB36" s="353">
        <v>5.18</v>
      </c>
      <c r="AC36" s="353">
        <v>5.17</v>
      </c>
      <c r="AD36" s="353">
        <v>5.15</v>
      </c>
      <c r="AE36" s="353">
        <v>5.14</v>
      </c>
      <c r="AF36" s="353">
        <v>5.13</v>
      </c>
      <c r="AG36" s="353">
        <v>5.1100000000000003</v>
      </c>
      <c r="AH36" s="353">
        <v>5.09</v>
      </c>
      <c r="AI36" s="353">
        <v>5.08</v>
      </c>
      <c r="AJ36" s="353">
        <v>5.07</v>
      </c>
      <c r="AK36" s="353">
        <v>5.05</v>
      </c>
      <c r="AL36" s="353">
        <v>5.04</v>
      </c>
      <c r="AM36" s="353">
        <v>5.03</v>
      </c>
      <c r="AN36" s="353">
        <v>5.0199999999999996</v>
      </c>
      <c r="AO36" s="353">
        <v>5.01</v>
      </c>
      <c r="AP36" s="353">
        <v>5</v>
      </c>
      <c r="AQ36" s="353">
        <v>4.99</v>
      </c>
      <c r="AR36" s="353">
        <v>4.9800000000000004</v>
      </c>
      <c r="AS36" s="353">
        <v>4.97</v>
      </c>
      <c r="AT36" s="353">
        <v>4.96</v>
      </c>
      <c r="AU36" s="353">
        <v>4.96</v>
      </c>
      <c r="AV36" s="353">
        <v>4.95</v>
      </c>
      <c r="AW36" s="353">
        <v>4.9400000000000004</v>
      </c>
      <c r="AX36" s="353">
        <v>4.93</v>
      </c>
      <c r="AY36" s="353">
        <v>4.93</v>
      </c>
      <c r="AZ36" s="150">
        <v>2.75E-2</v>
      </c>
      <c r="BA36" s="104">
        <f t="shared" si="0"/>
        <v>2.75</v>
      </c>
    </row>
    <row r="37" spans="1:53" s="106" customFormat="1" ht="12.75">
      <c r="A37" s="107">
        <v>40663</v>
      </c>
      <c r="B37" s="353">
        <v>3.76</v>
      </c>
      <c r="C37" s="353">
        <v>3.91</v>
      </c>
      <c r="D37" s="353">
        <v>4.08</v>
      </c>
      <c r="E37" s="353">
        <v>4.2300000000000004</v>
      </c>
      <c r="F37" s="353">
        <v>4.3600000000000003</v>
      </c>
      <c r="G37" s="353">
        <v>4.4800000000000004</v>
      </c>
      <c r="H37" s="353">
        <v>4.59</v>
      </c>
      <c r="I37" s="353">
        <v>4.6900000000000004</v>
      </c>
      <c r="J37" s="353">
        <v>4.78</v>
      </c>
      <c r="K37" s="353">
        <v>4.8600000000000003</v>
      </c>
      <c r="L37" s="353">
        <v>4.93</v>
      </c>
      <c r="M37" s="353">
        <v>4.99</v>
      </c>
      <c r="N37" s="353">
        <v>5.05</v>
      </c>
      <c r="O37" s="353">
        <v>5.0999999999999996</v>
      </c>
      <c r="P37" s="442">
        <v>5.14</v>
      </c>
      <c r="Q37" s="353">
        <v>5.16</v>
      </c>
      <c r="R37" s="353">
        <v>5.18</v>
      </c>
      <c r="S37" s="353">
        <v>5.2</v>
      </c>
      <c r="T37" s="353">
        <v>5.22</v>
      </c>
      <c r="U37" s="353">
        <v>5.24</v>
      </c>
      <c r="V37" s="353">
        <v>5.23</v>
      </c>
      <c r="W37" s="353">
        <v>5.22</v>
      </c>
      <c r="X37" s="353">
        <v>5.22</v>
      </c>
      <c r="Y37" s="353">
        <v>5.21</v>
      </c>
      <c r="Z37" s="353">
        <v>5.21</v>
      </c>
      <c r="AA37" s="353">
        <v>5.19</v>
      </c>
      <c r="AB37" s="353">
        <v>5.17</v>
      </c>
      <c r="AC37" s="353">
        <v>5.16</v>
      </c>
      <c r="AD37" s="353">
        <v>5.14</v>
      </c>
      <c r="AE37" s="353">
        <v>5.13</v>
      </c>
      <c r="AF37" s="353">
        <v>5.1100000000000003</v>
      </c>
      <c r="AG37" s="353">
        <v>5.0999999999999996</v>
      </c>
      <c r="AH37" s="353">
        <v>5.08</v>
      </c>
      <c r="AI37" s="353">
        <v>5.07</v>
      </c>
      <c r="AJ37" s="353">
        <v>5.05</v>
      </c>
      <c r="AK37" s="353">
        <v>5.04</v>
      </c>
      <c r="AL37" s="353">
        <v>5.03</v>
      </c>
      <c r="AM37" s="353">
        <v>5.0199999999999996</v>
      </c>
      <c r="AN37" s="353">
        <v>5.01</v>
      </c>
      <c r="AO37" s="353">
        <v>5</v>
      </c>
      <c r="AP37" s="353">
        <v>4.99</v>
      </c>
      <c r="AQ37" s="353">
        <v>4.9800000000000004</v>
      </c>
      <c r="AR37" s="353">
        <v>4.97</v>
      </c>
      <c r="AS37" s="353">
        <v>4.96</v>
      </c>
      <c r="AT37" s="353">
        <v>4.95</v>
      </c>
      <c r="AU37" s="353">
        <v>4.9400000000000004</v>
      </c>
      <c r="AV37" s="353">
        <v>4.93</v>
      </c>
      <c r="AW37" s="353">
        <v>4.93</v>
      </c>
      <c r="AX37" s="353">
        <v>4.92</v>
      </c>
      <c r="AY37" s="353">
        <v>4.91</v>
      </c>
      <c r="AZ37" s="150">
        <v>2.75E-2</v>
      </c>
      <c r="BA37" s="104">
        <f t="shared" si="0"/>
        <v>2.75</v>
      </c>
    </row>
    <row r="38" spans="1:53" s="106" customFormat="1" ht="12.75">
      <c r="A38" s="107">
        <v>40694</v>
      </c>
      <c r="B38" s="353">
        <v>3.76</v>
      </c>
      <c r="C38" s="353">
        <v>3.91</v>
      </c>
      <c r="D38" s="353">
        <v>4.08</v>
      </c>
      <c r="E38" s="353">
        <v>4.2300000000000004</v>
      </c>
      <c r="F38" s="353">
        <v>4.3600000000000003</v>
      </c>
      <c r="G38" s="353">
        <v>4.4800000000000004</v>
      </c>
      <c r="H38" s="353">
        <v>4.59</v>
      </c>
      <c r="I38" s="353">
        <v>4.6900000000000004</v>
      </c>
      <c r="J38" s="353">
        <v>4.7699999999999996</v>
      </c>
      <c r="K38" s="353">
        <v>4.8499999999999996</v>
      </c>
      <c r="L38" s="353">
        <v>4.93</v>
      </c>
      <c r="M38" s="353">
        <v>4.99</v>
      </c>
      <c r="N38" s="353">
        <v>5.04</v>
      </c>
      <c r="O38" s="353">
        <v>5.09</v>
      </c>
      <c r="P38" s="442">
        <v>5.13</v>
      </c>
      <c r="Q38" s="353">
        <v>5.16</v>
      </c>
      <c r="R38" s="353">
        <v>5.18</v>
      </c>
      <c r="S38" s="353">
        <v>5.2</v>
      </c>
      <c r="T38" s="353">
        <v>5.21</v>
      </c>
      <c r="U38" s="353">
        <v>5.23</v>
      </c>
      <c r="V38" s="353">
        <v>5.22</v>
      </c>
      <c r="W38" s="353">
        <v>5.21</v>
      </c>
      <c r="X38" s="353">
        <v>5.21</v>
      </c>
      <c r="Y38" s="353">
        <v>5.2</v>
      </c>
      <c r="Z38" s="353">
        <v>5.2</v>
      </c>
      <c r="AA38" s="353">
        <v>5.18</v>
      </c>
      <c r="AB38" s="353">
        <v>5.16</v>
      </c>
      <c r="AC38" s="353">
        <v>5.15</v>
      </c>
      <c r="AD38" s="353">
        <v>5.13</v>
      </c>
      <c r="AE38" s="353">
        <v>5.12</v>
      </c>
      <c r="AF38" s="353">
        <v>5.0999999999999996</v>
      </c>
      <c r="AG38" s="353">
        <v>5.09</v>
      </c>
      <c r="AH38" s="353">
        <v>5.07</v>
      </c>
      <c r="AI38" s="353">
        <v>5.0599999999999996</v>
      </c>
      <c r="AJ38" s="353">
        <v>5.04</v>
      </c>
      <c r="AK38" s="353">
        <v>5.03</v>
      </c>
      <c r="AL38" s="353">
        <v>5.0199999999999996</v>
      </c>
      <c r="AM38" s="353">
        <v>5</v>
      </c>
      <c r="AN38" s="353">
        <v>4.99</v>
      </c>
      <c r="AO38" s="353">
        <v>4.9800000000000004</v>
      </c>
      <c r="AP38" s="353">
        <v>4.97</v>
      </c>
      <c r="AQ38" s="353">
        <v>4.96</v>
      </c>
      <c r="AR38" s="353">
        <v>4.95</v>
      </c>
      <c r="AS38" s="353">
        <v>4.9400000000000004</v>
      </c>
      <c r="AT38" s="353">
        <v>4.9400000000000004</v>
      </c>
      <c r="AU38" s="353">
        <v>4.93</v>
      </c>
      <c r="AV38" s="353">
        <v>4.92</v>
      </c>
      <c r="AW38" s="353">
        <v>4.91</v>
      </c>
      <c r="AX38" s="353">
        <v>4.9000000000000004</v>
      </c>
      <c r="AY38" s="353">
        <v>4.9000000000000004</v>
      </c>
      <c r="AZ38" s="150">
        <v>2.75E-2</v>
      </c>
      <c r="BA38" s="104">
        <f t="shared" si="0"/>
        <v>2.75</v>
      </c>
    </row>
    <row r="39" spans="1:53" s="106" customFormat="1" ht="12.75">
      <c r="A39" s="107">
        <v>40724</v>
      </c>
      <c r="B39" s="353">
        <v>3.77</v>
      </c>
      <c r="C39" s="353">
        <v>3.91</v>
      </c>
      <c r="D39" s="353">
        <v>4.08</v>
      </c>
      <c r="E39" s="353">
        <v>4.2300000000000004</v>
      </c>
      <c r="F39" s="353">
        <v>4.3600000000000003</v>
      </c>
      <c r="G39" s="353">
        <v>4.4800000000000004</v>
      </c>
      <c r="H39" s="353">
        <v>4.59</v>
      </c>
      <c r="I39" s="353">
        <v>4.68</v>
      </c>
      <c r="J39" s="353">
        <v>4.7699999999999996</v>
      </c>
      <c r="K39" s="353">
        <v>4.8499999999999996</v>
      </c>
      <c r="L39" s="353">
        <v>4.92</v>
      </c>
      <c r="M39" s="353">
        <v>4.99</v>
      </c>
      <c r="N39" s="353">
        <v>5.04</v>
      </c>
      <c r="O39" s="353">
        <v>5.09</v>
      </c>
      <c r="P39" s="442">
        <v>5.13</v>
      </c>
      <c r="Q39" s="353">
        <v>5.16</v>
      </c>
      <c r="R39" s="353">
        <v>5.18</v>
      </c>
      <c r="S39" s="353">
        <v>5.2</v>
      </c>
      <c r="T39" s="353">
        <v>5.21</v>
      </c>
      <c r="U39" s="353">
        <v>5.23</v>
      </c>
      <c r="V39" s="353">
        <v>5.22</v>
      </c>
      <c r="W39" s="353">
        <v>5.21</v>
      </c>
      <c r="X39" s="353">
        <v>5.2</v>
      </c>
      <c r="Y39" s="353">
        <v>5.2</v>
      </c>
      <c r="Z39" s="353">
        <v>5.19</v>
      </c>
      <c r="AA39" s="353">
        <v>5.18</v>
      </c>
      <c r="AB39" s="353">
        <v>5.16</v>
      </c>
      <c r="AC39" s="353">
        <v>5.14</v>
      </c>
      <c r="AD39" s="353">
        <v>5.13</v>
      </c>
      <c r="AE39" s="353">
        <v>5.12</v>
      </c>
      <c r="AF39" s="353">
        <v>5.0999999999999996</v>
      </c>
      <c r="AG39" s="353">
        <v>5.08</v>
      </c>
      <c r="AH39" s="353">
        <v>5.07</v>
      </c>
      <c r="AI39" s="353">
        <v>5.05</v>
      </c>
      <c r="AJ39" s="353">
        <v>5.04</v>
      </c>
      <c r="AK39" s="353">
        <v>5.0199999999999996</v>
      </c>
      <c r="AL39" s="353">
        <v>5.01</v>
      </c>
      <c r="AM39" s="353">
        <v>5</v>
      </c>
      <c r="AN39" s="353">
        <v>4.99</v>
      </c>
      <c r="AO39" s="353">
        <v>4.9800000000000004</v>
      </c>
      <c r="AP39" s="353">
        <v>4.97</v>
      </c>
      <c r="AQ39" s="353">
        <v>4.96</v>
      </c>
      <c r="AR39" s="353">
        <v>4.95</v>
      </c>
      <c r="AS39" s="353">
        <v>4.9400000000000004</v>
      </c>
      <c r="AT39" s="353">
        <v>4.93</v>
      </c>
      <c r="AU39" s="353">
        <v>4.92</v>
      </c>
      <c r="AV39" s="353">
        <v>4.91</v>
      </c>
      <c r="AW39" s="353">
        <v>4.91</v>
      </c>
      <c r="AX39" s="353">
        <v>4.9000000000000004</v>
      </c>
      <c r="AY39" s="353">
        <v>4.8899999999999997</v>
      </c>
      <c r="AZ39" s="150">
        <v>2.75E-2</v>
      </c>
      <c r="BA39" s="104">
        <f t="shared" si="0"/>
        <v>2.75</v>
      </c>
    </row>
    <row r="40" spans="1:53" s="108" customFormat="1" ht="12.75">
      <c r="A40" s="107">
        <v>40755</v>
      </c>
      <c r="B40" s="353">
        <v>3.77</v>
      </c>
      <c r="C40" s="353">
        <v>3.91</v>
      </c>
      <c r="D40" s="353">
        <v>4.08</v>
      </c>
      <c r="E40" s="353">
        <v>4.22</v>
      </c>
      <c r="F40" s="353">
        <v>4.3499999999999996</v>
      </c>
      <c r="G40" s="353">
        <v>4.47</v>
      </c>
      <c r="H40" s="353">
        <v>4.58</v>
      </c>
      <c r="I40" s="353">
        <v>4.68</v>
      </c>
      <c r="J40" s="353">
        <v>4.7699999999999996</v>
      </c>
      <c r="K40" s="353">
        <v>4.8499999999999996</v>
      </c>
      <c r="L40" s="353">
        <v>4.92</v>
      </c>
      <c r="M40" s="353">
        <v>4.9800000000000004</v>
      </c>
      <c r="N40" s="353">
        <v>5.04</v>
      </c>
      <c r="O40" s="353">
        <v>5.09</v>
      </c>
      <c r="P40" s="442">
        <v>5.13</v>
      </c>
      <c r="Q40" s="353">
        <v>5.15</v>
      </c>
      <c r="R40" s="353">
        <v>5.17</v>
      </c>
      <c r="S40" s="353">
        <v>5.19</v>
      </c>
      <c r="T40" s="353">
        <v>5.21</v>
      </c>
      <c r="U40" s="353">
        <v>5.22</v>
      </c>
      <c r="V40" s="353">
        <v>5.21</v>
      </c>
      <c r="W40" s="353">
        <v>5.2</v>
      </c>
      <c r="X40" s="353">
        <v>5.2</v>
      </c>
      <c r="Y40" s="353">
        <v>5.19</v>
      </c>
      <c r="Z40" s="353">
        <v>5.18</v>
      </c>
      <c r="AA40" s="353">
        <v>5.17</v>
      </c>
      <c r="AB40" s="353">
        <v>5.15</v>
      </c>
      <c r="AC40" s="353">
        <v>5.13</v>
      </c>
      <c r="AD40" s="353">
        <v>5.12</v>
      </c>
      <c r="AE40" s="353">
        <v>5.1100000000000003</v>
      </c>
      <c r="AF40" s="353">
        <v>5.09</v>
      </c>
      <c r="AG40" s="353">
        <v>5.07</v>
      </c>
      <c r="AH40" s="353">
        <v>5.05</v>
      </c>
      <c r="AI40" s="353">
        <v>5.04</v>
      </c>
      <c r="AJ40" s="353">
        <v>5.03</v>
      </c>
      <c r="AK40" s="353">
        <v>5.01</v>
      </c>
      <c r="AL40" s="353">
        <v>5</v>
      </c>
      <c r="AM40" s="353">
        <v>4.99</v>
      </c>
      <c r="AN40" s="353">
        <v>4.9800000000000004</v>
      </c>
      <c r="AO40" s="353">
        <v>4.97</v>
      </c>
      <c r="AP40" s="353">
        <v>4.96</v>
      </c>
      <c r="AQ40" s="353">
        <v>4.95</v>
      </c>
      <c r="AR40" s="353">
        <v>4.9400000000000004</v>
      </c>
      <c r="AS40" s="353">
        <v>4.93</v>
      </c>
      <c r="AT40" s="353">
        <v>4.92</v>
      </c>
      <c r="AU40" s="353">
        <v>4.91</v>
      </c>
      <c r="AV40" s="353">
        <v>4.9000000000000004</v>
      </c>
      <c r="AW40" s="353">
        <v>4.9000000000000004</v>
      </c>
      <c r="AX40" s="353">
        <v>4.8899999999999997</v>
      </c>
      <c r="AY40" s="353">
        <v>4.88</v>
      </c>
      <c r="AZ40" s="150">
        <v>2.75E-2</v>
      </c>
      <c r="BA40" s="104">
        <f t="shared" si="0"/>
        <v>2.75</v>
      </c>
    </row>
    <row r="41" spans="1:53" s="106" customFormat="1" ht="12.75">
      <c r="A41" s="107">
        <v>40786</v>
      </c>
      <c r="B41" s="353">
        <v>3.78</v>
      </c>
      <c r="C41" s="353">
        <v>3.92</v>
      </c>
      <c r="D41" s="353">
        <v>4.08</v>
      </c>
      <c r="E41" s="353">
        <v>4.22</v>
      </c>
      <c r="F41" s="353">
        <v>4.3600000000000003</v>
      </c>
      <c r="G41" s="353">
        <v>4.4800000000000004</v>
      </c>
      <c r="H41" s="353">
        <v>4.59</v>
      </c>
      <c r="I41" s="353">
        <v>4.68</v>
      </c>
      <c r="J41" s="353">
        <v>4.7699999999999996</v>
      </c>
      <c r="K41" s="353">
        <v>4.8499999999999996</v>
      </c>
      <c r="L41" s="353">
        <v>4.92</v>
      </c>
      <c r="M41" s="353">
        <v>4.9800000000000004</v>
      </c>
      <c r="N41" s="353">
        <v>5.04</v>
      </c>
      <c r="O41" s="353">
        <v>5.09</v>
      </c>
      <c r="P41" s="442">
        <v>5.13</v>
      </c>
      <c r="Q41" s="353">
        <v>5.15</v>
      </c>
      <c r="R41" s="353">
        <v>5.17</v>
      </c>
      <c r="S41" s="353">
        <v>5.19</v>
      </c>
      <c r="T41" s="353">
        <v>5.21</v>
      </c>
      <c r="U41" s="353">
        <v>5.22</v>
      </c>
      <c r="V41" s="353">
        <v>5.21</v>
      </c>
      <c r="W41" s="353">
        <v>5.2</v>
      </c>
      <c r="X41" s="353">
        <v>5.2</v>
      </c>
      <c r="Y41" s="353">
        <v>5.19</v>
      </c>
      <c r="Z41" s="353">
        <v>5.18</v>
      </c>
      <c r="AA41" s="353">
        <v>5.16</v>
      </c>
      <c r="AB41" s="353">
        <v>5.15</v>
      </c>
      <c r="AC41" s="353">
        <v>5.13</v>
      </c>
      <c r="AD41" s="353">
        <v>5.12</v>
      </c>
      <c r="AE41" s="353">
        <v>5.0999999999999996</v>
      </c>
      <c r="AF41" s="353">
        <v>5.08</v>
      </c>
      <c r="AG41" s="353">
        <v>5.07</v>
      </c>
      <c r="AH41" s="353">
        <v>5.05</v>
      </c>
      <c r="AI41" s="353">
        <v>5.04</v>
      </c>
      <c r="AJ41" s="353">
        <v>5.0199999999999996</v>
      </c>
      <c r="AK41" s="353">
        <v>5.01</v>
      </c>
      <c r="AL41" s="353">
        <v>5</v>
      </c>
      <c r="AM41" s="353">
        <v>4.9800000000000004</v>
      </c>
      <c r="AN41" s="353">
        <v>4.97</v>
      </c>
      <c r="AO41" s="353">
        <v>4.96</v>
      </c>
      <c r="AP41" s="353">
        <v>4.95</v>
      </c>
      <c r="AQ41" s="353">
        <v>4.9400000000000004</v>
      </c>
      <c r="AR41" s="353">
        <v>4.93</v>
      </c>
      <c r="AS41" s="353">
        <v>4.92</v>
      </c>
      <c r="AT41" s="353">
        <v>4.92</v>
      </c>
      <c r="AU41" s="353">
        <v>4.91</v>
      </c>
      <c r="AV41" s="353">
        <v>4.9000000000000004</v>
      </c>
      <c r="AW41" s="353">
        <v>4.8899999999999997</v>
      </c>
      <c r="AX41" s="353">
        <v>4.88</v>
      </c>
      <c r="AY41" s="353">
        <v>4.88</v>
      </c>
      <c r="AZ41" s="150">
        <v>2.75E-2</v>
      </c>
      <c r="BA41" s="104">
        <f t="shared" si="0"/>
        <v>2.75</v>
      </c>
    </row>
    <row r="42" spans="1:53" s="106" customFormat="1" ht="12.75">
      <c r="A42" s="107">
        <v>40816</v>
      </c>
      <c r="B42" s="353">
        <v>3.79</v>
      </c>
      <c r="C42" s="353">
        <v>3.93</v>
      </c>
      <c r="D42" s="353">
        <v>4.08</v>
      </c>
      <c r="E42" s="353">
        <v>4.2300000000000004</v>
      </c>
      <c r="F42" s="353">
        <v>4.3600000000000003</v>
      </c>
      <c r="G42" s="353">
        <v>4.4800000000000004</v>
      </c>
      <c r="H42" s="353">
        <v>4.59</v>
      </c>
      <c r="I42" s="353">
        <v>4.6900000000000004</v>
      </c>
      <c r="J42" s="353">
        <v>4.7699999999999996</v>
      </c>
      <c r="K42" s="353">
        <v>4.8499999999999996</v>
      </c>
      <c r="L42" s="353">
        <v>4.92</v>
      </c>
      <c r="M42" s="353">
        <v>4.99</v>
      </c>
      <c r="N42" s="353">
        <v>5.04</v>
      </c>
      <c r="O42" s="353">
        <v>5.09</v>
      </c>
      <c r="P42" s="442">
        <v>5.13</v>
      </c>
      <c r="Q42" s="353">
        <v>5.15</v>
      </c>
      <c r="R42" s="353">
        <v>5.17</v>
      </c>
      <c r="S42" s="353">
        <v>5.19</v>
      </c>
      <c r="T42" s="353">
        <v>5.21</v>
      </c>
      <c r="U42" s="353">
        <v>5.22</v>
      </c>
      <c r="V42" s="353">
        <v>5.21</v>
      </c>
      <c r="W42" s="353">
        <v>5.2</v>
      </c>
      <c r="X42" s="353">
        <v>5.19</v>
      </c>
      <c r="Y42" s="353">
        <v>5.19</v>
      </c>
      <c r="Z42" s="353">
        <v>5.18</v>
      </c>
      <c r="AA42" s="353">
        <v>5.16</v>
      </c>
      <c r="AB42" s="353">
        <v>5.14</v>
      </c>
      <c r="AC42" s="353">
        <v>5.13</v>
      </c>
      <c r="AD42" s="353">
        <v>5.1100000000000003</v>
      </c>
      <c r="AE42" s="353">
        <v>5.0999999999999996</v>
      </c>
      <c r="AF42" s="353">
        <v>5.08</v>
      </c>
      <c r="AG42" s="353">
        <v>5.0599999999999996</v>
      </c>
      <c r="AH42" s="353">
        <v>5.05</v>
      </c>
      <c r="AI42" s="353">
        <v>5.03</v>
      </c>
      <c r="AJ42" s="353">
        <v>5.0199999999999996</v>
      </c>
      <c r="AK42" s="353">
        <v>5</v>
      </c>
      <c r="AL42" s="353">
        <v>4.99</v>
      </c>
      <c r="AM42" s="353">
        <v>4.9800000000000004</v>
      </c>
      <c r="AN42" s="353">
        <v>4.97</v>
      </c>
      <c r="AO42" s="353">
        <v>4.96</v>
      </c>
      <c r="AP42" s="353">
        <v>4.95</v>
      </c>
      <c r="AQ42" s="353">
        <v>4.9400000000000004</v>
      </c>
      <c r="AR42" s="353">
        <v>4.93</v>
      </c>
      <c r="AS42" s="353">
        <v>4.92</v>
      </c>
      <c r="AT42" s="353">
        <v>4.91</v>
      </c>
      <c r="AU42" s="353">
        <v>4.9000000000000004</v>
      </c>
      <c r="AV42" s="353">
        <v>4.8899999999999997</v>
      </c>
      <c r="AW42" s="353">
        <v>4.8899999999999997</v>
      </c>
      <c r="AX42" s="353">
        <v>4.88</v>
      </c>
      <c r="AY42" s="353">
        <v>4.87</v>
      </c>
      <c r="AZ42" s="150">
        <v>2.75E-2</v>
      </c>
      <c r="BA42" s="104">
        <f t="shared" si="0"/>
        <v>2.75</v>
      </c>
    </row>
    <row r="43" spans="1:53" s="106" customFormat="1" ht="12.75">
      <c r="A43" s="107">
        <v>40847</v>
      </c>
      <c r="B43" s="353">
        <v>3.8</v>
      </c>
      <c r="C43" s="353">
        <v>3.93</v>
      </c>
      <c r="D43" s="353">
        <v>4.09</v>
      </c>
      <c r="E43" s="353">
        <v>4.2300000000000004</v>
      </c>
      <c r="F43" s="353">
        <v>4.3600000000000003</v>
      </c>
      <c r="G43" s="353">
        <v>4.4800000000000004</v>
      </c>
      <c r="H43" s="353">
        <v>4.59</v>
      </c>
      <c r="I43" s="353">
        <v>4.68</v>
      </c>
      <c r="J43" s="353">
        <v>4.7699999999999996</v>
      </c>
      <c r="K43" s="353">
        <v>4.8499999999999996</v>
      </c>
      <c r="L43" s="353">
        <v>4.92</v>
      </c>
      <c r="M43" s="353">
        <v>4.9800000000000004</v>
      </c>
      <c r="N43" s="353">
        <v>5.04</v>
      </c>
      <c r="O43" s="353">
        <v>5.09</v>
      </c>
      <c r="P43" s="442">
        <v>5.13</v>
      </c>
      <c r="Q43" s="353">
        <v>5.15</v>
      </c>
      <c r="R43" s="353">
        <v>5.17</v>
      </c>
      <c r="S43" s="353">
        <v>5.19</v>
      </c>
      <c r="T43" s="353">
        <v>5.2</v>
      </c>
      <c r="U43" s="353">
        <v>5.22</v>
      </c>
      <c r="V43" s="353">
        <v>5.21</v>
      </c>
      <c r="W43" s="353">
        <v>5.2</v>
      </c>
      <c r="X43" s="353">
        <v>5.19</v>
      </c>
      <c r="Y43" s="353">
        <v>5.18</v>
      </c>
      <c r="Z43" s="353">
        <v>5.17</v>
      </c>
      <c r="AA43" s="353">
        <v>5.15</v>
      </c>
      <c r="AB43" s="353">
        <v>5.14</v>
      </c>
      <c r="AC43" s="353">
        <v>5.12</v>
      </c>
      <c r="AD43" s="353">
        <v>5.0999999999999996</v>
      </c>
      <c r="AE43" s="353">
        <v>5.09</v>
      </c>
      <c r="AF43" s="353">
        <v>5.07</v>
      </c>
      <c r="AG43" s="353">
        <v>5.05</v>
      </c>
      <c r="AH43" s="353">
        <v>5.04</v>
      </c>
      <c r="AI43" s="353">
        <v>5.0199999999999996</v>
      </c>
      <c r="AJ43" s="353">
        <v>5.01</v>
      </c>
      <c r="AK43" s="353">
        <v>4.99</v>
      </c>
      <c r="AL43" s="353">
        <v>4.9800000000000004</v>
      </c>
      <c r="AM43" s="353">
        <v>4.97</v>
      </c>
      <c r="AN43" s="353">
        <v>4.96</v>
      </c>
      <c r="AO43" s="353">
        <v>4.95</v>
      </c>
      <c r="AP43" s="353">
        <v>4.9400000000000004</v>
      </c>
      <c r="AQ43" s="353">
        <v>4.93</v>
      </c>
      <c r="AR43" s="353">
        <v>4.92</v>
      </c>
      <c r="AS43" s="353">
        <v>4.91</v>
      </c>
      <c r="AT43" s="353">
        <v>4.9000000000000004</v>
      </c>
      <c r="AU43" s="353">
        <v>4.8899999999999997</v>
      </c>
      <c r="AV43" s="353">
        <v>4.8899999999999997</v>
      </c>
      <c r="AW43" s="353">
        <v>4.88</v>
      </c>
      <c r="AX43" s="353">
        <v>4.87</v>
      </c>
      <c r="AY43" s="353">
        <v>4.87</v>
      </c>
      <c r="AZ43" s="150">
        <v>2.75E-2</v>
      </c>
      <c r="BA43" s="104">
        <f t="shared" si="0"/>
        <v>2.75</v>
      </c>
    </row>
    <row r="44" spans="1:53" s="106" customFormat="1" ht="12.75">
      <c r="A44" s="107">
        <v>40877</v>
      </c>
      <c r="B44" s="353">
        <v>3.81</v>
      </c>
      <c r="C44" s="353">
        <v>3.94</v>
      </c>
      <c r="D44" s="353">
        <v>4.09</v>
      </c>
      <c r="E44" s="353">
        <v>4.24</v>
      </c>
      <c r="F44" s="353">
        <v>4.37</v>
      </c>
      <c r="G44" s="353">
        <v>4.49</v>
      </c>
      <c r="H44" s="353">
        <v>4.5999999999999996</v>
      </c>
      <c r="I44" s="353">
        <v>4.6900000000000004</v>
      </c>
      <c r="J44" s="353">
        <v>4.78</v>
      </c>
      <c r="K44" s="353">
        <v>4.8600000000000003</v>
      </c>
      <c r="L44" s="353">
        <v>4.93</v>
      </c>
      <c r="M44" s="353">
        <v>4.99</v>
      </c>
      <c r="N44" s="353">
        <v>5.05</v>
      </c>
      <c r="O44" s="353">
        <v>5.09</v>
      </c>
      <c r="P44" s="442">
        <v>5.14</v>
      </c>
      <c r="Q44" s="353">
        <v>5.16</v>
      </c>
      <c r="R44" s="353">
        <v>5.17</v>
      </c>
      <c r="S44" s="353">
        <v>5.19</v>
      </c>
      <c r="T44" s="353">
        <v>5.21</v>
      </c>
      <c r="U44" s="353">
        <v>5.22</v>
      </c>
      <c r="V44" s="353">
        <v>5.21</v>
      </c>
      <c r="W44" s="353">
        <v>5.2</v>
      </c>
      <c r="X44" s="353">
        <v>5.19</v>
      </c>
      <c r="Y44" s="353">
        <v>5.18</v>
      </c>
      <c r="Z44" s="353">
        <v>5.17</v>
      </c>
      <c r="AA44" s="353">
        <v>5.15</v>
      </c>
      <c r="AB44" s="353">
        <v>5.13</v>
      </c>
      <c r="AC44" s="353">
        <v>5.12</v>
      </c>
      <c r="AD44" s="353">
        <v>5.0999999999999996</v>
      </c>
      <c r="AE44" s="353">
        <v>5.09</v>
      </c>
      <c r="AF44" s="353">
        <v>5.07</v>
      </c>
      <c r="AG44" s="353">
        <v>5.05</v>
      </c>
      <c r="AH44" s="353">
        <v>5.03</v>
      </c>
      <c r="AI44" s="353">
        <v>5.0199999999999996</v>
      </c>
      <c r="AJ44" s="353">
        <v>5.01</v>
      </c>
      <c r="AK44" s="353">
        <v>4.99</v>
      </c>
      <c r="AL44" s="353">
        <v>4.9800000000000004</v>
      </c>
      <c r="AM44" s="353">
        <v>4.97</v>
      </c>
      <c r="AN44" s="353">
        <v>4.96</v>
      </c>
      <c r="AO44" s="353">
        <v>4.9400000000000004</v>
      </c>
      <c r="AP44" s="353">
        <v>4.93</v>
      </c>
      <c r="AQ44" s="353">
        <v>4.93</v>
      </c>
      <c r="AR44" s="353">
        <v>4.92</v>
      </c>
      <c r="AS44" s="353">
        <v>4.91</v>
      </c>
      <c r="AT44" s="353">
        <v>4.9000000000000004</v>
      </c>
      <c r="AU44" s="353">
        <v>4.8899999999999997</v>
      </c>
      <c r="AV44" s="353">
        <v>4.88</v>
      </c>
      <c r="AW44" s="353">
        <v>4.88</v>
      </c>
      <c r="AX44" s="353">
        <v>4.87</v>
      </c>
      <c r="AY44" s="353">
        <v>4.8600000000000003</v>
      </c>
      <c r="AZ44" s="150">
        <v>2.75E-2</v>
      </c>
      <c r="BA44" s="104">
        <f t="shared" si="0"/>
        <v>2.75</v>
      </c>
    </row>
    <row r="45" spans="1:53" s="106" customFormat="1" ht="12.75">
      <c r="A45" s="107">
        <v>40908</v>
      </c>
      <c r="B45" s="353">
        <v>3.82</v>
      </c>
      <c r="C45" s="353">
        <v>3.94</v>
      </c>
      <c r="D45" s="353">
        <v>4.09</v>
      </c>
      <c r="E45" s="353">
        <v>4.24</v>
      </c>
      <c r="F45" s="353">
        <v>4.37</v>
      </c>
      <c r="G45" s="353">
        <v>4.49</v>
      </c>
      <c r="H45" s="353">
        <v>4.5999999999999996</v>
      </c>
      <c r="I45" s="353">
        <v>4.6900000000000004</v>
      </c>
      <c r="J45" s="353">
        <v>4.78</v>
      </c>
      <c r="K45" s="353">
        <v>4.8600000000000003</v>
      </c>
      <c r="L45" s="353">
        <v>4.93</v>
      </c>
      <c r="M45" s="353">
        <v>4.99</v>
      </c>
      <c r="N45" s="353">
        <v>5.05</v>
      </c>
      <c r="O45" s="353">
        <v>5.0999999999999996</v>
      </c>
      <c r="P45" s="442">
        <v>5.14</v>
      </c>
      <c r="Q45" s="353">
        <v>5.16</v>
      </c>
      <c r="R45" s="353">
        <v>5.17</v>
      </c>
      <c r="S45" s="353">
        <v>5.19</v>
      </c>
      <c r="T45" s="353">
        <v>5.2</v>
      </c>
      <c r="U45" s="353">
        <v>5.22</v>
      </c>
      <c r="V45" s="353">
        <v>5.2</v>
      </c>
      <c r="W45" s="353">
        <v>5.19</v>
      </c>
      <c r="X45" s="353">
        <v>5.18</v>
      </c>
      <c r="Y45" s="353">
        <v>5.18</v>
      </c>
      <c r="Z45" s="353">
        <v>5.17</v>
      </c>
      <c r="AA45" s="353">
        <v>5.15</v>
      </c>
      <c r="AB45" s="353">
        <v>5.13</v>
      </c>
      <c r="AC45" s="353">
        <v>5.1100000000000003</v>
      </c>
      <c r="AD45" s="353">
        <v>5.0999999999999996</v>
      </c>
      <c r="AE45" s="353">
        <v>5.08</v>
      </c>
      <c r="AF45" s="353">
        <v>5.0599999999999996</v>
      </c>
      <c r="AG45" s="353">
        <v>5.04</v>
      </c>
      <c r="AH45" s="353">
        <v>5.03</v>
      </c>
      <c r="AI45" s="353">
        <v>5.01</v>
      </c>
      <c r="AJ45" s="353">
        <v>5</v>
      </c>
      <c r="AK45" s="353">
        <v>4.99</v>
      </c>
      <c r="AL45" s="353">
        <v>4.97</v>
      </c>
      <c r="AM45" s="353">
        <v>4.96</v>
      </c>
      <c r="AN45" s="353">
        <v>4.95</v>
      </c>
      <c r="AO45" s="353">
        <v>4.9400000000000004</v>
      </c>
      <c r="AP45" s="353">
        <v>4.93</v>
      </c>
      <c r="AQ45" s="353">
        <v>4.92</v>
      </c>
      <c r="AR45" s="353">
        <v>4.91</v>
      </c>
      <c r="AS45" s="353">
        <v>4.9000000000000004</v>
      </c>
      <c r="AT45" s="353">
        <v>4.8899999999999997</v>
      </c>
      <c r="AU45" s="353">
        <v>4.8899999999999997</v>
      </c>
      <c r="AV45" s="353">
        <v>4.88</v>
      </c>
      <c r="AW45" s="353">
        <v>4.87</v>
      </c>
      <c r="AX45" s="353">
        <v>4.8600000000000003</v>
      </c>
      <c r="AY45" s="353">
        <v>4.8600000000000003</v>
      </c>
      <c r="AZ45" s="150">
        <v>2.75E-2</v>
      </c>
      <c r="BA45" s="104">
        <f t="shared" si="0"/>
        <v>2.75</v>
      </c>
    </row>
    <row r="46" spans="1:53" s="106" customFormat="1" ht="12.75">
      <c r="A46" s="107">
        <v>40939</v>
      </c>
      <c r="B46" s="353">
        <v>3.82</v>
      </c>
      <c r="C46" s="353">
        <v>3.94</v>
      </c>
      <c r="D46" s="353">
        <v>4.09</v>
      </c>
      <c r="E46" s="353">
        <v>4.2300000000000004</v>
      </c>
      <c r="F46" s="353">
        <v>4.3600000000000003</v>
      </c>
      <c r="G46" s="353">
        <v>4.4800000000000004</v>
      </c>
      <c r="H46" s="353">
        <v>4.59</v>
      </c>
      <c r="I46" s="353">
        <v>4.6900000000000004</v>
      </c>
      <c r="J46" s="353">
        <v>4.78</v>
      </c>
      <c r="K46" s="353">
        <v>4.8499999999999996</v>
      </c>
      <c r="L46" s="353">
        <v>4.93</v>
      </c>
      <c r="M46" s="353">
        <v>4.99</v>
      </c>
      <c r="N46" s="353">
        <v>5.05</v>
      </c>
      <c r="O46" s="353">
        <v>5.09</v>
      </c>
      <c r="P46" s="442">
        <v>5.13</v>
      </c>
      <c r="Q46" s="353">
        <v>5.15</v>
      </c>
      <c r="R46" s="353">
        <v>5.17</v>
      </c>
      <c r="S46" s="353">
        <v>5.19</v>
      </c>
      <c r="T46" s="353">
        <v>5.2</v>
      </c>
      <c r="U46" s="353">
        <v>5.21</v>
      </c>
      <c r="V46" s="353">
        <v>5.2</v>
      </c>
      <c r="W46" s="353">
        <v>5.19</v>
      </c>
      <c r="X46" s="353">
        <v>5.18</v>
      </c>
      <c r="Y46" s="353">
        <v>5.17</v>
      </c>
      <c r="Z46" s="353">
        <v>5.16</v>
      </c>
      <c r="AA46" s="353">
        <v>5.14</v>
      </c>
      <c r="AB46" s="353">
        <v>5.12</v>
      </c>
      <c r="AC46" s="353">
        <v>5.1100000000000003</v>
      </c>
      <c r="AD46" s="353">
        <v>5.09</v>
      </c>
      <c r="AE46" s="353">
        <v>5.07</v>
      </c>
      <c r="AF46" s="353">
        <v>5.05</v>
      </c>
      <c r="AG46" s="353">
        <v>5.04</v>
      </c>
      <c r="AH46" s="353">
        <v>5.0199999999999996</v>
      </c>
      <c r="AI46" s="353">
        <v>5.01</v>
      </c>
      <c r="AJ46" s="353">
        <v>4.99</v>
      </c>
      <c r="AK46" s="353">
        <v>4.9800000000000004</v>
      </c>
      <c r="AL46" s="353">
        <v>4.97</v>
      </c>
      <c r="AM46" s="353">
        <v>4.95</v>
      </c>
      <c r="AN46" s="353">
        <v>4.9400000000000004</v>
      </c>
      <c r="AO46" s="353">
        <v>4.93</v>
      </c>
      <c r="AP46" s="353">
        <v>4.92</v>
      </c>
      <c r="AQ46" s="353">
        <v>4.91</v>
      </c>
      <c r="AR46" s="353">
        <v>4.9000000000000004</v>
      </c>
      <c r="AS46" s="353">
        <v>4.8899999999999997</v>
      </c>
      <c r="AT46" s="353">
        <v>4.8899999999999997</v>
      </c>
      <c r="AU46" s="353">
        <v>4.88</v>
      </c>
      <c r="AV46" s="353">
        <v>4.87</v>
      </c>
      <c r="AW46" s="353">
        <v>4.8600000000000003</v>
      </c>
      <c r="AX46" s="353">
        <v>4.8600000000000003</v>
      </c>
      <c r="AY46" s="353">
        <v>4.8499999999999996</v>
      </c>
      <c r="AZ46" s="150">
        <v>1.7500000000000002E-2</v>
      </c>
      <c r="BA46" s="104">
        <f t="shared" si="0"/>
        <v>1.7500000000000002</v>
      </c>
    </row>
    <row r="47" spans="1:53" s="106" customFormat="1" ht="12.75">
      <c r="A47" s="107">
        <v>40968</v>
      </c>
      <c r="B47" s="353">
        <v>3.82</v>
      </c>
      <c r="C47" s="353">
        <v>3.93</v>
      </c>
      <c r="D47" s="353">
        <v>4.08</v>
      </c>
      <c r="E47" s="353">
        <v>4.22</v>
      </c>
      <c r="F47" s="353">
        <v>4.3600000000000003</v>
      </c>
      <c r="G47" s="353">
        <v>4.4800000000000004</v>
      </c>
      <c r="H47" s="353">
        <v>4.59</v>
      </c>
      <c r="I47" s="353">
        <v>4.68</v>
      </c>
      <c r="J47" s="353">
        <v>4.7699999999999996</v>
      </c>
      <c r="K47" s="353">
        <v>4.8499999999999996</v>
      </c>
      <c r="L47" s="353">
        <v>4.92</v>
      </c>
      <c r="M47" s="353">
        <v>4.99</v>
      </c>
      <c r="N47" s="353">
        <v>5.04</v>
      </c>
      <c r="O47" s="353">
        <v>5.09</v>
      </c>
      <c r="P47" s="442">
        <v>5.13</v>
      </c>
      <c r="Q47" s="353">
        <v>5.15</v>
      </c>
      <c r="R47" s="353">
        <v>5.17</v>
      </c>
      <c r="S47" s="353">
        <v>5.18</v>
      </c>
      <c r="T47" s="353">
        <v>5.19</v>
      </c>
      <c r="U47" s="353">
        <v>5.21</v>
      </c>
      <c r="V47" s="353">
        <v>5.19</v>
      </c>
      <c r="W47" s="353">
        <v>5.18</v>
      </c>
      <c r="X47" s="353">
        <v>5.17</v>
      </c>
      <c r="Y47" s="353">
        <v>5.16</v>
      </c>
      <c r="Z47" s="353">
        <v>5.15</v>
      </c>
      <c r="AA47" s="353">
        <v>5.13</v>
      </c>
      <c r="AB47" s="353">
        <v>5.1100000000000003</v>
      </c>
      <c r="AC47" s="353">
        <v>5.0999999999999996</v>
      </c>
      <c r="AD47" s="353">
        <v>5.08</v>
      </c>
      <c r="AE47" s="353">
        <v>5.0599999999999996</v>
      </c>
      <c r="AF47" s="353">
        <v>5.04</v>
      </c>
      <c r="AG47" s="353">
        <v>5.03</v>
      </c>
      <c r="AH47" s="353">
        <v>5.01</v>
      </c>
      <c r="AI47" s="353">
        <v>5</v>
      </c>
      <c r="AJ47" s="353">
        <v>4.9800000000000004</v>
      </c>
      <c r="AK47" s="353">
        <v>4.97</v>
      </c>
      <c r="AL47" s="353">
        <v>4.95</v>
      </c>
      <c r="AM47" s="353">
        <v>4.9400000000000004</v>
      </c>
      <c r="AN47" s="353">
        <v>4.93</v>
      </c>
      <c r="AO47" s="353">
        <v>4.92</v>
      </c>
      <c r="AP47" s="353">
        <v>4.91</v>
      </c>
      <c r="AQ47" s="353">
        <v>4.9000000000000004</v>
      </c>
      <c r="AR47" s="353">
        <v>4.8899999999999997</v>
      </c>
      <c r="AS47" s="353">
        <v>4.88</v>
      </c>
      <c r="AT47" s="353">
        <v>4.87</v>
      </c>
      <c r="AU47" s="353">
        <v>4.87</v>
      </c>
      <c r="AV47" s="353">
        <v>4.8600000000000003</v>
      </c>
      <c r="AW47" s="353">
        <v>4.8499999999999996</v>
      </c>
      <c r="AX47" s="353">
        <v>4.84</v>
      </c>
      <c r="AY47" s="353">
        <v>4.84</v>
      </c>
      <c r="AZ47" s="150">
        <v>1.7500000000000002E-2</v>
      </c>
      <c r="BA47" s="104">
        <f t="shared" si="0"/>
        <v>1.7500000000000002</v>
      </c>
    </row>
    <row r="48" spans="1:53" s="106" customFormat="1" ht="12.75">
      <c r="A48" s="107">
        <v>40999</v>
      </c>
      <c r="B48" s="353">
        <v>3.81</v>
      </c>
      <c r="C48" s="353">
        <v>3.92</v>
      </c>
      <c r="D48" s="353">
        <v>4.07</v>
      </c>
      <c r="E48" s="353">
        <v>4.21</v>
      </c>
      <c r="F48" s="353">
        <v>4.3499999999999996</v>
      </c>
      <c r="G48" s="353">
        <v>4.47</v>
      </c>
      <c r="H48" s="353">
        <v>4.58</v>
      </c>
      <c r="I48" s="353">
        <v>4.68</v>
      </c>
      <c r="J48" s="353">
        <v>4.76</v>
      </c>
      <c r="K48" s="353">
        <v>4.84</v>
      </c>
      <c r="L48" s="353">
        <v>4.92</v>
      </c>
      <c r="M48" s="353">
        <v>4.9800000000000004</v>
      </c>
      <c r="N48" s="353">
        <v>5.03</v>
      </c>
      <c r="O48" s="353">
        <v>5.08</v>
      </c>
      <c r="P48" s="442">
        <v>5.12</v>
      </c>
      <c r="Q48" s="353">
        <v>5.14</v>
      </c>
      <c r="R48" s="353">
        <v>5.16</v>
      </c>
      <c r="S48" s="353">
        <v>5.17</v>
      </c>
      <c r="T48" s="353">
        <v>5.18</v>
      </c>
      <c r="U48" s="353">
        <v>5.2</v>
      </c>
      <c r="V48" s="353">
        <v>5.18</v>
      </c>
      <c r="W48" s="353">
        <v>5.17</v>
      </c>
      <c r="X48" s="353">
        <v>5.16</v>
      </c>
      <c r="Y48" s="353">
        <v>5.15</v>
      </c>
      <c r="Z48" s="353">
        <v>5.14</v>
      </c>
      <c r="AA48" s="353">
        <v>5.12</v>
      </c>
      <c r="AB48" s="353">
        <v>5.0999999999999996</v>
      </c>
      <c r="AC48" s="353">
        <v>5.08</v>
      </c>
      <c r="AD48" s="353">
        <v>5.07</v>
      </c>
      <c r="AE48" s="353">
        <v>5.05</v>
      </c>
      <c r="AF48" s="353">
        <v>5.03</v>
      </c>
      <c r="AG48" s="353">
        <v>5.01</v>
      </c>
      <c r="AH48" s="353">
        <v>5</v>
      </c>
      <c r="AI48" s="353">
        <v>4.9800000000000004</v>
      </c>
      <c r="AJ48" s="353">
        <v>4.97</v>
      </c>
      <c r="AK48" s="353">
        <v>4.95</v>
      </c>
      <c r="AL48" s="353">
        <v>4.9400000000000004</v>
      </c>
      <c r="AM48" s="353">
        <v>4.93</v>
      </c>
      <c r="AN48" s="353">
        <v>4.92</v>
      </c>
      <c r="AO48" s="353">
        <v>4.91</v>
      </c>
      <c r="AP48" s="353">
        <v>4.9000000000000004</v>
      </c>
      <c r="AQ48" s="353">
        <v>4.8899999999999997</v>
      </c>
      <c r="AR48" s="353">
        <v>4.88</v>
      </c>
      <c r="AS48" s="353">
        <v>4.87</v>
      </c>
      <c r="AT48" s="353">
        <v>4.8600000000000003</v>
      </c>
      <c r="AU48" s="353">
        <v>4.8499999999999996</v>
      </c>
      <c r="AV48" s="353">
        <v>4.8499999999999996</v>
      </c>
      <c r="AW48" s="353">
        <v>4.84</v>
      </c>
      <c r="AX48" s="353">
        <v>4.83</v>
      </c>
      <c r="AY48" s="353">
        <v>4.83</v>
      </c>
      <c r="AZ48" s="150">
        <v>1.7500000000000002E-2</v>
      </c>
      <c r="BA48" s="104">
        <f t="shared" si="0"/>
        <v>1.7500000000000002</v>
      </c>
    </row>
    <row r="49" spans="1:53" s="106" customFormat="1" ht="12.75">
      <c r="A49" s="107">
        <v>41029</v>
      </c>
      <c r="B49" s="353">
        <v>3.81</v>
      </c>
      <c r="C49" s="353">
        <v>3.91</v>
      </c>
      <c r="D49" s="353">
        <v>4.0599999999999996</v>
      </c>
      <c r="E49" s="353">
        <v>4.21</v>
      </c>
      <c r="F49" s="353">
        <v>4.34</v>
      </c>
      <c r="G49" s="353">
        <v>4.46</v>
      </c>
      <c r="H49" s="353">
        <v>4.57</v>
      </c>
      <c r="I49" s="353">
        <v>4.67</v>
      </c>
      <c r="J49" s="353">
        <v>4.76</v>
      </c>
      <c r="K49" s="353">
        <v>4.83</v>
      </c>
      <c r="L49" s="353">
        <v>4.91</v>
      </c>
      <c r="M49" s="353">
        <v>4.97</v>
      </c>
      <c r="N49" s="353">
        <v>5.03</v>
      </c>
      <c r="O49" s="353">
        <v>5.08</v>
      </c>
      <c r="P49" s="442">
        <v>5.12</v>
      </c>
      <c r="Q49" s="353">
        <v>5.13</v>
      </c>
      <c r="R49" s="353">
        <v>5.15</v>
      </c>
      <c r="S49" s="353">
        <v>5.16</v>
      </c>
      <c r="T49" s="353">
        <v>5.18</v>
      </c>
      <c r="U49" s="353">
        <v>5.19</v>
      </c>
      <c r="V49" s="353">
        <v>5.18</v>
      </c>
      <c r="W49" s="353">
        <v>5.16</v>
      </c>
      <c r="X49" s="353">
        <v>5.15</v>
      </c>
      <c r="Y49" s="353">
        <v>5.14</v>
      </c>
      <c r="Z49" s="353">
        <v>5.13</v>
      </c>
      <c r="AA49" s="353">
        <v>5.1100000000000003</v>
      </c>
      <c r="AB49" s="353">
        <v>5.09</v>
      </c>
      <c r="AC49" s="353">
        <v>5.07</v>
      </c>
      <c r="AD49" s="353">
        <v>5.0599999999999996</v>
      </c>
      <c r="AE49" s="353">
        <v>5.04</v>
      </c>
      <c r="AF49" s="353">
        <v>5.0199999999999996</v>
      </c>
      <c r="AG49" s="353">
        <v>5</v>
      </c>
      <c r="AH49" s="353">
        <v>4.99</v>
      </c>
      <c r="AI49" s="353">
        <v>4.97</v>
      </c>
      <c r="AJ49" s="353">
        <v>4.96</v>
      </c>
      <c r="AK49" s="353">
        <v>4.9400000000000004</v>
      </c>
      <c r="AL49" s="353">
        <v>4.93</v>
      </c>
      <c r="AM49" s="353">
        <v>4.92</v>
      </c>
      <c r="AN49" s="353">
        <v>4.91</v>
      </c>
      <c r="AO49" s="353">
        <v>4.8899999999999997</v>
      </c>
      <c r="AP49" s="353">
        <v>4.88</v>
      </c>
      <c r="AQ49" s="353">
        <v>4.88</v>
      </c>
      <c r="AR49" s="353">
        <v>4.87</v>
      </c>
      <c r="AS49" s="353">
        <v>4.8600000000000003</v>
      </c>
      <c r="AT49" s="353">
        <v>4.8499999999999996</v>
      </c>
      <c r="AU49" s="353">
        <v>4.84</v>
      </c>
      <c r="AV49" s="353">
        <v>4.84</v>
      </c>
      <c r="AW49" s="353">
        <v>4.83</v>
      </c>
      <c r="AX49" s="353">
        <v>4.82</v>
      </c>
      <c r="AY49" s="353">
        <v>4.8099999999999996</v>
      </c>
      <c r="AZ49" s="150">
        <v>1.7500000000000002E-2</v>
      </c>
      <c r="BA49" s="104">
        <f t="shared" si="0"/>
        <v>1.7500000000000002</v>
      </c>
    </row>
    <row r="50" spans="1:53" s="106" customFormat="1" ht="12.75">
      <c r="A50" s="107">
        <v>41060</v>
      </c>
      <c r="B50" s="353">
        <v>3.8</v>
      </c>
      <c r="C50" s="353">
        <v>3.9</v>
      </c>
      <c r="D50" s="353">
        <v>4.05</v>
      </c>
      <c r="E50" s="353">
        <v>4.1900000000000004</v>
      </c>
      <c r="F50" s="353">
        <v>4.33</v>
      </c>
      <c r="G50" s="353">
        <v>4.45</v>
      </c>
      <c r="H50" s="353">
        <v>4.5599999999999996</v>
      </c>
      <c r="I50" s="353">
        <v>4.66</v>
      </c>
      <c r="J50" s="353">
        <v>4.74</v>
      </c>
      <c r="K50" s="353">
        <v>4.82</v>
      </c>
      <c r="L50" s="353">
        <v>4.9000000000000004</v>
      </c>
      <c r="M50" s="353">
        <v>4.96</v>
      </c>
      <c r="N50" s="353">
        <v>5.01</v>
      </c>
      <c r="O50" s="353">
        <v>5.0599999999999996</v>
      </c>
      <c r="P50" s="442">
        <v>5.0999999999999996</v>
      </c>
      <c r="Q50" s="353">
        <v>5.12</v>
      </c>
      <c r="R50" s="353">
        <v>5.14</v>
      </c>
      <c r="S50" s="353">
        <v>5.15</v>
      </c>
      <c r="T50" s="353">
        <v>5.16</v>
      </c>
      <c r="U50" s="353">
        <v>5.17</v>
      </c>
      <c r="V50" s="353">
        <v>5.16</v>
      </c>
      <c r="W50" s="353">
        <v>5.15</v>
      </c>
      <c r="X50" s="353">
        <v>5.14</v>
      </c>
      <c r="Y50" s="353">
        <v>5.13</v>
      </c>
      <c r="Z50" s="353">
        <v>5.12</v>
      </c>
      <c r="AA50" s="353">
        <v>5.09</v>
      </c>
      <c r="AB50" s="353">
        <v>5.07</v>
      </c>
      <c r="AC50" s="353">
        <v>5.05</v>
      </c>
      <c r="AD50" s="353">
        <v>5.04</v>
      </c>
      <c r="AE50" s="353">
        <v>5.0199999999999996</v>
      </c>
      <c r="AF50" s="353">
        <v>5</v>
      </c>
      <c r="AG50" s="353">
        <v>4.9800000000000004</v>
      </c>
      <c r="AH50" s="353">
        <v>4.97</v>
      </c>
      <c r="AI50" s="353">
        <v>4.95</v>
      </c>
      <c r="AJ50" s="353">
        <v>4.9400000000000004</v>
      </c>
      <c r="AK50" s="353">
        <v>4.92</v>
      </c>
      <c r="AL50" s="353">
        <v>4.91</v>
      </c>
      <c r="AM50" s="353">
        <v>4.9000000000000004</v>
      </c>
      <c r="AN50" s="353">
        <v>4.8899999999999997</v>
      </c>
      <c r="AO50" s="353">
        <v>4.88</v>
      </c>
      <c r="AP50" s="353">
        <v>4.87</v>
      </c>
      <c r="AQ50" s="353">
        <v>4.8600000000000003</v>
      </c>
      <c r="AR50" s="353">
        <v>4.8499999999999996</v>
      </c>
      <c r="AS50" s="353">
        <v>4.84</v>
      </c>
      <c r="AT50" s="353">
        <v>4.83</v>
      </c>
      <c r="AU50" s="353">
        <v>4.82</v>
      </c>
      <c r="AV50" s="353">
        <v>4.82</v>
      </c>
      <c r="AW50" s="353">
        <v>4.8099999999999996</v>
      </c>
      <c r="AX50" s="353">
        <v>4.8</v>
      </c>
      <c r="AY50" s="353">
        <v>4.8</v>
      </c>
      <c r="AZ50" s="150">
        <v>1.7500000000000002E-2</v>
      </c>
      <c r="BA50" s="104">
        <f t="shared" si="0"/>
        <v>1.7500000000000002</v>
      </c>
    </row>
    <row r="51" spans="1:53">
      <c r="A51" s="107">
        <v>41090</v>
      </c>
      <c r="B51" s="353">
        <v>3.79</v>
      </c>
      <c r="C51" s="353">
        <v>3.9</v>
      </c>
      <c r="D51" s="353">
        <v>4.04</v>
      </c>
      <c r="E51" s="353">
        <v>4.1900000000000004</v>
      </c>
      <c r="F51" s="353">
        <v>4.32</v>
      </c>
      <c r="G51" s="353">
        <v>4.4400000000000004</v>
      </c>
      <c r="H51" s="353">
        <v>4.55</v>
      </c>
      <c r="I51" s="353">
        <v>4.6500000000000004</v>
      </c>
      <c r="J51" s="353">
        <v>4.74</v>
      </c>
      <c r="K51" s="353">
        <v>4.82</v>
      </c>
      <c r="L51" s="353">
        <v>4.8899999999999997</v>
      </c>
      <c r="M51" s="353">
        <v>4.95</v>
      </c>
      <c r="N51" s="353">
        <v>5.01</v>
      </c>
      <c r="O51" s="353">
        <v>5.0599999999999996</v>
      </c>
      <c r="P51" s="442">
        <v>5.0999999999999996</v>
      </c>
      <c r="Q51" s="353">
        <v>5.1100000000000003</v>
      </c>
      <c r="R51" s="353">
        <v>5.13</v>
      </c>
      <c r="S51" s="353">
        <v>5.14</v>
      </c>
      <c r="T51" s="353">
        <v>5.15</v>
      </c>
      <c r="U51" s="353">
        <v>5.16</v>
      </c>
      <c r="V51" s="353">
        <v>5.15</v>
      </c>
      <c r="W51" s="353">
        <v>5.14</v>
      </c>
      <c r="X51" s="353">
        <v>5.13</v>
      </c>
      <c r="Y51" s="353">
        <v>5.12</v>
      </c>
      <c r="Z51" s="353">
        <v>5.1100000000000003</v>
      </c>
      <c r="AA51" s="353">
        <v>5.08</v>
      </c>
      <c r="AB51" s="353">
        <v>5.0599999999999996</v>
      </c>
      <c r="AC51" s="353">
        <v>5.04</v>
      </c>
      <c r="AD51" s="353">
        <v>5.03</v>
      </c>
      <c r="AE51" s="353">
        <v>5.01</v>
      </c>
      <c r="AF51" s="353">
        <v>4.99</v>
      </c>
      <c r="AG51" s="353">
        <v>4.97</v>
      </c>
      <c r="AH51" s="353">
        <v>4.96</v>
      </c>
      <c r="AI51" s="353">
        <v>4.9400000000000004</v>
      </c>
      <c r="AJ51" s="353">
        <v>4.93</v>
      </c>
      <c r="AK51" s="353">
        <v>4.91</v>
      </c>
      <c r="AL51" s="353">
        <v>4.9000000000000004</v>
      </c>
      <c r="AM51" s="353">
        <v>4.8899999999999997</v>
      </c>
      <c r="AN51" s="353">
        <v>4.88</v>
      </c>
      <c r="AO51" s="353">
        <v>4.87</v>
      </c>
      <c r="AP51" s="353">
        <v>4.8600000000000003</v>
      </c>
      <c r="AQ51" s="353">
        <v>4.8499999999999996</v>
      </c>
      <c r="AR51" s="353">
        <v>4.84</v>
      </c>
      <c r="AS51" s="353">
        <v>4.83</v>
      </c>
      <c r="AT51" s="353">
        <v>4.82</v>
      </c>
      <c r="AU51" s="353">
        <v>4.82</v>
      </c>
      <c r="AV51" s="353">
        <v>4.8099999999999996</v>
      </c>
      <c r="AW51" s="353">
        <v>4.8</v>
      </c>
      <c r="AX51" s="353">
        <v>4.79</v>
      </c>
      <c r="AY51" s="353">
        <v>4.79</v>
      </c>
      <c r="AZ51" s="150">
        <v>1.7500000000000002E-2</v>
      </c>
      <c r="BA51" s="104">
        <f t="shared" si="0"/>
        <v>1.7500000000000002</v>
      </c>
    </row>
    <row r="52" spans="1:53">
      <c r="A52" s="107">
        <v>41121</v>
      </c>
      <c r="B52" s="353">
        <v>3.78</v>
      </c>
      <c r="C52" s="353">
        <v>3.88</v>
      </c>
      <c r="D52" s="353">
        <v>4.03</v>
      </c>
      <c r="E52" s="353">
        <v>4.17</v>
      </c>
      <c r="F52" s="353">
        <v>4.3099999999999996</v>
      </c>
      <c r="G52" s="353">
        <v>4.43</v>
      </c>
      <c r="H52" s="353">
        <v>4.54</v>
      </c>
      <c r="I52" s="353">
        <v>4.6399999999999997</v>
      </c>
      <c r="J52" s="353">
        <v>4.7300000000000004</v>
      </c>
      <c r="K52" s="353">
        <v>4.8099999999999996</v>
      </c>
      <c r="L52" s="353">
        <v>4.88</v>
      </c>
      <c r="M52" s="353">
        <v>4.9400000000000004</v>
      </c>
      <c r="N52" s="353">
        <v>5</v>
      </c>
      <c r="O52" s="353">
        <v>5.05</v>
      </c>
      <c r="P52" s="442">
        <v>5.09</v>
      </c>
      <c r="Q52" s="353">
        <v>5.0999999999999996</v>
      </c>
      <c r="R52" s="353">
        <v>5.12</v>
      </c>
      <c r="S52" s="353">
        <v>5.13</v>
      </c>
      <c r="T52" s="353">
        <v>5.14</v>
      </c>
      <c r="U52" s="353">
        <v>5.15</v>
      </c>
      <c r="V52" s="353">
        <v>5.14</v>
      </c>
      <c r="W52" s="353">
        <v>5.13</v>
      </c>
      <c r="X52" s="353">
        <v>5.1100000000000003</v>
      </c>
      <c r="Y52" s="353">
        <v>5.0999999999999996</v>
      </c>
      <c r="Z52" s="353">
        <v>5.09</v>
      </c>
      <c r="AA52" s="353">
        <v>5.07</v>
      </c>
      <c r="AB52" s="353">
        <v>5.05</v>
      </c>
      <c r="AC52" s="353">
        <v>5.03</v>
      </c>
      <c r="AD52" s="353">
        <v>5.01</v>
      </c>
      <c r="AE52" s="353">
        <v>5</v>
      </c>
      <c r="AF52" s="353">
        <v>4.9800000000000004</v>
      </c>
      <c r="AG52" s="353">
        <v>4.96</v>
      </c>
      <c r="AH52" s="353">
        <v>4.95</v>
      </c>
      <c r="AI52" s="353">
        <v>4.93</v>
      </c>
      <c r="AJ52" s="353">
        <v>4.92</v>
      </c>
      <c r="AK52" s="353">
        <v>4.9000000000000004</v>
      </c>
      <c r="AL52" s="353">
        <v>4.8899999999999997</v>
      </c>
      <c r="AM52" s="353">
        <v>4.88</v>
      </c>
      <c r="AN52" s="353">
        <v>4.87</v>
      </c>
      <c r="AO52" s="353">
        <v>4.8499999999999996</v>
      </c>
      <c r="AP52" s="353">
        <v>4.84</v>
      </c>
      <c r="AQ52" s="353">
        <v>4.84</v>
      </c>
      <c r="AR52" s="353">
        <v>4.83</v>
      </c>
      <c r="AS52" s="353">
        <v>4.82</v>
      </c>
      <c r="AT52" s="353">
        <v>4.8099999999999996</v>
      </c>
      <c r="AU52" s="353">
        <v>4.8</v>
      </c>
      <c r="AV52" s="353">
        <v>4.8</v>
      </c>
      <c r="AW52" s="353">
        <v>4.79</v>
      </c>
      <c r="AX52" s="353">
        <v>4.78</v>
      </c>
      <c r="AY52" s="353">
        <v>4.78</v>
      </c>
      <c r="AZ52" s="150">
        <v>1.7500000000000002E-2</v>
      </c>
      <c r="BA52" s="104">
        <f t="shared" si="0"/>
        <v>1.7500000000000002</v>
      </c>
    </row>
    <row r="53" spans="1:53">
      <c r="A53" s="107">
        <v>41152</v>
      </c>
      <c r="B53" s="353">
        <v>3.77</v>
      </c>
      <c r="C53" s="353">
        <v>3.87</v>
      </c>
      <c r="D53" s="353">
        <v>4.01</v>
      </c>
      <c r="E53" s="353">
        <v>4.16</v>
      </c>
      <c r="F53" s="353">
        <v>4.3</v>
      </c>
      <c r="G53" s="353">
        <v>4.42</v>
      </c>
      <c r="H53" s="353">
        <v>4.53</v>
      </c>
      <c r="I53" s="353">
        <v>4.63</v>
      </c>
      <c r="J53" s="353">
        <v>4.72</v>
      </c>
      <c r="K53" s="353">
        <v>4.79</v>
      </c>
      <c r="L53" s="353">
        <v>4.87</v>
      </c>
      <c r="M53" s="353">
        <v>4.93</v>
      </c>
      <c r="N53" s="353">
        <v>4.99</v>
      </c>
      <c r="O53" s="353">
        <v>5.04</v>
      </c>
      <c r="P53" s="442">
        <v>5.08</v>
      </c>
      <c r="Q53" s="353">
        <v>5.09</v>
      </c>
      <c r="R53" s="353">
        <v>5.1100000000000003</v>
      </c>
      <c r="S53" s="353">
        <v>5.12</v>
      </c>
      <c r="T53" s="353">
        <v>5.13</v>
      </c>
      <c r="U53" s="353">
        <v>5.14</v>
      </c>
      <c r="V53" s="353">
        <v>5.13</v>
      </c>
      <c r="W53" s="353">
        <v>5.1100000000000003</v>
      </c>
      <c r="X53" s="353">
        <v>5.0999999999999996</v>
      </c>
      <c r="Y53" s="353">
        <v>5.09</v>
      </c>
      <c r="Z53" s="353">
        <v>5.08</v>
      </c>
      <c r="AA53" s="353">
        <v>5.0599999999999996</v>
      </c>
      <c r="AB53" s="353">
        <v>5.04</v>
      </c>
      <c r="AC53" s="353">
        <v>5.0199999999999996</v>
      </c>
      <c r="AD53" s="353">
        <v>5</v>
      </c>
      <c r="AE53" s="353">
        <v>4.99</v>
      </c>
      <c r="AF53" s="353">
        <v>4.97</v>
      </c>
      <c r="AG53" s="353">
        <v>4.95</v>
      </c>
      <c r="AH53" s="353">
        <v>4.93</v>
      </c>
      <c r="AI53" s="353">
        <v>4.92</v>
      </c>
      <c r="AJ53" s="353">
        <v>4.9000000000000004</v>
      </c>
      <c r="AK53" s="353">
        <v>4.8899999999999997</v>
      </c>
      <c r="AL53" s="353">
        <v>4.88</v>
      </c>
      <c r="AM53" s="353">
        <v>4.87</v>
      </c>
      <c r="AN53" s="353">
        <v>4.8499999999999996</v>
      </c>
      <c r="AO53" s="353">
        <v>4.84</v>
      </c>
      <c r="AP53" s="353">
        <v>4.83</v>
      </c>
      <c r="AQ53" s="353">
        <v>4.83</v>
      </c>
      <c r="AR53" s="353">
        <v>4.82</v>
      </c>
      <c r="AS53" s="353">
        <v>4.8099999999999996</v>
      </c>
      <c r="AT53" s="353">
        <v>4.8</v>
      </c>
      <c r="AU53" s="353">
        <v>4.79</v>
      </c>
      <c r="AV53" s="353">
        <v>4.79</v>
      </c>
      <c r="AW53" s="353">
        <v>4.78</v>
      </c>
      <c r="AX53" s="353">
        <v>4.7699999999999996</v>
      </c>
      <c r="AY53" s="353">
        <v>4.7699999999999996</v>
      </c>
      <c r="AZ53" s="150">
        <v>1.7500000000000002E-2</v>
      </c>
      <c r="BA53" s="104">
        <f t="shared" si="0"/>
        <v>1.7500000000000002</v>
      </c>
    </row>
    <row r="54" spans="1:53">
      <c r="A54" s="107">
        <v>41182</v>
      </c>
      <c r="B54" s="353">
        <v>3.75</v>
      </c>
      <c r="C54" s="353">
        <v>3.85</v>
      </c>
      <c r="D54" s="353">
        <v>4</v>
      </c>
      <c r="E54" s="353">
        <v>4.1399999999999997</v>
      </c>
      <c r="F54" s="353">
        <v>4.28</v>
      </c>
      <c r="G54" s="353">
        <v>4.41</v>
      </c>
      <c r="H54" s="353">
        <v>4.5199999999999996</v>
      </c>
      <c r="I54" s="353">
        <v>4.62</v>
      </c>
      <c r="J54" s="353">
        <v>4.71</v>
      </c>
      <c r="K54" s="353">
        <v>4.79</v>
      </c>
      <c r="L54" s="353">
        <v>4.8600000000000003</v>
      </c>
      <c r="M54" s="353">
        <v>4.92</v>
      </c>
      <c r="N54" s="353">
        <v>4.9800000000000004</v>
      </c>
      <c r="O54" s="353">
        <v>5.03</v>
      </c>
      <c r="P54" s="442">
        <v>5.07</v>
      </c>
      <c r="Q54" s="353">
        <v>5.09</v>
      </c>
      <c r="R54" s="353">
        <v>5.0999999999999996</v>
      </c>
      <c r="S54" s="353">
        <v>5.1100000000000003</v>
      </c>
      <c r="T54" s="353">
        <v>5.12</v>
      </c>
      <c r="U54" s="353">
        <v>5.13</v>
      </c>
      <c r="V54" s="353">
        <v>5.12</v>
      </c>
      <c r="W54" s="353">
        <v>5.1100000000000003</v>
      </c>
      <c r="X54" s="353">
        <v>5.09</v>
      </c>
      <c r="Y54" s="353">
        <v>5.08</v>
      </c>
      <c r="Z54" s="353">
        <v>5.07</v>
      </c>
      <c r="AA54" s="353">
        <v>5.05</v>
      </c>
      <c r="AB54" s="353">
        <v>5.03</v>
      </c>
      <c r="AC54" s="353">
        <v>5.01</v>
      </c>
      <c r="AD54" s="353">
        <v>4.99</v>
      </c>
      <c r="AE54" s="353">
        <v>4.9800000000000004</v>
      </c>
      <c r="AF54" s="353">
        <v>4.96</v>
      </c>
      <c r="AG54" s="353">
        <v>4.9400000000000004</v>
      </c>
      <c r="AH54" s="353">
        <v>4.93</v>
      </c>
      <c r="AI54" s="353">
        <v>4.91</v>
      </c>
      <c r="AJ54" s="353">
        <v>4.9000000000000004</v>
      </c>
      <c r="AK54" s="353">
        <v>4.88</v>
      </c>
      <c r="AL54" s="353">
        <v>4.87</v>
      </c>
      <c r="AM54" s="353">
        <v>4.8600000000000003</v>
      </c>
      <c r="AN54" s="353">
        <v>4.8499999999999996</v>
      </c>
      <c r="AO54" s="353">
        <v>4.84</v>
      </c>
      <c r="AP54" s="353">
        <v>4.83</v>
      </c>
      <c r="AQ54" s="353">
        <v>4.82</v>
      </c>
      <c r="AR54" s="353">
        <v>4.8099999999999996</v>
      </c>
      <c r="AS54" s="353">
        <v>4.8</v>
      </c>
      <c r="AT54" s="353">
        <v>4.8</v>
      </c>
      <c r="AU54" s="353">
        <v>4.79</v>
      </c>
      <c r="AV54" s="353">
        <v>4.78</v>
      </c>
      <c r="AW54" s="353">
        <v>4.78</v>
      </c>
      <c r="AX54" s="353">
        <v>4.7699999999999996</v>
      </c>
      <c r="AY54" s="353">
        <v>4.76</v>
      </c>
      <c r="AZ54" s="150">
        <v>1.7500000000000002E-2</v>
      </c>
      <c r="BA54" s="104">
        <f t="shared" si="0"/>
        <v>1.7500000000000002</v>
      </c>
    </row>
    <row r="55" spans="1:53">
      <c r="A55" s="107">
        <v>41213</v>
      </c>
      <c r="B55" s="353">
        <v>3.74</v>
      </c>
      <c r="C55" s="353">
        <v>3.83</v>
      </c>
      <c r="D55" s="353">
        <v>3.98</v>
      </c>
      <c r="E55" s="353">
        <v>4.12</v>
      </c>
      <c r="F55" s="353">
        <v>4.26</v>
      </c>
      <c r="G55" s="353">
        <v>4.3899999999999997</v>
      </c>
      <c r="H55" s="353">
        <v>4.5</v>
      </c>
      <c r="I55" s="353">
        <v>4.5999999999999996</v>
      </c>
      <c r="J55" s="353">
        <v>4.6900000000000004</v>
      </c>
      <c r="K55" s="353">
        <v>4.7699999999999996</v>
      </c>
      <c r="L55" s="353">
        <v>4.8499999999999996</v>
      </c>
      <c r="M55" s="353">
        <v>4.91</v>
      </c>
      <c r="N55" s="353">
        <v>4.97</v>
      </c>
      <c r="O55" s="353">
        <v>5.0199999999999996</v>
      </c>
      <c r="P55" s="442">
        <v>5.0599999999999996</v>
      </c>
      <c r="Q55" s="353">
        <v>5.07</v>
      </c>
      <c r="R55" s="353">
        <v>5.09</v>
      </c>
      <c r="S55" s="353">
        <v>5.0999999999999996</v>
      </c>
      <c r="T55" s="353">
        <v>5.1100000000000003</v>
      </c>
      <c r="U55" s="353">
        <v>5.12</v>
      </c>
      <c r="V55" s="353">
        <v>5.1100000000000003</v>
      </c>
      <c r="W55" s="353">
        <v>5.09</v>
      </c>
      <c r="X55" s="353">
        <v>5.08</v>
      </c>
      <c r="Y55" s="353">
        <v>5.07</v>
      </c>
      <c r="Z55" s="353">
        <v>5.0599999999999996</v>
      </c>
      <c r="AA55" s="353">
        <v>5.04</v>
      </c>
      <c r="AB55" s="353">
        <v>5.0199999999999996</v>
      </c>
      <c r="AC55" s="353">
        <v>5</v>
      </c>
      <c r="AD55" s="353">
        <v>4.9800000000000004</v>
      </c>
      <c r="AE55" s="353">
        <v>4.97</v>
      </c>
      <c r="AF55" s="353">
        <v>4.95</v>
      </c>
      <c r="AG55" s="353">
        <v>4.93</v>
      </c>
      <c r="AH55" s="353">
        <v>4.91</v>
      </c>
      <c r="AI55" s="353">
        <v>4.9000000000000004</v>
      </c>
      <c r="AJ55" s="353">
        <v>4.8899999999999997</v>
      </c>
      <c r="AK55" s="353">
        <v>4.87</v>
      </c>
      <c r="AL55" s="353">
        <v>4.8600000000000003</v>
      </c>
      <c r="AM55" s="353">
        <v>4.8499999999999996</v>
      </c>
      <c r="AN55" s="353">
        <v>4.84</v>
      </c>
      <c r="AO55" s="353">
        <v>4.83</v>
      </c>
      <c r="AP55" s="353">
        <v>4.82</v>
      </c>
      <c r="AQ55" s="353">
        <v>4.8099999999999996</v>
      </c>
      <c r="AR55" s="353">
        <v>4.8</v>
      </c>
      <c r="AS55" s="353">
        <v>4.79</v>
      </c>
      <c r="AT55" s="353">
        <v>4.79</v>
      </c>
      <c r="AU55" s="353">
        <v>4.78</v>
      </c>
      <c r="AV55" s="353">
        <v>4.7699999999999996</v>
      </c>
      <c r="AW55" s="353">
        <v>4.7699999999999996</v>
      </c>
      <c r="AX55" s="353">
        <v>4.76</v>
      </c>
      <c r="AY55" s="353">
        <v>4.75</v>
      </c>
      <c r="AZ55" s="150">
        <v>1.7500000000000002E-2</v>
      </c>
      <c r="BA55" s="104">
        <f t="shared" si="0"/>
        <v>1.7500000000000002</v>
      </c>
    </row>
    <row r="56" spans="1:53">
      <c r="A56" s="107">
        <v>41243</v>
      </c>
      <c r="B56" s="353">
        <v>3.71</v>
      </c>
      <c r="C56" s="353">
        <v>3.81</v>
      </c>
      <c r="D56" s="353">
        <v>3.95</v>
      </c>
      <c r="E56" s="353">
        <v>4.0999999999999996</v>
      </c>
      <c r="F56" s="353">
        <v>4.24</v>
      </c>
      <c r="G56" s="353">
        <v>4.37</v>
      </c>
      <c r="H56" s="353">
        <v>4.49</v>
      </c>
      <c r="I56" s="353">
        <v>4.59</v>
      </c>
      <c r="J56" s="353">
        <v>4.68</v>
      </c>
      <c r="K56" s="353">
        <v>4.76</v>
      </c>
      <c r="L56" s="353">
        <v>4.84</v>
      </c>
      <c r="M56" s="353">
        <v>4.9000000000000004</v>
      </c>
      <c r="N56" s="353">
        <v>4.96</v>
      </c>
      <c r="O56" s="353">
        <v>5</v>
      </c>
      <c r="P56" s="442">
        <v>5.05</v>
      </c>
      <c r="Q56" s="353">
        <v>5.0599999999999996</v>
      </c>
      <c r="R56" s="353">
        <v>5.08</v>
      </c>
      <c r="S56" s="353">
        <v>5.09</v>
      </c>
      <c r="T56" s="353">
        <v>5.0999999999999996</v>
      </c>
      <c r="U56" s="353">
        <v>5.1100000000000003</v>
      </c>
      <c r="V56" s="353">
        <v>5.0999999999999996</v>
      </c>
      <c r="W56" s="353">
        <v>5.08</v>
      </c>
      <c r="X56" s="353">
        <v>5.07</v>
      </c>
      <c r="Y56" s="353">
        <v>5.0599999999999996</v>
      </c>
      <c r="Z56" s="353">
        <v>5.05</v>
      </c>
      <c r="AA56" s="353">
        <v>5.03</v>
      </c>
      <c r="AB56" s="353">
        <v>5.01</v>
      </c>
      <c r="AC56" s="353">
        <v>4.99</v>
      </c>
      <c r="AD56" s="353">
        <v>4.97</v>
      </c>
      <c r="AE56" s="353">
        <v>4.95</v>
      </c>
      <c r="AF56" s="353">
        <v>4.9400000000000004</v>
      </c>
      <c r="AG56" s="353">
        <v>4.92</v>
      </c>
      <c r="AH56" s="353">
        <v>4.9000000000000004</v>
      </c>
      <c r="AI56" s="353">
        <v>4.8899999999999997</v>
      </c>
      <c r="AJ56" s="353">
        <v>4.87</v>
      </c>
      <c r="AK56" s="353">
        <v>4.8600000000000003</v>
      </c>
      <c r="AL56" s="353">
        <v>4.8499999999999996</v>
      </c>
      <c r="AM56" s="353">
        <v>4.84</v>
      </c>
      <c r="AN56" s="353">
        <v>4.83</v>
      </c>
      <c r="AO56" s="353">
        <v>4.8099999999999996</v>
      </c>
      <c r="AP56" s="353">
        <v>4.8099999999999996</v>
      </c>
      <c r="AQ56" s="353">
        <v>4.8</v>
      </c>
      <c r="AR56" s="353">
        <v>4.79</v>
      </c>
      <c r="AS56" s="353">
        <v>4.78</v>
      </c>
      <c r="AT56" s="353">
        <v>4.78</v>
      </c>
      <c r="AU56" s="353">
        <v>4.7699999999999996</v>
      </c>
      <c r="AV56" s="353">
        <v>4.76</v>
      </c>
      <c r="AW56" s="353">
        <v>4.76</v>
      </c>
      <c r="AX56" s="353">
        <v>4.75</v>
      </c>
      <c r="AY56" s="353">
        <v>4.75</v>
      </c>
      <c r="AZ56" s="150">
        <v>1.7500000000000002E-2</v>
      </c>
      <c r="BA56" s="104">
        <f t="shared" si="0"/>
        <v>1.7500000000000002</v>
      </c>
    </row>
    <row r="57" spans="1:53">
      <c r="A57" s="107">
        <v>41274</v>
      </c>
      <c r="B57" s="353">
        <v>3.69</v>
      </c>
      <c r="C57" s="353">
        <v>3.79</v>
      </c>
      <c r="D57" s="353">
        <v>3.93</v>
      </c>
      <c r="E57" s="353">
        <v>4.08</v>
      </c>
      <c r="F57" s="353">
        <v>4.22</v>
      </c>
      <c r="G57" s="353">
        <v>4.3499999999999996</v>
      </c>
      <c r="H57" s="353">
        <v>4.47</v>
      </c>
      <c r="I57" s="353">
        <v>4.57</v>
      </c>
      <c r="J57" s="353">
        <v>4.66</v>
      </c>
      <c r="K57" s="353">
        <v>4.74</v>
      </c>
      <c r="L57" s="353">
        <v>4.82</v>
      </c>
      <c r="M57" s="353">
        <v>4.8899999999999997</v>
      </c>
      <c r="N57" s="353">
        <v>4.9400000000000004</v>
      </c>
      <c r="O57" s="353">
        <v>4.99</v>
      </c>
      <c r="P57" s="442">
        <v>5.04</v>
      </c>
      <c r="Q57" s="353">
        <v>5.05</v>
      </c>
      <c r="R57" s="353">
        <v>5.07</v>
      </c>
      <c r="S57" s="353">
        <v>5.08</v>
      </c>
      <c r="T57" s="353">
        <v>5.09</v>
      </c>
      <c r="U57" s="353">
        <v>5.0999999999999996</v>
      </c>
      <c r="V57" s="353">
        <v>5.09</v>
      </c>
      <c r="W57" s="353">
        <v>5.07</v>
      </c>
      <c r="X57" s="353">
        <v>5.0599999999999996</v>
      </c>
      <c r="Y57" s="353">
        <v>5.05</v>
      </c>
      <c r="Z57" s="353">
        <v>5.04</v>
      </c>
      <c r="AA57" s="353">
        <v>5.0199999999999996</v>
      </c>
      <c r="AB57" s="353">
        <v>5</v>
      </c>
      <c r="AC57" s="353">
        <v>4.9800000000000004</v>
      </c>
      <c r="AD57" s="353">
        <v>4.96</v>
      </c>
      <c r="AE57" s="353">
        <v>4.9400000000000004</v>
      </c>
      <c r="AF57" s="353">
        <v>4.93</v>
      </c>
      <c r="AG57" s="353">
        <v>4.91</v>
      </c>
      <c r="AH57" s="353">
        <v>4.8899999999999997</v>
      </c>
      <c r="AI57" s="353">
        <v>4.88</v>
      </c>
      <c r="AJ57" s="353">
        <v>4.87</v>
      </c>
      <c r="AK57" s="353">
        <v>4.8499999999999996</v>
      </c>
      <c r="AL57" s="353">
        <v>4.84</v>
      </c>
      <c r="AM57" s="353">
        <v>4.83</v>
      </c>
      <c r="AN57" s="353">
        <v>4.82</v>
      </c>
      <c r="AO57" s="353">
        <v>4.8099999999999996</v>
      </c>
      <c r="AP57" s="353">
        <v>4.8</v>
      </c>
      <c r="AQ57" s="353">
        <v>4.79</v>
      </c>
      <c r="AR57" s="353">
        <v>4.78</v>
      </c>
      <c r="AS57" s="353">
        <v>4.78</v>
      </c>
      <c r="AT57" s="353">
        <v>4.7699999999999996</v>
      </c>
      <c r="AU57" s="353">
        <v>4.76</v>
      </c>
      <c r="AV57" s="353">
        <v>4.76</v>
      </c>
      <c r="AW57" s="353">
        <v>4.75</v>
      </c>
      <c r="AX57" s="353">
        <v>4.74</v>
      </c>
      <c r="AY57" s="353">
        <v>4.74</v>
      </c>
      <c r="AZ57" s="150">
        <v>1.7500000000000002E-2</v>
      </c>
      <c r="BA57" s="104">
        <f t="shared" si="0"/>
        <v>1.7500000000000002</v>
      </c>
    </row>
    <row r="58" spans="1:53">
      <c r="A58" s="107">
        <v>41305</v>
      </c>
      <c r="B58" s="353">
        <v>3.67</v>
      </c>
      <c r="C58" s="353">
        <v>3.77</v>
      </c>
      <c r="D58" s="353">
        <v>3.91</v>
      </c>
      <c r="E58" s="353">
        <v>4.0599999999999996</v>
      </c>
      <c r="F58" s="353">
        <v>4.2</v>
      </c>
      <c r="G58" s="353">
        <v>4.33</v>
      </c>
      <c r="H58" s="353">
        <v>4.45</v>
      </c>
      <c r="I58" s="353">
        <v>4.5599999999999996</v>
      </c>
      <c r="J58" s="353">
        <v>4.6500000000000004</v>
      </c>
      <c r="K58" s="353">
        <v>4.7300000000000004</v>
      </c>
      <c r="L58" s="353">
        <v>4.8099999999999996</v>
      </c>
      <c r="M58" s="353">
        <v>4.88</v>
      </c>
      <c r="N58" s="353">
        <v>4.93</v>
      </c>
      <c r="O58" s="353">
        <v>4.9800000000000004</v>
      </c>
      <c r="P58" s="442">
        <v>5.03</v>
      </c>
      <c r="Q58" s="353">
        <v>5.04</v>
      </c>
      <c r="R58" s="353">
        <v>5.0599999999999996</v>
      </c>
      <c r="S58" s="353">
        <v>5.07</v>
      </c>
      <c r="T58" s="353">
        <v>5.08</v>
      </c>
      <c r="U58" s="353">
        <v>5.09</v>
      </c>
      <c r="V58" s="353">
        <v>5.08</v>
      </c>
      <c r="W58" s="353">
        <v>5.0599999999999996</v>
      </c>
      <c r="X58" s="353">
        <v>5.05</v>
      </c>
      <c r="Y58" s="353">
        <v>5.04</v>
      </c>
      <c r="Z58" s="353">
        <v>5.03</v>
      </c>
      <c r="AA58" s="353">
        <v>5.01</v>
      </c>
      <c r="AB58" s="353">
        <v>4.99</v>
      </c>
      <c r="AC58" s="353">
        <v>4.97</v>
      </c>
      <c r="AD58" s="353">
        <v>4.95</v>
      </c>
      <c r="AE58" s="353">
        <v>4.93</v>
      </c>
      <c r="AF58" s="353">
        <v>4.92</v>
      </c>
      <c r="AG58" s="353">
        <v>4.9000000000000004</v>
      </c>
      <c r="AH58" s="353">
        <v>4.88</v>
      </c>
      <c r="AI58" s="353">
        <v>4.87</v>
      </c>
      <c r="AJ58" s="353">
        <v>4.8600000000000003</v>
      </c>
      <c r="AK58" s="353">
        <v>4.84</v>
      </c>
      <c r="AL58" s="353">
        <v>4.83</v>
      </c>
      <c r="AM58" s="353">
        <v>4.82</v>
      </c>
      <c r="AN58" s="353">
        <v>4.8099999999999996</v>
      </c>
      <c r="AO58" s="353">
        <v>4.8</v>
      </c>
      <c r="AP58" s="353">
        <v>4.79</v>
      </c>
      <c r="AQ58" s="353">
        <v>4.78</v>
      </c>
      <c r="AR58" s="353">
        <v>4.7699999999999996</v>
      </c>
      <c r="AS58" s="353">
        <v>4.7699999999999996</v>
      </c>
      <c r="AT58" s="353">
        <v>4.76</v>
      </c>
      <c r="AU58" s="353">
        <v>4.75</v>
      </c>
      <c r="AV58" s="353">
        <v>4.75</v>
      </c>
      <c r="AW58" s="353">
        <v>4.74</v>
      </c>
      <c r="AX58" s="353">
        <v>4.74</v>
      </c>
      <c r="AY58" s="353">
        <v>4.7300000000000004</v>
      </c>
      <c r="AZ58" s="150">
        <v>1.7500000000000002E-2</v>
      </c>
      <c r="BA58" s="104">
        <f t="shared" si="0"/>
        <v>1.7500000000000002</v>
      </c>
    </row>
    <row r="59" spans="1:53">
      <c r="A59" s="107">
        <v>41333</v>
      </c>
      <c r="B59" s="353">
        <v>3.65</v>
      </c>
      <c r="C59" s="353">
        <v>3.74</v>
      </c>
      <c r="D59" s="353">
        <v>3.89</v>
      </c>
      <c r="E59" s="353">
        <v>4.04</v>
      </c>
      <c r="F59" s="353">
        <v>4.18</v>
      </c>
      <c r="G59" s="353">
        <v>4.32</v>
      </c>
      <c r="H59" s="353">
        <v>4.43</v>
      </c>
      <c r="I59" s="353">
        <v>4.54</v>
      </c>
      <c r="J59" s="353">
        <v>4.63</v>
      </c>
      <c r="K59" s="353">
        <v>4.72</v>
      </c>
      <c r="L59" s="353">
        <v>4.8</v>
      </c>
      <c r="M59" s="353">
        <v>4.8600000000000003</v>
      </c>
      <c r="N59" s="353">
        <v>4.92</v>
      </c>
      <c r="O59" s="353">
        <v>4.97</v>
      </c>
      <c r="P59" s="442">
        <v>5.0199999999999996</v>
      </c>
      <c r="Q59" s="353">
        <v>5.03</v>
      </c>
      <c r="R59" s="353">
        <v>5.05</v>
      </c>
      <c r="S59" s="353">
        <v>5.0599999999999996</v>
      </c>
      <c r="T59" s="353">
        <v>5.07</v>
      </c>
      <c r="U59" s="353">
        <v>5.08</v>
      </c>
      <c r="V59" s="353">
        <v>5.07</v>
      </c>
      <c r="W59" s="353">
        <v>5.05</v>
      </c>
      <c r="X59" s="353">
        <v>5.04</v>
      </c>
      <c r="Y59" s="353">
        <v>5.03</v>
      </c>
      <c r="Z59" s="353">
        <v>5.0199999999999996</v>
      </c>
      <c r="AA59" s="353">
        <v>5</v>
      </c>
      <c r="AB59" s="353">
        <v>4.9800000000000004</v>
      </c>
      <c r="AC59" s="353">
        <v>4.96</v>
      </c>
      <c r="AD59" s="353">
        <v>4.9400000000000004</v>
      </c>
      <c r="AE59" s="353">
        <v>4.92</v>
      </c>
      <c r="AF59" s="353">
        <v>4.91</v>
      </c>
      <c r="AG59" s="353">
        <v>4.8899999999999997</v>
      </c>
      <c r="AH59" s="353">
        <v>4.87</v>
      </c>
      <c r="AI59" s="353">
        <v>4.8600000000000003</v>
      </c>
      <c r="AJ59" s="353">
        <v>4.8499999999999996</v>
      </c>
      <c r="AK59" s="353">
        <v>4.83</v>
      </c>
      <c r="AL59" s="353">
        <v>4.82</v>
      </c>
      <c r="AM59" s="353">
        <v>4.8099999999999996</v>
      </c>
      <c r="AN59" s="353">
        <v>4.8</v>
      </c>
      <c r="AO59" s="353">
        <v>4.79</v>
      </c>
      <c r="AP59" s="353">
        <v>4.78</v>
      </c>
      <c r="AQ59" s="353">
        <v>4.7699999999999996</v>
      </c>
      <c r="AR59" s="353">
        <v>4.7699999999999996</v>
      </c>
      <c r="AS59" s="353">
        <v>4.76</v>
      </c>
      <c r="AT59" s="353">
        <v>4.75</v>
      </c>
      <c r="AU59" s="353">
        <v>4.75</v>
      </c>
      <c r="AV59" s="353">
        <v>4.74</v>
      </c>
      <c r="AW59" s="353">
        <v>4.74</v>
      </c>
      <c r="AX59" s="353">
        <v>4.7300000000000004</v>
      </c>
      <c r="AY59" s="353">
        <v>4.7300000000000004</v>
      </c>
      <c r="AZ59" s="150">
        <v>1.7500000000000002E-2</v>
      </c>
      <c r="BA59" s="104">
        <f t="shared" si="0"/>
        <v>1.7500000000000002</v>
      </c>
    </row>
    <row r="60" spans="1:53">
      <c r="A60" s="107">
        <v>41364</v>
      </c>
      <c r="B60" s="353">
        <v>3.62</v>
      </c>
      <c r="C60" s="353">
        <v>3.71</v>
      </c>
      <c r="D60" s="353">
        <v>3.86</v>
      </c>
      <c r="E60" s="353">
        <v>4.01</v>
      </c>
      <c r="F60" s="353">
        <v>4.16</v>
      </c>
      <c r="G60" s="353">
        <v>4.29</v>
      </c>
      <c r="H60" s="353">
        <v>4.41</v>
      </c>
      <c r="I60" s="353">
        <v>4.5199999999999996</v>
      </c>
      <c r="J60" s="353">
        <v>4.6100000000000003</v>
      </c>
      <c r="K60" s="353">
        <v>4.7</v>
      </c>
      <c r="L60" s="353">
        <v>4.78</v>
      </c>
      <c r="M60" s="353">
        <v>4.8499999999999996</v>
      </c>
      <c r="N60" s="353">
        <v>4.91</v>
      </c>
      <c r="O60" s="353">
        <v>4.96</v>
      </c>
      <c r="P60" s="442">
        <v>5</v>
      </c>
      <c r="Q60" s="353">
        <v>5.0199999999999996</v>
      </c>
      <c r="R60" s="353">
        <v>5.03</v>
      </c>
      <c r="S60" s="353">
        <v>5.04</v>
      </c>
      <c r="T60" s="353">
        <v>5.0599999999999996</v>
      </c>
      <c r="U60" s="353">
        <v>5.07</v>
      </c>
      <c r="V60" s="353">
        <v>5.05</v>
      </c>
      <c r="W60" s="353">
        <v>5.04</v>
      </c>
      <c r="X60" s="353">
        <v>5.03</v>
      </c>
      <c r="Y60" s="353">
        <v>5.01</v>
      </c>
      <c r="Z60" s="353">
        <v>5</v>
      </c>
      <c r="AA60" s="353">
        <v>4.9800000000000004</v>
      </c>
      <c r="AB60" s="353">
        <v>4.96</v>
      </c>
      <c r="AC60" s="353">
        <v>4.9400000000000004</v>
      </c>
      <c r="AD60" s="353">
        <v>4.92</v>
      </c>
      <c r="AE60" s="353">
        <v>4.91</v>
      </c>
      <c r="AF60" s="353">
        <v>4.8899999999999997</v>
      </c>
      <c r="AG60" s="353">
        <v>4.88</v>
      </c>
      <c r="AH60" s="353">
        <v>4.8600000000000003</v>
      </c>
      <c r="AI60" s="353">
        <v>4.8499999999999996</v>
      </c>
      <c r="AJ60" s="353">
        <v>4.83</v>
      </c>
      <c r="AK60" s="353">
        <v>4.82</v>
      </c>
      <c r="AL60" s="353">
        <v>4.8099999999999996</v>
      </c>
      <c r="AM60" s="353">
        <v>4.8</v>
      </c>
      <c r="AN60" s="353">
        <v>4.79</v>
      </c>
      <c r="AO60" s="353">
        <v>4.78</v>
      </c>
      <c r="AP60" s="353">
        <v>4.7699999999999996</v>
      </c>
      <c r="AQ60" s="353">
        <v>4.76</v>
      </c>
      <c r="AR60" s="353">
        <v>4.75</v>
      </c>
      <c r="AS60" s="353">
        <v>4.75</v>
      </c>
      <c r="AT60" s="353">
        <v>4.74</v>
      </c>
      <c r="AU60" s="353">
        <v>4.7300000000000004</v>
      </c>
      <c r="AV60" s="353">
        <v>4.7300000000000004</v>
      </c>
      <c r="AW60" s="353">
        <v>4.72</v>
      </c>
      <c r="AX60" s="353">
        <v>4.72</v>
      </c>
      <c r="AY60" s="353">
        <v>4.71</v>
      </c>
      <c r="AZ60" s="150">
        <v>1.7500000000000002E-2</v>
      </c>
      <c r="BA60" s="104">
        <f t="shared" si="0"/>
        <v>1.7500000000000002</v>
      </c>
    </row>
    <row r="61" spans="1:53">
      <c r="A61" s="107">
        <v>41394</v>
      </c>
      <c r="B61" s="353">
        <v>3.59</v>
      </c>
      <c r="C61" s="353">
        <v>3.68</v>
      </c>
      <c r="D61" s="353">
        <v>3.83</v>
      </c>
      <c r="E61" s="353">
        <v>3.98</v>
      </c>
      <c r="F61" s="353">
        <v>4.13</v>
      </c>
      <c r="G61" s="353">
        <v>4.26</v>
      </c>
      <c r="H61" s="353">
        <v>4.38</v>
      </c>
      <c r="I61" s="353">
        <v>4.49</v>
      </c>
      <c r="J61" s="353">
        <v>4.59</v>
      </c>
      <c r="K61" s="353">
        <v>4.67</v>
      </c>
      <c r="L61" s="353">
        <v>4.76</v>
      </c>
      <c r="M61" s="353">
        <v>4.82</v>
      </c>
      <c r="N61" s="353">
        <v>4.88</v>
      </c>
      <c r="O61" s="353">
        <v>4.93</v>
      </c>
      <c r="P61" s="442">
        <v>4.9800000000000004</v>
      </c>
      <c r="Q61" s="353">
        <v>5</v>
      </c>
      <c r="R61" s="353">
        <v>5.01</v>
      </c>
      <c r="S61" s="353">
        <v>5.0199999999999996</v>
      </c>
      <c r="T61" s="353">
        <v>5.04</v>
      </c>
      <c r="U61" s="353">
        <v>5.05</v>
      </c>
      <c r="V61" s="353">
        <v>5.03</v>
      </c>
      <c r="W61" s="353">
        <v>5.0199999999999996</v>
      </c>
      <c r="X61" s="353">
        <v>5.01</v>
      </c>
      <c r="Y61" s="353">
        <v>4.99</v>
      </c>
      <c r="Z61" s="353">
        <v>4.9800000000000004</v>
      </c>
      <c r="AA61" s="353">
        <v>4.96</v>
      </c>
      <c r="AB61" s="353">
        <v>4.9400000000000004</v>
      </c>
      <c r="AC61" s="353">
        <v>4.92</v>
      </c>
      <c r="AD61" s="353">
        <v>4.91</v>
      </c>
      <c r="AE61" s="353">
        <v>4.8899999999999997</v>
      </c>
      <c r="AF61" s="353">
        <v>4.87</v>
      </c>
      <c r="AG61" s="353">
        <v>4.8600000000000003</v>
      </c>
      <c r="AH61" s="353">
        <v>4.84</v>
      </c>
      <c r="AI61" s="353">
        <v>4.83</v>
      </c>
      <c r="AJ61" s="353">
        <v>4.8099999999999996</v>
      </c>
      <c r="AK61" s="353">
        <v>4.8</v>
      </c>
      <c r="AL61" s="353">
        <v>4.79</v>
      </c>
      <c r="AM61" s="353">
        <v>4.78</v>
      </c>
      <c r="AN61" s="353">
        <v>4.7699999999999996</v>
      </c>
      <c r="AO61" s="353">
        <v>4.76</v>
      </c>
      <c r="AP61" s="353">
        <v>4.75</v>
      </c>
      <c r="AQ61" s="353">
        <v>4.74</v>
      </c>
      <c r="AR61" s="353">
        <v>4.74</v>
      </c>
      <c r="AS61" s="353">
        <v>4.7300000000000004</v>
      </c>
      <c r="AT61" s="353">
        <v>4.72</v>
      </c>
      <c r="AU61" s="353">
        <v>4.72</v>
      </c>
      <c r="AV61" s="353">
        <v>4.71</v>
      </c>
      <c r="AW61" s="353">
        <v>4.71</v>
      </c>
      <c r="AX61" s="353">
        <v>4.7</v>
      </c>
      <c r="AY61" s="353">
        <v>4.7</v>
      </c>
      <c r="AZ61" s="150">
        <v>1.7500000000000002E-2</v>
      </c>
      <c r="BA61" s="104">
        <f t="shared" si="0"/>
        <v>1.7500000000000002</v>
      </c>
    </row>
    <row r="62" spans="1:53">
      <c r="A62" s="107">
        <v>41425</v>
      </c>
      <c r="B62" s="353">
        <v>3.56</v>
      </c>
      <c r="C62" s="353">
        <v>3.65</v>
      </c>
      <c r="D62" s="353">
        <v>3.8</v>
      </c>
      <c r="E62" s="353">
        <v>3.95</v>
      </c>
      <c r="F62" s="353">
        <v>4.0999999999999996</v>
      </c>
      <c r="G62" s="353">
        <v>4.2300000000000004</v>
      </c>
      <c r="H62" s="353">
        <v>4.3600000000000003</v>
      </c>
      <c r="I62" s="353">
        <v>4.47</v>
      </c>
      <c r="J62" s="353">
        <v>4.5599999999999996</v>
      </c>
      <c r="K62" s="353">
        <v>4.6500000000000004</v>
      </c>
      <c r="L62" s="353">
        <v>4.7300000000000004</v>
      </c>
      <c r="M62" s="353">
        <v>4.8</v>
      </c>
      <c r="N62" s="353">
        <v>4.8600000000000003</v>
      </c>
      <c r="O62" s="353">
        <v>4.92</v>
      </c>
      <c r="P62" s="442">
        <v>4.96</v>
      </c>
      <c r="Q62" s="353">
        <v>4.9800000000000004</v>
      </c>
      <c r="R62" s="353">
        <v>4.99</v>
      </c>
      <c r="S62" s="353">
        <v>5.01</v>
      </c>
      <c r="T62" s="353">
        <v>5.0199999999999996</v>
      </c>
      <c r="U62" s="353">
        <v>5.03</v>
      </c>
      <c r="V62" s="353">
        <v>5.01</v>
      </c>
      <c r="W62" s="353">
        <v>5</v>
      </c>
      <c r="X62" s="353">
        <v>4.99</v>
      </c>
      <c r="Y62" s="353">
        <v>4.9800000000000004</v>
      </c>
      <c r="Z62" s="353">
        <v>4.97</v>
      </c>
      <c r="AA62" s="353">
        <v>4.9400000000000004</v>
      </c>
      <c r="AB62" s="353">
        <v>4.92</v>
      </c>
      <c r="AC62" s="353">
        <v>4.9000000000000004</v>
      </c>
      <c r="AD62" s="353">
        <v>4.8899999999999997</v>
      </c>
      <c r="AE62" s="353">
        <v>4.87</v>
      </c>
      <c r="AF62" s="353">
        <v>4.8499999999999996</v>
      </c>
      <c r="AG62" s="353">
        <v>4.84</v>
      </c>
      <c r="AH62" s="353">
        <v>4.82</v>
      </c>
      <c r="AI62" s="353">
        <v>4.8099999999999996</v>
      </c>
      <c r="AJ62" s="353">
        <v>4.8</v>
      </c>
      <c r="AK62" s="353">
        <v>4.78</v>
      </c>
      <c r="AL62" s="353">
        <v>4.7699999999999996</v>
      </c>
      <c r="AM62" s="353">
        <v>4.76</v>
      </c>
      <c r="AN62" s="353">
        <v>4.75</v>
      </c>
      <c r="AO62" s="353">
        <v>4.74</v>
      </c>
      <c r="AP62" s="353">
        <v>4.7300000000000004</v>
      </c>
      <c r="AQ62" s="353">
        <v>4.7300000000000004</v>
      </c>
      <c r="AR62" s="353">
        <v>4.72</v>
      </c>
      <c r="AS62" s="353">
        <v>4.71</v>
      </c>
      <c r="AT62" s="353">
        <v>4.71</v>
      </c>
      <c r="AU62" s="353">
        <v>4.7</v>
      </c>
      <c r="AV62" s="353">
        <v>4.7</v>
      </c>
      <c r="AW62" s="353">
        <v>4.6900000000000004</v>
      </c>
      <c r="AX62" s="353">
        <v>4.6900000000000004</v>
      </c>
      <c r="AY62" s="353">
        <v>4.68</v>
      </c>
      <c r="AZ62" s="150">
        <v>1.7500000000000002E-2</v>
      </c>
      <c r="BA62" s="104">
        <f t="shared" si="0"/>
        <v>1.7500000000000002</v>
      </c>
    </row>
    <row r="63" spans="1:53">
      <c r="A63" s="107">
        <v>41455</v>
      </c>
      <c r="B63" s="353">
        <v>3.53</v>
      </c>
      <c r="C63" s="353">
        <v>3.62</v>
      </c>
      <c r="D63" s="353">
        <v>3.77</v>
      </c>
      <c r="E63" s="353">
        <v>3.92</v>
      </c>
      <c r="F63" s="353">
        <v>4.07</v>
      </c>
      <c r="G63" s="353">
        <v>4.21</v>
      </c>
      <c r="H63" s="353">
        <v>4.33</v>
      </c>
      <c r="I63" s="353">
        <v>4.45</v>
      </c>
      <c r="J63" s="353">
        <v>4.54</v>
      </c>
      <c r="K63" s="353">
        <v>4.63</v>
      </c>
      <c r="L63" s="353">
        <v>4.72</v>
      </c>
      <c r="M63" s="353">
        <v>4.79</v>
      </c>
      <c r="N63" s="353">
        <v>4.8499999999999996</v>
      </c>
      <c r="O63" s="353">
        <v>4.9000000000000004</v>
      </c>
      <c r="P63" s="442">
        <v>4.9400000000000004</v>
      </c>
      <c r="Q63" s="353">
        <v>4.96</v>
      </c>
      <c r="R63" s="353">
        <v>4.9800000000000004</v>
      </c>
      <c r="S63" s="353">
        <v>4.99</v>
      </c>
      <c r="T63" s="353">
        <v>5</v>
      </c>
      <c r="U63" s="353">
        <v>5.01</v>
      </c>
      <c r="V63" s="353">
        <v>5</v>
      </c>
      <c r="W63" s="353">
        <v>4.9800000000000004</v>
      </c>
      <c r="X63" s="353">
        <v>4.97</v>
      </c>
      <c r="Y63" s="353">
        <v>4.96</v>
      </c>
      <c r="Z63" s="353">
        <v>4.95</v>
      </c>
      <c r="AA63" s="353">
        <v>4.93</v>
      </c>
      <c r="AB63" s="353">
        <v>4.91</v>
      </c>
      <c r="AC63" s="353">
        <v>4.8899999999999997</v>
      </c>
      <c r="AD63" s="353">
        <v>4.87</v>
      </c>
      <c r="AE63" s="353">
        <v>4.8499999999999996</v>
      </c>
      <c r="AF63" s="353">
        <v>4.84</v>
      </c>
      <c r="AG63" s="353">
        <v>4.82</v>
      </c>
      <c r="AH63" s="353">
        <v>4.8099999999999996</v>
      </c>
      <c r="AI63" s="353">
        <v>4.79</v>
      </c>
      <c r="AJ63" s="353">
        <v>4.78</v>
      </c>
      <c r="AK63" s="353">
        <v>4.7699999999999996</v>
      </c>
      <c r="AL63" s="353">
        <v>4.76</v>
      </c>
      <c r="AM63" s="353">
        <v>4.74</v>
      </c>
      <c r="AN63" s="353">
        <v>4.7300000000000004</v>
      </c>
      <c r="AO63" s="353">
        <v>4.72</v>
      </c>
      <c r="AP63" s="353">
        <v>4.72</v>
      </c>
      <c r="AQ63" s="353">
        <v>4.71</v>
      </c>
      <c r="AR63" s="353">
        <v>4.7</v>
      </c>
      <c r="AS63" s="353">
        <v>4.7</v>
      </c>
      <c r="AT63" s="353">
        <v>4.6900000000000004</v>
      </c>
      <c r="AU63" s="353">
        <v>4.6900000000000004</v>
      </c>
      <c r="AV63" s="353">
        <v>4.68</v>
      </c>
      <c r="AW63" s="353">
        <v>4.68</v>
      </c>
      <c r="AX63" s="353">
        <v>4.67</v>
      </c>
      <c r="AY63" s="353">
        <v>4.67</v>
      </c>
      <c r="AZ63" s="150">
        <v>1.7500000000000002E-2</v>
      </c>
      <c r="BA63" s="104">
        <f t="shared" si="0"/>
        <v>1.7500000000000002</v>
      </c>
    </row>
    <row r="64" spans="1:53">
      <c r="A64" s="107">
        <v>41486</v>
      </c>
      <c r="B64" s="353">
        <v>3.5</v>
      </c>
      <c r="C64" s="353">
        <v>3.59</v>
      </c>
      <c r="D64" s="353">
        <v>3.74</v>
      </c>
      <c r="E64" s="353">
        <v>3.89</v>
      </c>
      <c r="F64" s="353">
        <v>4.05</v>
      </c>
      <c r="G64" s="353">
        <v>4.1900000000000004</v>
      </c>
      <c r="H64" s="353">
        <v>4.3099999999999996</v>
      </c>
      <c r="I64" s="353">
        <v>4.42</v>
      </c>
      <c r="J64" s="353">
        <v>4.5199999999999996</v>
      </c>
      <c r="K64" s="353">
        <v>4.6100000000000003</v>
      </c>
      <c r="L64" s="353">
        <v>4.7</v>
      </c>
      <c r="M64" s="353">
        <v>4.7699999999999996</v>
      </c>
      <c r="N64" s="353">
        <v>4.83</v>
      </c>
      <c r="O64" s="353">
        <v>4.88</v>
      </c>
      <c r="P64" s="442">
        <v>4.93</v>
      </c>
      <c r="Q64" s="353">
        <v>4.9400000000000004</v>
      </c>
      <c r="R64" s="353">
        <v>4.96</v>
      </c>
      <c r="S64" s="353">
        <v>4.97</v>
      </c>
      <c r="T64" s="353">
        <v>4.99</v>
      </c>
      <c r="U64" s="353">
        <v>5</v>
      </c>
      <c r="V64" s="353">
        <v>4.9800000000000004</v>
      </c>
      <c r="W64" s="353">
        <v>4.97</v>
      </c>
      <c r="X64" s="353">
        <v>4.96</v>
      </c>
      <c r="Y64" s="353">
        <v>4.9400000000000004</v>
      </c>
      <c r="Z64" s="353">
        <v>4.93</v>
      </c>
      <c r="AA64" s="353">
        <v>4.91</v>
      </c>
      <c r="AB64" s="353">
        <v>4.8899999999999997</v>
      </c>
      <c r="AC64" s="353">
        <v>4.87</v>
      </c>
      <c r="AD64" s="353">
        <v>4.8499999999999996</v>
      </c>
      <c r="AE64" s="353">
        <v>4.84</v>
      </c>
      <c r="AF64" s="353">
        <v>4.82</v>
      </c>
      <c r="AG64" s="353">
        <v>4.8099999999999996</v>
      </c>
      <c r="AH64" s="353">
        <v>4.79</v>
      </c>
      <c r="AI64" s="353">
        <v>4.78</v>
      </c>
      <c r="AJ64" s="353">
        <v>4.76</v>
      </c>
      <c r="AK64" s="353">
        <v>4.75</v>
      </c>
      <c r="AL64" s="353">
        <v>4.74</v>
      </c>
      <c r="AM64" s="353">
        <v>4.7300000000000004</v>
      </c>
      <c r="AN64" s="353">
        <v>4.72</v>
      </c>
      <c r="AO64" s="353">
        <v>4.71</v>
      </c>
      <c r="AP64" s="353">
        <v>4.7</v>
      </c>
      <c r="AQ64" s="353">
        <v>4.7</v>
      </c>
      <c r="AR64" s="353">
        <v>4.6900000000000004</v>
      </c>
      <c r="AS64" s="353">
        <v>4.68</v>
      </c>
      <c r="AT64" s="353">
        <v>4.68</v>
      </c>
      <c r="AU64" s="353">
        <v>4.67</v>
      </c>
      <c r="AV64" s="353">
        <v>4.67</v>
      </c>
      <c r="AW64" s="353">
        <v>4.66</v>
      </c>
      <c r="AX64" s="353">
        <v>4.66</v>
      </c>
      <c r="AY64" s="353">
        <v>4.6500000000000004</v>
      </c>
      <c r="AZ64" s="150">
        <v>1.7500000000000002E-2</v>
      </c>
      <c r="BA64" s="104">
        <f t="shared" si="0"/>
        <v>1.7500000000000002</v>
      </c>
    </row>
    <row r="65" spans="1:60">
      <c r="A65" s="107">
        <v>41517</v>
      </c>
      <c r="B65" s="353">
        <v>3.47</v>
      </c>
      <c r="C65" s="353">
        <v>3.56</v>
      </c>
      <c r="D65" s="353">
        <v>3.71</v>
      </c>
      <c r="E65" s="353">
        <v>3.87</v>
      </c>
      <c r="F65" s="353">
        <v>4.0199999999999996</v>
      </c>
      <c r="G65" s="353">
        <v>4.17</v>
      </c>
      <c r="H65" s="353">
        <v>4.29</v>
      </c>
      <c r="I65" s="353">
        <v>4.41</v>
      </c>
      <c r="J65" s="353">
        <v>4.51</v>
      </c>
      <c r="K65" s="353">
        <v>4.5999999999999996</v>
      </c>
      <c r="L65" s="353">
        <v>4.68</v>
      </c>
      <c r="M65" s="353">
        <v>4.76</v>
      </c>
      <c r="N65" s="353">
        <v>4.82</v>
      </c>
      <c r="O65" s="353">
        <v>4.87</v>
      </c>
      <c r="P65" s="442">
        <v>4.92</v>
      </c>
      <c r="Q65" s="353">
        <v>4.93</v>
      </c>
      <c r="R65" s="353">
        <v>4.95</v>
      </c>
      <c r="S65" s="353">
        <v>4.96</v>
      </c>
      <c r="T65" s="353">
        <v>4.97</v>
      </c>
      <c r="U65" s="353">
        <v>4.99</v>
      </c>
      <c r="V65" s="353">
        <v>4.97</v>
      </c>
      <c r="W65" s="353">
        <v>4.96</v>
      </c>
      <c r="X65" s="353">
        <v>4.9400000000000004</v>
      </c>
      <c r="Y65" s="353">
        <v>4.93</v>
      </c>
      <c r="Z65" s="353">
        <v>4.92</v>
      </c>
      <c r="AA65" s="353">
        <v>4.9000000000000004</v>
      </c>
      <c r="AB65" s="353">
        <v>4.88</v>
      </c>
      <c r="AC65" s="353">
        <v>4.8600000000000003</v>
      </c>
      <c r="AD65" s="353">
        <v>4.84</v>
      </c>
      <c r="AE65" s="353">
        <v>4.83</v>
      </c>
      <c r="AF65" s="353">
        <v>4.8099999999999996</v>
      </c>
      <c r="AG65" s="353">
        <v>4.79</v>
      </c>
      <c r="AH65" s="353">
        <v>4.78</v>
      </c>
      <c r="AI65" s="353">
        <v>4.7699999999999996</v>
      </c>
      <c r="AJ65" s="353">
        <v>4.75</v>
      </c>
      <c r="AK65" s="353">
        <v>4.74</v>
      </c>
      <c r="AL65" s="353">
        <v>4.7300000000000004</v>
      </c>
      <c r="AM65" s="353">
        <v>4.72</v>
      </c>
      <c r="AN65" s="353">
        <v>4.71</v>
      </c>
      <c r="AO65" s="353">
        <v>4.7</v>
      </c>
      <c r="AP65" s="353">
        <v>4.6900000000000004</v>
      </c>
      <c r="AQ65" s="353">
        <v>4.68</v>
      </c>
      <c r="AR65" s="353">
        <v>4.68</v>
      </c>
      <c r="AS65" s="353">
        <v>4.67</v>
      </c>
      <c r="AT65" s="353">
        <v>4.67</v>
      </c>
      <c r="AU65" s="353">
        <v>4.66</v>
      </c>
      <c r="AV65" s="353">
        <v>4.66</v>
      </c>
      <c r="AW65" s="353">
        <v>4.6500000000000004</v>
      </c>
      <c r="AX65" s="353">
        <v>4.6500000000000004</v>
      </c>
      <c r="AY65" s="353">
        <v>4.6399999999999997</v>
      </c>
      <c r="AZ65" s="150">
        <v>1.7500000000000002E-2</v>
      </c>
      <c r="BA65" s="104">
        <f t="shared" si="0"/>
        <v>1.7500000000000002</v>
      </c>
    </row>
    <row r="66" spans="1:60">
      <c r="A66" s="107">
        <v>41547</v>
      </c>
      <c r="B66" s="353">
        <v>3.44</v>
      </c>
      <c r="C66" s="353">
        <v>3.53</v>
      </c>
      <c r="D66" s="353">
        <v>3.68</v>
      </c>
      <c r="E66" s="353">
        <v>3.84</v>
      </c>
      <c r="F66" s="353">
        <v>4</v>
      </c>
      <c r="G66" s="353">
        <v>4.1500000000000004</v>
      </c>
      <c r="H66" s="353">
        <v>4.28</v>
      </c>
      <c r="I66" s="353">
        <v>4.3899999999999997</v>
      </c>
      <c r="J66" s="353">
        <v>4.49</v>
      </c>
      <c r="K66" s="353">
        <v>4.58</v>
      </c>
      <c r="L66" s="353">
        <v>4.67</v>
      </c>
      <c r="M66" s="353">
        <v>4.74</v>
      </c>
      <c r="N66" s="353">
        <v>4.8099999999999996</v>
      </c>
      <c r="O66" s="353">
        <v>4.8600000000000003</v>
      </c>
      <c r="P66" s="442">
        <v>4.91</v>
      </c>
      <c r="Q66" s="353">
        <v>4.92</v>
      </c>
      <c r="R66" s="353">
        <v>4.9400000000000004</v>
      </c>
      <c r="S66" s="353">
        <v>4.95</v>
      </c>
      <c r="T66" s="353">
        <v>4.97</v>
      </c>
      <c r="U66" s="353">
        <v>4.9800000000000004</v>
      </c>
      <c r="V66" s="353">
        <v>4.96</v>
      </c>
      <c r="W66" s="353">
        <v>4.95</v>
      </c>
      <c r="X66" s="353">
        <v>4.93</v>
      </c>
      <c r="Y66" s="353">
        <v>4.92</v>
      </c>
      <c r="Z66" s="353">
        <v>4.91</v>
      </c>
      <c r="AA66" s="353">
        <v>4.8899999999999997</v>
      </c>
      <c r="AB66" s="353">
        <v>4.87</v>
      </c>
      <c r="AC66" s="353">
        <v>4.8499999999999996</v>
      </c>
      <c r="AD66" s="353">
        <v>4.83</v>
      </c>
      <c r="AE66" s="353">
        <v>4.82</v>
      </c>
      <c r="AF66" s="353">
        <v>4.8</v>
      </c>
      <c r="AG66" s="353">
        <v>4.78</v>
      </c>
      <c r="AH66" s="353">
        <v>4.7699999999999996</v>
      </c>
      <c r="AI66" s="353">
        <v>4.76</v>
      </c>
      <c r="AJ66" s="353">
        <v>4.74</v>
      </c>
      <c r="AK66" s="353">
        <v>4.7300000000000004</v>
      </c>
      <c r="AL66" s="353">
        <v>4.72</v>
      </c>
      <c r="AM66" s="353">
        <v>4.71</v>
      </c>
      <c r="AN66" s="353">
        <v>4.7</v>
      </c>
      <c r="AO66" s="353">
        <v>4.6900000000000004</v>
      </c>
      <c r="AP66" s="353">
        <v>4.68</v>
      </c>
      <c r="AQ66" s="353">
        <v>4.68</v>
      </c>
      <c r="AR66" s="353">
        <v>4.67</v>
      </c>
      <c r="AS66" s="353">
        <v>4.67</v>
      </c>
      <c r="AT66" s="353">
        <v>4.66</v>
      </c>
      <c r="AU66" s="353">
        <v>4.66</v>
      </c>
      <c r="AV66" s="353">
        <v>4.6500000000000004</v>
      </c>
      <c r="AW66" s="353">
        <v>4.6500000000000004</v>
      </c>
      <c r="AX66" s="353">
        <v>4.6399999999999997</v>
      </c>
      <c r="AY66" s="353">
        <v>4.6399999999999997</v>
      </c>
      <c r="AZ66" s="150">
        <v>1.7500000000000002E-2</v>
      </c>
      <c r="BA66" s="104">
        <f t="shared" si="0"/>
        <v>1.7500000000000002</v>
      </c>
      <c r="BE66" s="2273" t="s">
        <v>192</v>
      </c>
      <c r="BF66" s="2273"/>
      <c r="BG66" s="2273" t="s">
        <v>193</v>
      </c>
      <c r="BH66" s="2273"/>
    </row>
    <row r="67" spans="1:60">
      <c r="A67" s="107">
        <v>41578</v>
      </c>
      <c r="B67" s="353">
        <v>3.41</v>
      </c>
      <c r="C67" s="353">
        <v>3.5</v>
      </c>
      <c r="D67" s="353">
        <v>3.65</v>
      </c>
      <c r="E67" s="353">
        <v>3.82</v>
      </c>
      <c r="F67" s="353">
        <v>3.98</v>
      </c>
      <c r="G67" s="353">
        <v>4.12</v>
      </c>
      <c r="H67" s="353">
        <v>4.26</v>
      </c>
      <c r="I67" s="353">
        <v>4.37</v>
      </c>
      <c r="J67" s="353">
        <v>4.4800000000000004</v>
      </c>
      <c r="K67" s="353">
        <v>4.57</v>
      </c>
      <c r="L67" s="353">
        <v>4.66</v>
      </c>
      <c r="M67" s="353">
        <v>4.7300000000000004</v>
      </c>
      <c r="N67" s="353">
        <v>4.79</v>
      </c>
      <c r="O67" s="353">
        <v>4.8499999999999996</v>
      </c>
      <c r="P67" s="442">
        <v>4.9000000000000004</v>
      </c>
      <c r="Q67" s="353">
        <v>4.91</v>
      </c>
      <c r="R67" s="353">
        <v>4.93</v>
      </c>
      <c r="S67" s="353">
        <v>4.9400000000000004</v>
      </c>
      <c r="T67" s="353">
        <v>4.96</v>
      </c>
      <c r="U67" s="353">
        <v>4.97</v>
      </c>
      <c r="V67" s="353">
        <v>4.95</v>
      </c>
      <c r="W67" s="353">
        <v>4.9400000000000004</v>
      </c>
      <c r="X67" s="353">
        <v>4.93</v>
      </c>
      <c r="Y67" s="353">
        <v>4.91</v>
      </c>
      <c r="Z67" s="353">
        <v>4.9000000000000004</v>
      </c>
      <c r="AA67" s="353">
        <v>4.88</v>
      </c>
      <c r="AB67" s="353">
        <v>4.8600000000000003</v>
      </c>
      <c r="AC67" s="353">
        <v>4.84</v>
      </c>
      <c r="AD67" s="353">
        <v>4.83</v>
      </c>
      <c r="AE67" s="353">
        <v>4.8099999999999996</v>
      </c>
      <c r="AF67" s="353">
        <v>4.79</v>
      </c>
      <c r="AG67" s="353">
        <v>4.78</v>
      </c>
      <c r="AH67" s="353">
        <v>4.76</v>
      </c>
      <c r="AI67" s="353">
        <v>4.75</v>
      </c>
      <c r="AJ67" s="353">
        <v>4.74</v>
      </c>
      <c r="AK67" s="353">
        <v>4.72</v>
      </c>
      <c r="AL67" s="353">
        <v>4.71</v>
      </c>
      <c r="AM67" s="353">
        <v>4.7</v>
      </c>
      <c r="AN67" s="353">
        <v>4.6900000000000004</v>
      </c>
      <c r="AO67" s="353">
        <v>4.68</v>
      </c>
      <c r="AP67" s="353">
        <v>4.68</v>
      </c>
      <c r="AQ67" s="353">
        <v>4.67</v>
      </c>
      <c r="AR67" s="353">
        <v>4.66</v>
      </c>
      <c r="AS67" s="353">
        <v>4.66</v>
      </c>
      <c r="AT67" s="353">
        <v>4.6500000000000004</v>
      </c>
      <c r="AU67" s="353">
        <v>4.6500000000000004</v>
      </c>
      <c r="AV67" s="353">
        <v>4.6500000000000004</v>
      </c>
      <c r="AW67" s="353">
        <v>4.6399999999999997</v>
      </c>
      <c r="AX67" s="353">
        <v>4.6399999999999997</v>
      </c>
      <c r="AY67" s="353">
        <v>4.63</v>
      </c>
      <c r="AZ67" s="150">
        <v>1.7500000000000002E-2</v>
      </c>
      <c r="BA67" s="104">
        <f t="shared" si="0"/>
        <v>1.7500000000000002</v>
      </c>
      <c r="BD67" t="s">
        <v>840</v>
      </c>
      <c r="BE67" s="4" t="s">
        <v>841</v>
      </c>
      <c r="BF67" s="4" t="s">
        <v>126</v>
      </c>
      <c r="BG67" s="4" t="s">
        <v>841</v>
      </c>
      <c r="BH67" s="4" t="s">
        <v>126</v>
      </c>
    </row>
    <row r="68" spans="1:60">
      <c r="A68" s="107">
        <v>41608</v>
      </c>
      <c r="B68" s="353">
        <v>3.37</v>
      </c>
      <c r="C68" s="353">
        <v>3.47</v>
      </c>
      <c r="D68" s="353">
        <v>3.62</v>
      </c>
      <c r="E68" s="353">
        <v>3.79</v>
      </c>
      <c r="F68" s="353">
        <v>3.95</v>
      </c>
      <c r="G68" s="353">
        <v>4.0999999999999996</v>
      </c>
      <c r="H68" s="353">
        <v>4.24</v>
      </c>
      <c r="I68" s="353">
        <v>4.3600000000000003</v>
      </c>
      <c r="J68" s="353">
        <v>4.46</v>
      </c>
      <c r="K68" s="353">
        <v>4.5599999999999996</v>
      </c>
      <c r="L68" s="353">
        <v>4.6500000000000004</v>
      </c>
      <c r="M68" s="353">
        <v>4.72</v>
      </c>
      <c r="N68" s="353">
        <v>4.79</v>
      </c>
      <c r="O68" s="353">
        <v>4.84</v>
      </c>
      <c r="P68" s="442">
        <v>4.8899999999999997</v>
      </c>
      <c r="Q68" s="353">
        <v>4.91</v>
      </c>
      <c r="R68" s="353">
        <v>4.92</v>
      </c>
      <c r="S68" s="353">
        <v>4.9400000000000004</v>
      </c>
      <c r="T68" s="353">
        <v>4.95</v>
      </c>
      <c r="U68" s="353">
        <v>4.96</v>
      </c>
      <c r="V68" s="353">
        <v>4.95</v>
      </c>
      <c r="W68" s="353">
        <v>4.93</v>
      </c>
      <c r="X68" s="353">
        <v>4.92</v>
      </c>
      <c r="Y68" s="353">
        <v>4.91</v>
      </c>
      <c r="Z68" s="353">
        <v>4.9000000000000004</v>
      </c>
      <c r="AA68" s="353">
        <v>4.88</v>
      </c>
      <c r="AB68" s="353">
        <v>4.8499999999999996</v>
      </c>
      <c r="AC68" s="353">
        <v>4.84</v>
      </c>
      <c r="AD68" s="353">
        <v>4.82</v>
      </c>
      <c r="AE68" s="353">
        <v>4.8</v>
      </c>
      <c r="AF68" s="353">
        <v>4.79</v>
      </c>
      <c r="AG68" s="353">
        <v>4.7699999999999996</v>
      </c>
      <c r="AH68" s="353">
        <v>4.76</v>
      </c>
      <c r="AI68" s="353">
        <v>4.74</v>
      </c>
      <c r="AJ68" s="353">
        <v>4.7300000000000004</v>
      </c>
      <c r="AK68" s="353">
        <v>4.72</v>
      </c>
      <c r="AL68" s="353">
        <v>4.71</v>
      </c>
      <c r="AM68" s="353">
        <v>4.7</v>
      </c>
      <c r="AN68" s="353">
        <v>4.6900000000000004</v>
      </c>
      <c r="AO68" s="353">
        <v>4.68</v>
      </c>
      <c r="AP68" s="353">
        <v>4.67</v>
      </c>
      <c r="AQ68" s="353">
        <v>4.66</v>
      </c>
      <c r="AR68" s="353">
        <v>4.66</v>
      </c>
      <c r="AS68" s="353">
        <v>4.6500000000000004</v>
      </c>
      <c r="AT68" s="353">
        <v>4.6500000000000004</v>
      </c>
      <c r="AU68" s="353">
        <v>4.6399999999999997</v>
      </c>
      <c r="AV68" s="353">
        <v>4.6399999999999997</v>
      </c>
      <c r="AW68" s="353">
        <v>4.6399999999999997</v>
      </c>
      <c r="AX68" s="353">
        <v>4.63</v>
      </c>
      <c r="AY68" s="353">
        <v>4.63</v>
      </c>
      <c r="AZ68" s="150">
        <v>1.7500000000000002E-2</v>
      </c>
      <c r="BA68" s="104">
        <f t="shared" si="0"/>
        <v>1.7500000000000002</v>
      </c>
      <c r="BD68" s="683">
        <v>42005</v>
      </c>
      <c r="BE68">
        <v>20818</v>
      </c>
      <c r="BF68">
        <v>12675</v>
      </c>
      <c r="BG68">
        <v>16565</v>
      </c>
      <c r="BH68">
        <v>7890</v>
      </c>
    </row>
    <row r="69" spans="1:60">
      <c r="A69" s="107">
        <v>41639</v>
      </c>
      <c r="B69" s="353">
        <v>3.34</v>
      </c>
      <c r="C69" s="353">
        <v>3.43</v>
      </c>
      <c r="D69" s="353">
        <v>3.59</v>
      </c>
      <c r="E69" s="353">
        <v>3.76</v>
      </c>
      <c r="F69" s="353">
        <v>3.93</v>
      </c>
      <c r="G69" s="353">
        <v>4.08</v>
      </c>
      <c r="H69" s="353">
        <v>4.22</v>
      </c>
      <c r="I69" s="353">
        <v>4.34</v>
      </c>
      <c r="J69" s="353">
        <v>4.45</v>
      </c>
      <c r="K69" s="353">
        <v>4.54</v>
      </c>
      <c r="L69" s="353">
        <v>4.63</v>
      </c>
      <c r="M69" s="353">
        <v>4.71</v>
      </c>
      <c r="N69" s="353">
        <v>4.7699999999999996</v>
      </c>
      <c r="O69" s="353">
        <v>4.83</v>
      </c>
      <c r="P69" s="442">
        <v>4.88</v>
      </c>
      <c r="Q69" s="353">
        <v>4.9000000000000004</v>
      </c>
      <c r="R69" s="353">
        <v>4.91</v>
      </c>
      <c r="S69" s="353">
        <v>4.93</v>
      </c>
      <c r="T69" s="353">
        <v>4.9400000000000004</v>
      </c>
      <c r="U69" s="353">
        <v>4.95</v>
      </c>
      <c r="V69" s="353">
        <v>4.9400000000000004</v>
      </c>
      <c r="W69" s="353">
        <v>4.92</v>
      </c>
      <c r="X69" s="353">
        <v>4.91</v>
      </c>
      <c r="Y69" s="353">
        <v>4.9000000000000004</v>
      </c>
      <c r="Z69" s="353">
        <v>4.8899999999999997</v>
      </c>
      <c r="AA69" s="353">
        <v>4.87</v>
      </c>
      <c r="AB69" s="353">
        <v>4.8499999999999996</v>
      </c>
      <c r="AC69" s="353">
        <v>4.83</v>
      </c>
      <c r="AD69" s="353">
        <v>4.8099999999999996</v>
      </c>
      <c r="AE69" s="353">
        <v>4.79</v>
      </c>
      <c r="AF69" s="353">
        <v>4.78</v>
      </c>
      <c r="AG69" s="353">
        <v>4.76</v>
      </c>
      <c r="AH69" s="353">
        <v>4.75</v>
      </c>
      <c r="AI69" s="353">
        <v>4.74</v>
      </c>
      <c r="AJ69" s="353">
        <v>4.72</v>
      </c>
      <c r="AK69" s="353">
        <v>4.71</v>
      </c>
      <c r="AL69" s="353">
        <v>4.7</v>
      </c>
      <c r="AM69" s="353">
        <v>4.6900000000000004</v>
      </c>
      <c r="AN69" s="353">
        <v>4.68</v>
      </c>
      <c r="AO69" s="353">
        <v>4.67</v>
      </c>
      <c r="AP69" s="353">
        <v>4.66</v>
      </c>
      <c r="AQ69" s="353">
        <v>4.66</v>
      </c>
      <c r="AR69" s="353">
        <v>4.6500000000000004</v>
      </c>
      <c r="AS69" s="353">
        <v>4.6500000000000004</v>
      </c>
      <c r="AT69" s="353">
        <v>4.6399999999999997</v>
      </c>
      <c r="AU69" s="353">
        <v>4.6399999999999997</v>
      </c>
      <c r="AV69" s="353">
        <v>4.63</v>
      </c>
      <c r="AW69" s="353">
        <v>4.63</v>
      </c>
      <c r="AX69" s="353">
        <v>4.63</v>
      </c>
      <c r="AY69" s="353">
        <v>4.62</v>
      </c>
      <c r="AZ69" s="150">
        <v>1.7500000000000002E-2</v>
      </c>
      <c r="BA69" s="104">
        <f t="shared" si="0"/>
        <v>1.7500000000000002</v>
      </c>
      <c r="BD69" s="683">
        <v>42370</v>
      </c>
      <c r="BE69">
        <v>24437</v>
      </c>
      <c r="BF69">
        <v>17416</v>
      </c>
      <c r="BG69">
        <v>22082</v>
      </c>
      <c r="BH69">
        <v>14118</v>
      </c>
    </row>
    <row r="70" spans="1:60">
      <c r="A70" s="107">
        <v>41670</v>
      </c>
      <c r="B70" s="353">
        <v>3.3</v>
      </c>
      <c r="C70" s="353">
        <v>3.4</v>
      </c>
      <c r="D70" s="353">
        <v>3.56</v>
      </c>
      <c r="E70" s="353">
        <v>3.73</v>
      </c>
      <c r="F70" s="353">
        <v>3.9</v>
      </c>
      <c r="G70" s="353">
        <v>4.05</v>
      </c>
      <c r="H70" s="353">
        <v>4.1900000000000004</v>
      </c>
      <c r="I70" s="353">
        <v>4.32</v>
      </c>
      <c r="J70" s="353">
        <v>4.42</v>
      </c>
      <c r="K70" s="353">
        <v>4.5199999999999996</v>
      </c>
      <c r="L70" s="353">
        <v>4.62</v>
      </c>
      <c r="M70" s="353">
        <v>4.6900000000000004</v>
      </c>
      <c r="N70" s="353">
        <v>4.76</v>
      </c>
      <c r="O70" s="353">
        <v>4.8099999999999996</v>
      </c>
      <c r="P70" s="442">
        <v>4.8600000000000003</v>
      </c>
      <c r="Q70" s="353">
        <v>4.88</v>
      </c>
      <c r="R70" s="353">
        <v>4.9000000000000004</v>
      </c>
      <c r="S70" s="353">
        <v>4.91</v>
      </c>
      <c r="T70" s="353">
        <v>4.93</v>
      </c>
      <c r="U70" s="353">
        <v>4.9400000000000004</v>
      </c>
      <c r="V70" s="353">
        <v>4.92</v>
      </c>
      <c r="W70" s="353">
        <v>4.91</v>
      </c>
      <c r="X70" s="353">
        <v>4.9000000000000004</v>
      </c>
      <c r="Y70" s="353">
        <v>4.8899999999999997</v>
      </c>
      <c r="Z70" s="353">
        <v>4.88</v>
      </c>
      <c r="AA70" s="353">
        <v>4.8499999999999996</v>
      </c>
      <c r="AB70" s="353">
        <v>4.83</v>
      </c>
      <c r="AC70" s="353">
        <v>4.82</v>
      </c>
      <c r="AD70" s="353">
        <v>4.8</v>
      </c>
      <c r="AE70" s="353">
        <v>4.78</v>
      </c>
      <c r="AF70" s="353">
        <v>4.7699999999999996</v>
      </c>
      <c r="AG70" s="353">
        <v>4.75</v>
      </c>
      <c r="AH70" s="353">
        <v>4.74</v>
      </c>
      <c r="AI70" s="353">
        <v>4.72</v>
      </c>
      <c r="AJ70" s="353">
        <v>4.71</v>
      </c>
      <c r="AK70" s="353">
        <v>4.7</v>
      </c>
      <c r="AL70" s="353">
        <v>4.6900000000000004</v>
      </c>
      <c r="AM70" s="353">
        <v>4.68</v>
      </c>
      <c r="AN70" s="353">
        <v>4.67</v>
      </c>
      <c r="AO70" s="353">
        <v>4.66</v>
      </c>
      <c r="AP70" s="353">
        <v>4.6500000000000004</v>
      </c>
      <c r="AQ70" s="353">
        <v>4.6500000000000004</v>
      </c>
      <c r="AR70" s="353">
        <v>4.6399999999999997</v>
      </c>
      <c r="AS70" s="353">
        <v>4.6399999999999997</v>
      </c>
      <c r="AT70" s="353">
        <v>4.63</v>
      </c>
      <c r="AU70" s="353">
        <v>4.63</v>
      </c>
      <c r="AV70" s="353">
        <v>4.62</v>
      </c>
      <c r="AW70" s="353">
        <v>4.62</v>
      </c>
      <c r="AX70" s="353">
        <v>4.62</v>
      </c>
      <c r="AY70" s="353">
        <v>4.6100000000000003</v>
      </c>
      <c r="AZ70" s="150">
        <v>1.7500000000000002E-2</v>
      </c>
      <c r="BA70" s="104">
        <f t="shared" si="0"/>
        <v>1.7500000000000002</v>
      </c>
      <c r="BD70" s="683">
        <v>42736</v>
      </c>
      <c r="BE70">
        <v>28828</v>
      </c>
      <c r="BF70">
        <v>25010</v>
      </c>
      <c r="BG70">
        <v>23880</v>
      </c>
      <c r="BH70">
        <v>16935</v>
      </c>
    </row>
    <row r="71" spans="1:60">
      <c r="A71" s="107">
        <v>41698</v>
      </c>
      <c r="B71" s="353">
        <v>3.27</v>
      </c>
      <c r="C71" s="353">
        <v>3.36</v>
      </c>
      <c r="D71" s="353">
        <v>3.52</v>
      </c>
      <c r="E71" s="353">
        <v>3.7</v>
      </c>
      <c r="F71" s="353">
        <v>3.87</v>
      </c>
      <c r="G71" s="353">
        <v>4.03</v>
      </c>
      <c r="H71" s="353">
        <v>4.17</v>
      </c>
      <c r="I71" s="353">
        <v>4.29</v>
      </c>
      <c r="J71" s="353">
        <v>4.4000000000000004</v>
      </c>
      <c r="K71" s="353">
        <v>4.5</v>
      </c>
      <c r="L71" s="353">
        <v>4.5999999999999996</v>
      </c>
      <c r="M71" s="353">
        <v>4.68</v>
      </c>
      <c r="N71" s="353">
        <v>4.74</v>
      </c>
      <c r="O71" s="353">
        <v>4.8</v>
      </c>
      <c r="P71" s="442">
        <v>4.8499999999999996</v>
      </c>
      <c r="Q71" s="353">
        <v>4.87</v>
      </c>
      <c r="R71" s="353">
        <v>4.8899999999999997</v>
      </c>
      <c r="S71" s="353">
        <v>4.9000000000000004</v>
      </c>
      <c r="T71" s="353">
        <v>4.91</v>
      </c>
      <c r="U71" s="353">
        <v>4.93</v>
      </c>
      <c r="V71" s="353">
        <v>4.91</v>
      </c>
      <c r="W71" s="353">
        <v>4.9000000000000004</v>
      </c>
      <c r="X71" s="353">
        <v>4.8899999999999997</v>
      </c>
      <c r="Y71" s="353">
        <v>4.87</v>
      </c>
      <c r="Z71" s="353">
        <v>4.8600000000000003</v>
      </c>
      <c r="AA71" s="353">
        <v>4.84</v>
      </c>
      <c r="AB71" s="353">
        <v>4.82</v>
      </c>
      <c r="AC71" s="353">
        <v>4.8</v>
      </c>
      <c r="AD71" s="353">
        <v>4.79</v>
      </c>
      <c r="AE71" s="353">
        <v>4.7699999999999996</v>
      </c>
      <c r="AF71" s="353">
        <v>4.75</v>
      </c>
      <c r="AG71" s="353">
        <v>4.74</v>
      </c>
      <c r="AH71" s="353">
        <v>4.72</v>
      </c>
      <c r="AI71" s="353">
        <v>4.71</v>
      </c>
      <c r="AJ71" s="353">
        <v>4.7</v>
      </c>
      <c r="AK71" s="353">
        <v>4.6900000000000004</v>
      </c>
      <c r="AL71" s="353">
        <v>4.68</v>
      </c>
      <c r="AM71" s="353">
        <v>4.67</v>
      </c>
      <c r="AN71" s="353">
        <v>4.66</v>
      </c>
      <c r="AO71" s="353">
        <v>4.6500000000000004</v>
      </c>
      <c r="AP71" s="353">
        <v>4.6399999999999997</v>
      </c>
      <c r="AQ71" s="353">
        <v>4.6399999999999997</v>
      </c>
      <c r="AR71" s="353">
        <v>4.63</v>
      </c>
      <c r="AS71" s="353">
        <v>4.63</v>
      </c>
      <c r="AT71" s="353">
        <v>4.62</v>
      </c>
      <c r="AU71" s="353">
        <v>4.62</v>
      </c>
      <c r="AV71" s="353">
        <v>4.6100000000000003</v>
      </c>
      <c r="AW71" s="353">
        <v>4.6100000000000003</v>
      </c>
      <c r="AX71" s="353">
        <v>4.6100000000000003</v>
      </c>
      <c r="AY71" s="353">
        <v>4.5999999999999996</v>
      </c>
      <c r="AZ71" s="150">
        <v>1.7500000000000002E-2</v>
      </c>
      <c r="BA71" s="104">
        <f t="shared" si="0"/>
        <v>1.7500000000000002</v>
      </c>
      <c r="BD71" s="683">
        <v>43101</v>
      </c>
      <c r="BE71">
        <v>32379</v>
      </c>
      <c r="BF71">
        <v>31940</v>
      </c>
      <c r="BG71">
        <v>26044</v>
      </c>
      <c r="BH71">
        <v>20355</v>
      </c>
    </row>
    <row r="72" spans="1:60">
      <c r="A72" s="107">
        <v>41729</v>
      </c>
      <c r="B72" s="353">
        <v>3.23</v>
      </c>
      <c r="C72" s="353">
        <v>3.33</v>
      </c>
      <c r="D72" s="353">
        <v>3.49</v>
      </c>
      <c r="E72" s="353">
        <v>3.67</v>
      </c>
      <c r="F72" s="353">
        <v>3.84</v>
      </c>
      <c r="G72" s="353">
        <v>4</v>
      </c>
      <c r="H72" s="353">
        <v>4.1399999999999997</v>
      </c>
      <c r="I72" s="353">
        <v>4.2699999999999996</v>
      </c>
      <c r="J72" s="353">
        <v>4.38</v>
      </c>
      <c r="K72" s="353">
        <v>4.4800000000000004</v>
      </c>
      <c r="L72" s="353">
        <v>4.58</v>
      </c>
      <c r="M72" s="353">
        <v>4.66</v>
      </c>
      <c r="N72" s="353">
        <v>4.72</v>
      </c>
      <c r="O72" s="353">
        <v>4.78</v>
      </c>
      <c r="P72" s="442">
        <v>4.83</v>
      </c>
      <c r="Q72" s="353">
        <v>4.8499999999999996</v>
      </c>
      <c r="R72" s="353">
        <v>4.87</v>
      </c>
      <c r="S72" s="353">
        <v>4.88</v>
      </c>
      <c r="T72" s="353">
        <v>4.9000000000000004</v>
      </c>
      <c r="U72" s="353">
        <v>4.91</v>
      </c>
      <c r="V72" s="353">
        <v>4.9000000000000004</v>
      </c>
      <c r="W72" s="353">
        <v>4.88</v>
      </c>
      <c r="X72" s="353">
        <v>4.87</v>
      </c>
      <c r="Y72" s="353">
        <v>4.8600000000000003</v>
      </c>
      <c r="Z72" s="353">
        <v>4.8499999999999996</v>
      </c>
      <c r="AA72" s="353">
        <v>4.83</v>
      </c>
      <c r="AB72" s="353">
        <v>4.8099999999999996</v>
      </c>
      <c r="AC72" s="353">
        <v>4.79</v>
      </c>
      <c r="AD72" s="353">
        <v>4.7699999999999996</v>
      </c>
      <c r="AE72" s="353">
        <v>4.75</v>
      </c>
      <c r="AF72" s="353">
        <v>4.74</v>
      </c>
      <c r="AG72" s="353">
        <v>4.72</v>
      </c>
      <c r="AH72" s="353">
        <v>4.71</v>
      </c>
      <c r="AI72" s="353">
        <v>4.7</v>
      </c>
      <c r="AJ72" s="353">
        <v>4.68</v>
      </c>
      <c r="AK72" s="353">
        <v>4.67</v>
      </c>
      <c r="AL72" s="353">
        <v>4.66</v>
      </c>
      <c r="AM72" s="353">
        <v>4.6500000000000004</v>
      </c>
      <c r="AN72" s="353">
        <v>4.6399999999999997</v>
      </c>
      <c r="AO72" s="353">
        <v>4.63</v>
      </c>
      <c r="AP72" s="353">
        <v>4.63</v>
      </c>
      <c r="AQ72" s="353">
        <v>4.62</v>
      </c>
      <c r="AR72" s="353">
        <v>4.62</v>
      </c>
      <c r="AS72" s="353">
        <v>4.6100000000000003</v>
      </c>
      <c r="AT72" s="353">
        <v>4.6100000000000003</v>
      </c>
      <c r="AU72" s="353">
        <v>4.5999999999999996</v>
      </c>
      <c r="AV72" s="353">
        <v>4.5999999999999996</v>
      </c>
      <c r="AW72" s="353">
        <v>4.5999999999999996</v>
      </c>
      <c r="AX72" s="353">
        <v>4.59</v>
      </c>
      <c r="AY72" s="353">
        <v>4.59</v>
      </c>
      <c r="AZ72" s="150">
        <v>1.7500000000000002E-2</v>
      </c>
      <c r="BA72" s="104">
        <f t="shared" si="0"/>
        <v>1.7500000000000002</v>
      </c>
      <c r="BD72" s="683">
        <v>43466</v>
      </c>
      <c r="BE72">
        <v>36794</v>
      </c>
      <c r="BF72">
        <v>41832</v>
      </c>
      <c r="BG72">
        <v>29431</v>
      </c>
      <c r="BH72">
        <v>26362</v>
      </c>
    </row>
    <row r="73" spans="1:60">
      <c r="A73" s="107">
        <v>41759</v>
      </c>
      <c r="B73" s="353">
        <v>3.19</v>
      </c>
      <c r="C73" s="353">
        <v>3.29</v>
      </c>
      <c r="D73" s="353">
        <v>3.45</v>
      </c>
      <c r="E73" s="353">
        <v>3.63</v>
      </c>
      <c r="F73" s="353">
        <v>3.81</v>
      </c>
      <c r="G73" s="353">
        <v>3.97</v>
      </c>
      <c r="H73" s="353">
        <v>4.1100000000000003</v>
      </c>
      <c r="I73" s="353">
        <v>4.24</v>
      </c>
      <c r="J73" s="353">
        <v>4.3600000000000003</v>
      </c>
      <c r="K73" s="353">
        <v>4.46</v>
      </c>
      <c r="L73" s="353">
        <v>4.55</v>
      </c>
      <c r="M73" s="353">
        <v>4.63</v>
      </c>
      <c r="N73" s="353">
        <v>4.7</v>
      </c>
      <c r="O73" s="353">
        <v>4.76</v>
      </c>
      <c r="P73" s="442">
        <v>4.8099999999999996</v>
      </c>
      <c r="Q73" s="353">
        <v>4.83</v>
      </c>
      <c r="R73" s="353">
        <v>4.8499999999999996</v>
      </c>
      <c r="S73" s="353">
        <v>4.87</v>
      </c>
      <c r="T73" s="353">
        <v>4.88</v>
      </c>
      <c r="U73" s="353">
        <v>4.8899999999999997</v>
      </c>
      <c r="V73" s="353">
        <v>4.88</v>
      </c>
      <c r="W73" s="353">
        <v>4.8600000000000003</v>
      </c>
      <c r="X73" s="353">
        <v>4.8499999999999996</v>
      </c>
      <c r="Y73" s="353">
        <v>4.84</v>
      </c>
      <c r="Z73" s="353">
        <v>4.83</v>
      </c>
      <c r="AA73" s="353">
        <v>4.8099999999999996</v>
      </c>
      <c r="AB73" s="353">
        <v>4.79</v>
      </c>
      <c r="AC73" s="353">
        <v>4.7699999999999996</v>
      </c>
      <c r="AD73" s="353">
        <v>4.75</v>
      </c>
      <c r="AE73" s="353">
        <v>4.74</v>
      </c>
      <c r="AF73" s="353">
        <v>4.72</v>
      </c>
      <c r="AG73" s="353">
        <v>4.71</v>
      </c>
      <c r="AH73" s="353">
        <v>4.6900000000000004</v>
      </c>
      <c r="AI73" s="353">
        <v>4.68</v>
      </c>
      <c r="AJ73" s="353">
        <v>4.67</v>
      </c>
      <c r="AK73" s="353">
        <v>4.66</v>
      </c>
      <c r="AL73" s="353">
        <v>4.6500000000000004</v>
      </c>
      <c r="AM73" s="353">
        <v>4.6399999999999997</v>
      </c>
      <c r="AN73" s="353">
        <v>4.63</v>
      </c>
      <c r="AO73" s="353">
        <v>4.62</v>
      </c>
      <c r="AP73" s="353">
        <v>4.6100000000000003</v>
      </c>
      <c r="AQ73" s="353">
        <v>4.6100000000000003</v>
      </c>
      <c r="AR73" s="353">
        <v>4.5999999999999996</v>
      </c>
      <c r="AS73" s="353">
        <v>4.5999999999999996</v>
      </c>
      <c r="AT73" s="353">
        <v>4.59</v>
      </c>
      <c r="AU73" s="353">
        <v>4.59</v>
      </c>
      <c r="AV73" s="353">
        <v>4.58</v>
      </c>
      <c r="AW73" s="353">
        <v>4.58</v>
      </c>
      <c r="AX73" s="353">
        <v>4.58</v>
      </c>
      <c r="AY73" s="353">
        <v>4.57</v>
      </c>
      <c r="AZ73" s="150">
        <v>1.7500000000000002E-2</v>
      </c>
      <c r="BA73" s="104">
        <f t="shared" si="0"/>
        <v>1.7500000000000002</v>
      </c>
      <c r="BD73" s="683">
        <v>43831</v>
      </c>
      <c r="BE73">
        <v>40505</v>
      </c>
      <c r="BF73">
        <v>50549</v>
      </c>
      <c r="BG73">
        <v>33563</v>
      </c>
      <c r="BH73">
        <v>34274</v>
      </c>
    </row>
    <row r="74" spans="1:60">
      <c r="A74" s="107">
        <v>41790</v>
      </c>
      <c r="B74" s="353">
        <v>3.15</v>
      </c>
      <c r="C74" s="353">
        <v>3.24</v>
      </c>
      <c r="D74" s="353">
        <v>3.41</v>
      </c>
      <c r="E74" s="353">
        <v>3.59</v>
      </c>
      <c r="F74" s="353">
        <v>3.77</v>
      </c>
      <c r="G74" s="353">
        <v>3.93</v>
      </c>
      <c r="H74" s="353">
        <v>4.08</v>
      </c>
      <c r="I74" s="353">
        <v>4.21</v>
      </c>
      <c r="J74" s="353">
        <v>4.33</v>
      </c>
      <c r="K74" s="353">
        <v>4.43</v>
      </c>
      <c r="L74" s="353">
        <v>4.53</v>
      </c>
      <c r="M74" s="353">
        <v>4.6100000000000003</v>
      </c>
      <c r="N74" s="353">
        <v>4.68</v>
      </c>
      <c r="O74" s="353">
        <v>4.74</v>
      </c>
      <c r="P74" s="442">
        <v>4.79</v>
      </c>
      <c r="Q74" s="353">
        <v>4.8099999999999996</v>
      </c>
      <c r="R74" s="353">
        <v>4.83</v>
      </c>
      <c r="S74" s="353">
        <v>4.84</v>
      </c>
      <c r="T74" s="353">
        <v>4.8600000000000003</v>
      </c>
      <c r="U74" s="353">
        <v>4.87</v>
      </c>
      <c r="V74" s="353">
        <v>4.8600000000000003</v>
      </c>
      <c r="W74" s="353">
        <v>4.84</v>
      </c>
      <c r="X74" s="353">
        <v>4.83</v>
      </c>
      <c r="Y74" s="353">
        <v>4.82</v>
      </c>
      <c r="Z74" s="353">
        <v>4.8099999999999996</v>
      </c>
      <c r="AA74" s="353">
        <v>4.79</v>
      </c>
      <c r="AB74" s="353">
        <v>4.7699999999999996</v>
      </c>
      <c r="AC74" s="353">
        <v>4.75</v>
      </c>
      <c r="AD74" s="353">
        <v>4.7300000000000004</v>
      </c>
      <c r="AE74" s="353">
        <v>4.72</v>
      </c>
      <c r="AF74" s="353">
        <v>4.7</v>
      </c>
      <c r="AG74" s="353">
        <v>4.6900000000000004</v>
      </c>
      <c r="AH74" s="353">
        <v>4.67</v>
      </c>
      <c r="AI74" s="353">
        <v>4.66</v>
      </c>
      <c r="AJ74" s="353">
        <v>4.6500000000000004</v>
      </c>
      <c r="AK74" s="353">
        <v>4.6399999999999997</v>
      </c>
      <c r="AL74" s="353">
        <v>4.63</v>
      </c>
      <c r="AM74" s="353">
        <v>4.62</v>
      </c>
      <c r="AN74" s="353">
        <v>4.6100000000000003</v>
      </c>
      <c r="AO74" s="353">
        <v>4.5999999999999996</v>
      </c>
      <c r="AP74" s="353">
        <v>4.59</v>
      </c>
      <c r="AQ74" s="353">
        <v>4.59</v>
      </c>
      <c r="AR74" s="353">
        <v>4.58</v>
      </c>
      <c r="AS74" s="353">
        <v>4.58</v>
      </c>
      <c r="AT74" s="353">
        <v>4.57</v>
      </c>
      <c r="AU74" s="353">
        <v>4.57</v>
      </c>
      <c r="AV74" s="353">
        <v>4.57</v>
      </c>
      <c r="AW74" s="353">
        <v>4.5599999999999996</v>
      </c>
      <c r="AX74" s="353">
        <v>4.5599999999999996</v>
      </c>
      <c r="AY74" s="353">
        <v>4.5599999999999996</v>
      </c>
      <c r="AZ74" s="150">
        <v>1.7500000000000002E-2</v>
      </c>
      <c r="BA74" s="104">
        <f t="shared" ref="BA74:BA81" si="1">+AZ74*100</f>
        <v>1.7500000000000002</v>
      </c>
      <c r="BD74" s="683">
        <v>44197</v>
      </c>
      <c r="BE74">
        <v>44887</v>
      </c>
      <c r="BF74">
        <v>63138</v>
      </c>
      <c r="BG74">
        <v>37493</v>
      </c>
      <c r="BH74">
        <v>43534</v>
      </c>
    </row>
    <row r="75" spans="1:60">
      <c r="A75" s="107">
        <v>41820</v>
      </c>
      <c r="B75" s="353">
        <v>3.1</v>
      </c>
      <c r="C75" s="353">
        <v>3.2</v>
      </c>
      <c r="D75" s="353">
        <v>3.37</v>
      </c>
      <c r="E75" s="353">
        <v>3.55</v>
      </c>
      <c r="F75" s="353">
        <v>3.73</v>
      </c>
      <c r="G75" s="353">
        <v>3.89</v>
      </c>
      <c r="H75" s="353">
        <v>4.04</v>
      </c>
      <c r="I75" s="353">
        <v>4.17</v>
      </c>
      <c r="J75" s="353">
        <v>4.29</v>
      </c>
      <c r="K75" s="353">
        <v>4.4000000000000004</v>
      </c>
      <c r="L75" s="353">
        <v>4.5</v>
      </c>
      <c r="M75" s="353">
        <v>4.58</v>
      </c>
      <c r="N75" s="353">
        <v>4.6500000000000004</v>
      </c>
      <c r="O75" s="353">
        <v>4.71</v>
      </c>
      <c r="P75" s="442">
        <v>4.76</v>
      </c>
      <c r="Q75" s="353">
        <v>4.78</v>
      </c>
      <c r="R75" s="353">
        <v>4.8</v>
      </c>
      <c r="S75" s="353">
        <v>4.82</v>
      </c>
      <c r="T75" s="353">
        <v>4.83</v>
      </c>
      <c r="U75" s="353">
        <v>4.84</v>
      </c>
      <c r="V75" s="353">
        <v>4.83</v>
      </c>
      <c r="W75" s="353">
        <v>4.82</v>
      </c>
      <c r="X75" s="353">
        <v>4.8099999999999996</v>
      </c>
      <c r="Y75" s="353">
        <v>4.8</v>
      </c>
      <c r="Z75" s="353">
        <v>4.79</v>
      </c>
      <c r="AA75" s="353">
        <v>4.76</v>
      </c>
      <c r="AB75" s="353">
        <v>4.74</v>
      </c>
      <c r="AC75" s="353">
        <v>4.7300000000000004</v>
      </c>
      <c r="AD75" s="353">
        <v>4.71</v>
      </c>
      <c r="AE75" s="353">
        <v>4.6900000000000004</v>
      </c>
      <c r="AF75" s="353">
        <v>4.68</v>
      </c>
      <c r="AG75" s="353">
        <v>4.66</v>
      </c>
      <c r="AH75" s="353">
        <v>4.6500000000000004</v>
      </c>
      <c r="AI75" s="353">
        <v>4.6399999999999997</v>
      </c>
      <c r="AJ75" s="353">
        <v>4.62</v>
      </c>
      <c r="AK75" s="353">
        <v>4.6100000000000003</v>
      </c>
      <c r="AL75" s="353">
        <v>4.5999999999999996</v>
      </c>
      <c r="AM75" s="353">
        <v>4.59</v>
      </c>
      <c r="AN75" s="353">
        <v>4.58</v>
      </c>
      <c r="AO75" s="353">
        <v>4.57</v>
      </c>
      <c r="AP75" s="353">
        <v>4.57</v>
      </c>
      <c r="AQ75" s="353">
        <v>4.5599999999999996</v>
      </c>
      <c r="AR75" s="353">
        <v>4.5599999999999996</v>
      </c>
      <c r="AS75" s="353">
        <v>4.5599999999999996</v>
      </c>
      <c r="AT75" s="353">
        <v>4.55</v>
      </c>
      <c r="AU75" s="353">
        <v>4.55</v>
      </c>
      <c r="AV75" s="353">
        <v>4.54</v>
      </c>
      <c r="AW75" s="353">
        <v>4.54</v>
      </c>
      <c r="AX75" s="353">
        <v>4.54</v>
      </c>
      <c r="AY75" s="353">
        <v>4.53</v>
      </c>
      <c r="AZ75" s="150">
        <v>1.7500000000000002E-2</v>
      </c>
      <c r="BA75" s="104">
        <f t="shared" si="1"/>
        <v>1.7500000000000002</v>
      </c>
      <c r="BD75" s="683">
        <v>44562</v>
      </c>
      <c r="BE75">
        <v>48262</v>
      </c>
      <c r="BF75">
        <v>78353</v>
      </c>
      <c r="BG75">
        <v>42159</v>
      </c>
      <c r="BH75">
        <v>59272</v>
      </c>
    </row>
    <row r="76" spans="1:60">
      <c r="A76" s="107">
        <v>41851</v>
      </c>
      <c r="B76" s="353">
        <v>3.06</v>
      </c>
      <c r="C76" s="353">
        <v>3.15</v>
      </c>
      <c r="D76" s="353">
        <v>3.32</v>
      </c>
      <c r="E76" s="353">
        <v>3.51</v>
      </c>
      <c r="F76" s="353">
        <v>3.69</v>
      </c>
      <c r="G76" s="353">
        <v>3.85</v>
      </c>
      <c r="H76" s="353">
        <v>4</v>
      </c>
      <c r="I76" s="353">
        <v>4.1399999999999997</v>
      </c>
      <c r="J76" s="353">
        <v>4.26</v>
      </c>
      <c r="K76" s="353">
        <v>4.3600000000000003</v>
      </c>
      <c r="L76" s="353">
        <v>4.46</v>
      </c>
      <c r="M76" s="353">
        <v>4.55</v>
      </c>
      <c r="N76" s="353">
        <v>4.62</v>
      </c>
      <c r="O76" s="353">
        <v>4.68</v>
      </c>
      <c r="P76" s="442">
        <v>4.7300000000000004</v>
      </c>
      <c r="Q76" s="353">
        <v>4.75</v>
      </c>
      <c r="R76" s="353">
        <v>4.7699999999999996</v>
      </c>
      <c r="S76" s="353">
        <v>4.79</v>
      </c>
      <c r="T76" s="353">
        <v>4.8</v>
      </c>
      <c r="U76" s="353">
        <v>4.82</v>
      </c>
      <c r="V76" s="353">
        <v>4.8</v>
      </c>
      <c r="W76" s="353">
        <v>4.79</v>
      </c>
      <c r="X76" s="353">
        <v>4.78</v>
      </c>
      <c r="Y76" s="353">
        <v>4.7699999999999996</v>
      </c>
      <c r="Z76" s="353">
        <v>4.76</v>
      </c>
      <c r="AA76" s="353">
        <v>4.74</v>
      </c>
      <c r="AB76" s="353">
        <v>4.72</v>
      </c>
      <c r="AC76" s="353">
        <v>4.7</v>
      </c>
      <c r="AD76" s="353">
        <v>4.68</v>
      </c>
      <c r="AE76" s="353">
        <v>4.67</v>
      </c>
      <c r="AF76" s="353">
        <v>4.6500000000000004</v>
      </c>
      <c r="AG76" s="353">
        <v>4.6399999999999997</v>
      </c>
      <c r="AH76" s="353">
        <v>4.62</v>
      </c>
      <c r="AI76" s="353">
        <v>4.6100000000000003</v>
      </c>
      <c r="AJ76" s="353">
        <v>4.5999999999999996</v>
      </c>
      <c r="AK76" s="353">
        <v>4.59</v>
      </c>
      <c r="AL76" s="353">
        <v>4.58</v>
      </c>
      <c r="AM76" s="353">
        <v>4.57</v>
      </c>
      <c r="AN76" s="353">
        <v>4.5599999999999996</v>
      </c>
      <c r="AO76" s="353">
        <v>4.55</v>
      </c>
      <c r="AP76" s="353">
        <v>4.54</v>
      </c>
      <c r="AQ76" s="353">
        <v>4.54</v>
      </c>
      <c r="AR76" s="353">
        <v>4.54</v>
      </c>
      <c r="AS76" s="353">
        <v>4.53</v>
      </c>
      <c r="AT76" s="353">
        <v>4.53</v>
      </c>
      <c r="AU76" s="353">
        <v>4.5199999999999996</v>
      </c>
      <c r="AV76" s="353">
        <v>4.5199999999999996</v>
      </c>
      <c r="AW76" s="353">
        <v>4.5199999999999996</v>
      </c>
      <c r="AX76" s="353">
        <v>4.51</v>
      </c>
      <c r="AY76" s="353">
        <v>4.51</v>
      </c>
      <c r="AZ76" s="150">
        <v>1.7500000000000002E-2</v>
      </c>
      <c r="BA76" s="104">
        <f t="shared" si="1"/>
        <v>1.7500000000000002</v>
      </c>
    </row>
    <row r="77" spans="1:60">
      <c r="A77" s="107">
        <v>41882</v>
      </c>
      <c r="B77" s="353">
        <v>3.01</v>
      </c>
      <c r="C77" s="353">
        <v>3.11</v>
      </c>
      <c r="D77" s="353">
        <v>3.28</v>
      </c>
      <c r="E77" s="353">
        <v>3.46</v>
      </c>
      <c r="F77" s="353">
        <v>3.64</v>
      </c>
      <c r="G77" s="353">
        <v>3.81</v>
      </c>
      <c r="H77" s="353">
        <v>3.96</v>
      </c>
      <c r="I77" s="353">
        <v>4.0999999999999996</v>
      </c>
      <c r="J77" s="353">
        <v>4.22</v>
      </c>
      <c r="K77" s="353">
        <v>4.32</v>
      </c>
      <c r="L77" s="353">
        <v>4.42</v>
      </c>
      <c r="M77" s="353">
        <v>4.51</v>
      </c>
      <c r="N77" s="353">
        <v>4.58</v>
      </c>
      <c r="O77" s="353">
        <v>4.6399999999999997</v>
      </c>
      <c r="P77" s="442">
        <v>4.7</v>
      </c>
      <c r="Q77" s="353">
        <v>4.72</v>
      </c>
      <c r="R77" s="353">
        <v>4.74</v>
      </c>
      <c r="S77" s="353">
        <v>4.75</v>
      </c>
      <c r="T77" s="353">
        <v>4.7699999999999996</v>
      </c>
      <c r="U77" s="353">
        <v>4.78</v>
      </c>
      <c r="V77" s="353">
        <v>4.7699999999999996</v>
      </c>
      <c r="W77" s="353">
        <v>4.76</v>
      </c>
      <c r="X77" s="353">
        <v>4.75</v>
      </c>
      <c r="Y77" s="353">
        <v>4.74</v>
      </c>
      <c r="Z77" s="353">
        <v>4.7300000000000004</v>
      </c>
      <c r="AA77" s="353">
        <v>4.7</v>
      </c>
      <c r="AB77" s="353">
        <v>4.6900000000000004</v>
      </c>
      <c r="AC77" s="353">
        <v>4.67</v>
      </c>
      <c r="AD77" s="353">
        <v>4.6500000000000004</v>
      </c>
      <c r="AE77" s="353">
        <v>4.63</v>
      </c>
      <c r="AF77" s="353">
        <v>4.62</v>
      </c>
      <c r="AG77" s="353">
        <v>4.6100000000000003</v>
      </c>
      <c r="AH77" s="353">
        <v>4.59</v>
      </c>
      <c r="AI77" s="353">
        <v>4.58</v>
      </c>
      <c r="AJ77" s="353">
        <v>4.57</v>
      </c>
      <c r="AK77" s="353">
        <v>4.5599999999999996</v>
      </c>
      <c r="AL77" s="353">
        <v>4.55</v>
      </c>
      <c r="AM77" s="353">
        <v>4.54</v>
      </c>
      <c r="AN77" s="353">
        <v>4.53</v>
      </c>
      <c r="AO77" s="353">
        <v>4.5199999999999996</v>
      </c>
      <c r="AP77" s="353">
        <v>4.51</v>
      </c>
      <c r="AQ77" s="353">
        <v>4.51</v>
      </c>
      <c r="AR77" s="353">
        <v>4.51</v>
      </c>
      <c r="AS77" s="353">
        <v>4.5</v>
      </c>
      <c r="AT77" s="353">
        <v>4.5</v>
      </c>
      <c r="AU77" s="353">
        <v>4.49</v>
      </c>
      <c r="AV77" s="353">
        <v>4.49</v>
      </c>
      <c r="AW77" s="353">
        <v>4.49</v>
      </c>
      <c r="AX77" s="353">
        <v>4.49</v>
      </c>
      <c r="AY77" s="353">
        <v>4.4800000000000004</v>
      </c>
      <c r="AZ77" s="150">
        <v>1.7500000000000002E-2</v>
      </c>
      <c r="BA77" s="104">
        <f t="shared" si="1"/>
        <v>1.7500000000000002</v>
      </c>
    </row>
    <row r="78" spans="1:60">
      <c r="A78" s="107">
        <v>41912</v>
      </c>
      <c r="B78" s="353">
        <v>2.96</v>
      </c>
      <c r="C78" s="353">
        <v>3.06</v>
      </c>
      <c r="D78" s="353">
        <v>3.23</v>
      </c>
      <c r="E78" s="353">
        <v>3.41</v>
      </c>
      <c r="F78" s="353">
        <v>3.59</v>
      </c>
      <c r="G78" s="353">
        <v>3.77</v>
      </c>
      <c r="H78" s="353">
        <v>3.92</v>
      </c>
      <c r="I78" s="353">
        <v>4.05</v>
      </c>
      <c r="J78" s="353">
        <v>4.17</v>
      </c>
      <c r="K78" s="353">
        <v>4.28</v>
      </c>
      <c r="L78" s="353">
        <v>4.3899999999999997</v>
      </c>
      <c r="M78" s="353">
        <v>4.47</v>
      </c>
      <c r="N78" s="353">
        <v>4.54</v>
      </c>
      <c r="O78" s="353">
        <v>4.6100000000000003</v>
      </c>
      <c r="P78" s="442">
        <v>4.66</v>
      </c>
      <c r="Q78" s="353">
        <v>4.68</v>
      </c>
      <c r="R78" s="353">
        <v>4.7</v>
      </c>
      <c r="S78" s="353">
        <v>4.72</v>
      </c>
      <c r="T78" s="353">
        <v>4.7300000000000004</v>
      </c>
      <c r="U78" s="353">
        <v>4.75</v>
      </c>
      <c r="V78" s="353">
        <v>4.7300000000000004</v>
      </c>
      <c r="W78" s="353">
        <v>4.72</v>
      </c>
      <c r="X78" s="353">
        <v>4.71</v>
      </c>
      <c r="Y78" s="353">
        <v>4.7</v>
      </c>
      <c r="Z78" s="353">
        <v>4.6900000000000004</v>
      </c>
      <c r="AA78" s="353">
        <v>4.67</v>
      </c>
      <c r="AB78" s="353">
        <v>4.6500000000000004</v>
      </c>
      <c r="AC78" s="353">
        <v>4.63</v>
      </c>
      <c r="AD78" s="353">
        <v>4.62</v>
      </c>
      <c r="AE78" s="353">
        <v>4.5999999999999996</v>
      </c>
      <c r="AF78" s="353">
        <v>4.59</v>
      </c>
      <c r="AG78" s="353">
        <v>4.57</v>
      </c>
      <c r="AH78" s="353">
        <v>4.5599999999999996</v>
      </c>
      <c r="AI78" s="353">
        <v>4.55</v>
      </c>
      <c r="AJ78" s="353">
        <v>4.54</v>
      </c>
      <c r="AK78" s="353">
        <v>4.53</v>
      </c>
      <c r="AL78" s="353">
        <v>4.5199999999999996</v>
      </c>
      <c r="AM78" s="353">
        <v>4.51</v>
      </c>
      <c r="AN78" s="353">
        <v>4.5</v>
      </c>
      <c r="AO78" s="353">
        <v>4.49</v>
      </c>
      <c r="AP78" s="353">
        <v>4.4800000000000004</v>
      </c>
      <c r="AQ78" s="353">
        <v>4.4800000000000004</v>
      </c>
      <c r="AR78" s="353">
        <v>4.4800000000000004</v>
      </c>
      <c r="AS78" s="353">
        <v>4.47</v>
      </c>
      <c r="AT78" s="353">
        <v>4.47</v>
      </c>
      <c r="AU78" s="353">
        <v>4.47</v>
      </c>
      <c r="AV78" s="353">
        <v>4.46</v>
      </c>
      <c r="AW78" s="353">
        <v>4.46</v>
      </c>
      <c r="AX78" s="353">
        <v>4.46</v>
      </c>
      <c r="AY78" s="353">
        <v>4.45</v>
      </c>
      <c r="AZ78" s="150">
        <v>1.7500000000000002E-2</v>
      </c>
      <c r="BA78" s="104">
        <f t="shared" si="1"/>
        <v>1.7500000000000002</v>
      </c>
    </row>
    <row r="79" spans="1:60">
      <c r="A79" s="107">
        <v>41943</v>
      </c>
      <c r="B79" s="353">
        <v>2.91</v>
      </c>
      <c r="C79" s="353">
        <v>3.01</v>
      </c>
      <c r="D79" s="353">
        <v>3.18</v>
      </c>
      <c r="E79" s="353">
        <v>3.37</v>
      </c>
      <c r="F79" s="353">
        <v>3.55</v>
      </c>
      <c r="G79" s="353">
        <v>3.72</v>
      </c>
      <c r="H79" s="353">
        <v>3.87</v>
      </c>
      <c r="I79" s="353">
        <v>4.01</v>
      </c>
      <c r="J79" s="353">
        <v>4.13</v>
      </c>
      <c r="K79" s="353">
        <v>4.24</v>
      </c>
      <c r="L79" s="353">
        <v>4.3499999999999996</v>
      </c>
      <c r="M79" s="353">
        <v>4.43</v>
      </c>
      <c r="N79" s="353">
        <v>4.51</v>
      </c>
      <c r="O79" s="353">
        <v>4.57</v>
      </c>
      <c r="P79" s="442">
        <v>4.62</v>
      </c>
      <c r="Q79" s="353">
        <v>4.6500000000000004</v>
      </c>
      <c r="R79" s="353">
        <v>4.67</v>
      </c>
      <c r="S79" s="353">
        <v>4.68</v>
      </c>
      <c r="T79" s="353">
        <v>4.7</v>
      </c>
      <c r="U79" s="353">
        <v>4.71</v>
      </c>
      <c r="V79" s="353">
        <v>4.7</v>
      </c>
      <c r="W79" s="353">
        <v>4.6900000000000004</v>
      </c>
      <c r="X79" s="353">
        <v>4.68</v>
      </c>
      <c r="Y79" s="353">
        <v>4.67</v>
      </c>
      <c r="Z79" s="353">
        <v>4.66</v>
      </c>
      <c r="AA79" s="353">
        <v>4.6399999999999997</v>
      </c>
      <c r="AB79" s="353">
        <v>4.62</v>
      </c>
      <c r="AC79" s="353">
        <v>4.5999999999999996</v>
      </c>
      <c r="AD79" s="353">
        <v>4.59</v>
      </c>
      <c r="AE79" s="353">
        <v>4.57</v>
      </c>
      <c r="AF79" s="353">
        <v>4.5599999999999996</v>
      </c>
      <c r="AG79" s="353">
        <v>4.54</v>
      </c>
      <c r="AH79" s="353">
        <v>4.53</v>
      </c>
      <c r="AI79" s="353">
        <v>4.5199999999999996</v>
      </c>
      <c r="AJ79" s="353">
        <v>4.51</v>
      </c>
      <c r="AK79" s="353">
        <v>4.49</v>
      </c>
      <c r="AL79" s="353">
        <v>4.4800000000000004</v>
      </c>
      <c r="AM79" s="353">
        <v>4.4800000000000004</v>
      </c>
      <c r="AN79" s="353">
        <v>4.47</v>
      </c>
      <c r="AO79" s="353">
        <v>4.46</v>
      </c>
      <c r="AP79" s="353">
        <v>4.45</v>
      </c>
      <c r="AQ79" s="353">
        <v>4.45</v>
      </c>
      <c r="AR79" s="353">
        <v>4.45</v>
      </c>
      <c r="AS79" s="353">
        <v>4.4400000000000004</v>
      </c>
      <c r="AT79" s="353">
        <v>4.4400000000000004</v>
      </c>
      <c r="AU79" s="353">
        <v>4.4400000000000004</v>
      </c>
      <c r="AV79" s="353">
        <v>4.43</v>
      </c>
      <c r="AW79" s="353">
        <v>4.43</v>
      </c>
      <c r="AX79" s="353">
        <v>4.43</v>
      </c>
      <c r="AY79" s="353">
        <v>4.42</v>
      </c>
      <c r="AZ79" s="150">
        <v>1.7500000000000002E-2</v>
      </c>
      <c r="BA79" s="104">
        <f t="shared" si="1"/>
        <v>1.7500000000000002</v>
      </c>
    </row>
    <row r="80" spans="1:60">
      <c r="A80" s="107">
        <v>41973</v>
      </c>
      <c r="B80" s="353">
        <v>2.85</v>
      </c>
      <c r="C80" s="353">
        <v>2.96</v>
      </c>
      <c r="D80" s="353">
        <v>3.13</v>
      </c>
      <c r="E80" s="353">
        <v>3.32</v>
      </c>
      <c r="F80" s="353">
        <v>3.5</v>
      </c>
      <c r="G80" s="353">
        <v>3.67</v>
      </c>
      <c r="H80" s="353">
        <v>3.83</v>
      </c>
      <c r="I80" s="353">
        <v>3.96</v>
      </c>
      <c r="J80" s="353">
        <v>4.09</v>
      </c>
      <c r="K80" s="353">
        <v>4.2</v>
      </c>
      <c r="L80" s="353">
        <v>4.3</v>
      </c>
      <c r="M80" s="353">
        <v>4.3899999999999997</v>
      </c>
      <c r="N80" s="353">
        <v>4.46</v>
      </c>
      <c r="O80" s="353">
        <v>4.5199999999999996</v>
      </c>
      <c r="P80" s="442">
        <v>4.58</v>
      </c>
      <c r="Q80" s="353">
        <v>4.5999999999999996</v>
      </c>
      <c r="R80" s="353">
        <v>4.62</v>
      </c>
      <c r="S80" s="353">
        <v>4.6399999999999997</v>
      </c>
      <c r="T80" s="353">
        <v>4.66</v>
      </c>
      <c r="U80" s="353">
        <v>4.67</v>
      </c>
      <c r="V80" s="353">
        <v>4.66</v>
      </c>
      <c r="W80" s="353">
        <v>4.6500000000000004</v>
      </c>
      <c r="X80" s="353">
        <v>4.6399999999999997</v>
      </c>
      <c r="Y80" s="353">
        <v>4.63</v>
      </c>
      <c r="Z80" s="353">
        <v>4.62</v>
      </c>
      <c r="AA80" s="353">
        <v>4.5999999999999996</v>
      </c>
      <c r="AB80" s="353">
        <v>4.58</v>
      </c>
      <c r="AC80" s="353">
        <v>4.5599999999999996</v>
      </c>
      <c r="AD80" s="353">
        <v>4.55</v>
      </c>
      <c r="AE80" s="353">
        <v>4.53</v>
      </c>
      <c r="AF80" s="353">
        <v>4.5199999999999996</v>
      </c>
      <c r="AG80" s="353">
        <v>4.5</v>
      </c>
      <c r="AH80" s="353">
        <v>4.49</v>
      </c>
      <c r="AI80" s="353">
        <v>4.4800000000000004</v>
      </c>
      <c r="AJ80" s="353">
        <v>4.47</v>
      </c>
      <c r="AK80" s="353">
        <v>4.46</v>
      </c>
      <c r="AL80" s="353">
        <v>4.45</v>
      </c>
      <c r="AM80" s="353">
        <v>4.4400000000000004</v>
      </c>
      <c r="AN80" s="353">
        <v>4.43</v>
      </c>
      <c r="AO80" s="353">
        <v>4.42</v>
      </c>
      <c r="AP80" s="353">
        <v>4.42</v>
      </c>
      <c r="AQ80" s="353">
        <v>4.41</v>
      </c>
      <c r="AR80" s="353">
        <v>4.41</v>
      </c>
      <c r="AS80" s="353">
        <v>4.4000000000000004</v>
      </c>
      <c r="AT80" s="353">
        <v>4.4000000000000004</v>
      </c>
      <c r="AU80" s="353">
        <v>4.4000000000000004</v>
      </c>
      <c r="AV80" s="353">
        <v>4.4000000000000004</v>
      </c>
      <c r="AW80" s="353">
        <v>4.3899999999999997</v>
      </c>
      <c r="AX80" s="353">
        <v>4.3899999999999997</v>
      </c>
      <c r="AY80" s="353">
        <v>4.3899999999999997</v>
      </c>
      <c r="AZ80" s="150">
        <v>1.7500000000000002E-2</v>
      </c>
      <c r="BA80" s="104">
        <f t="shared" si="1"/>
        <v>1.7500000000000002</v>
      </c>
      <c r="BD80" s="2273" t="s">
        <v>192</v>
      </c>
      <c r="BE80" s="2273"/>
      <c r="BF80" s="2273" t="s">
        <v>193</v>
      </c>
      <c r="BG80" s="2273"/>
    </row>
    <row r="81" spans="1:60">
      <c r="A81" s="107">
        <v>42004</v>
      </c>
      <c r="B81" s="353">
        <v>2.8</v>
      </c>
      <c r="C81" s="353">
        <v>2.9</v>
      </c>
      <c r="D81" s="353">
        <v>3.07</v>
      </c>
      <c r="E81" s="353">
        <v>3.26</v>
      </c>
      <c r="F81" s="353">
        <v>3.45</v>
      </c>
      <c r="G81" s="353">
        <v>3.62</v>
      </c>
      <c r="H81" s="353">
        <v>3.78</v>
      </c>
      <c r="I81" s="353">
        <v>3.91</v>
      </c>
      <c r="J81" s="353">
        <v>4.04</v>
      </c>
      <c r="K81" s="353">
        <v>4.1500000000000004</v>
      </c>
      <c r="L81" s="353">
        <v>4.25</v>
      </c>
      <c r="M81" s="353">
        <v>4.34</v>
      </c>
      <c r="N81" s="353">
        <v>4.41</v>
      </c>
      <c r="O81" s="353">
        <v>4.4800000000000004</v>
      </c>
      <c r="P81" s="442">
        <v>4.53</v>
      </c>
      <c r="Q81" s="353">
        <v>4.5599999999999996</v>
      </c>
      <c r="R81" s="353">
        <v>4.58</v>
      </c>
      <c r="S81" s="353">
        <v>4.5999999999999996</v>
      </c>
      <c r="T81" s="353">
        <v>4.6100000000000003</v>
      </c>
      <c r="U81" s="353">
        <v>4.63</v>
      </c>
      <c r="V81" s="353">
        <v>4.6100000000000003</v>
      </c>
      <c r="W81" s="353">
        <v>4.5999999999999996</v>
      </c>
      <c r="X81" s="353">
        <v>4.59</v>
      </c>
      <c r="Y81" s="353">
        <v>4.58</v>
      </c>
      <c r="Z81" s="353">
        <v>4.58</v>
      </c>
      <c r="AA81" s="353">
        <v>4.5599999999999996</v>
      </c>
      <c r="AB81" s="353">
        <v>4.54</v>
      </c>
      <c r="AC81" s="353">
        <v>4.5199999999999996</v>
      </c>
      <c r="AD81" s="353">
        <v>4.5</v>
      </c>
      <c r="AE81" s="353">
        <v>4.49</v>
      </c>
      <c r="AF81" s="353">
        <v>4.47</v>
      </c>
      <c r="AG81" s="353">
        <v>4.46</v>
      </c>
      <c r="AH81" s="353">
        <v>4.45</v>
      </c>
      <c r="AI81" s="353">
        <v>4.4400000000000004</v>
      </c>
      <c r="AJ81" s="353">
        <v>4.43</v>
      </c>
      <c r="AK81" s="353">
        <v>4.42</v>
      </c>
      <c r="AL81" s="353">
        <v>4.41</v>
      </c>
      <c r="AM81" s="353">
        <v>4.4000000000000004</v>
      </c>
      <c r="AN81" s="353">
        <v>4.3899999999999997</v>
      </c>
      <c r="AO81" s="353">
        <v>4.38</v>
      </c>
      <c r="AP81" s="353">
        <v>4.38</v>
      </c>
      <c r="AQ81" s="353">
        <v>4.37</v>
      </c>
      <c r="AR81" s="353">
        <v>4.37</v>
      </c>
      <c r="AS81" s="353">
        <v>4.37</v>
      </c>
      <c r="AT81" s="353">
        <v>4.3600000000000003</v>
      </c>
      <c r="AU81" s="353">
        <v>4.3600000000000003</v>
      </c>
      <c r="AV81" s="353">
        <v>4.3600000000000003</v>
      </c>
      <c r="AW81" s="353">
        <v>4.3499999999999996</v>
      </c>
      <c r="AX81" s="353">
        <v>4.3499999999999996</v>
      </c>
      <c r="AY81" s="353">
        <v>4.3499999999999996</v>
      </c>
      <c r="AZ81" s="150">
        <v>1.7500000000000002E-2</v>
      </c>
      <c r="BA81" s="104">
        <f t="shared" si="1"/>
        <v>1.7500000000000002</v>
      </c>
      <c r="BD81" s="4" t="s">
        <v>841</v>
      </c>
      <c r="BE81" s="4" t="s">
        <v>126</v>
      </c>
      <c r="BF81" s="4" t="s">
        <v>841</v>
      </c>
      <c r="BG81" s="4" t="s">
        <v>126</v>
      </c>
    </row>
    <row r="82" spans="1:60">
      <c r="A82" s="107">
        <v>42035</v>
      </c>
      <c r="B82" s="353">
        <v>2.74</v>
      </c>
      <c r="C82" s="353">
        <v>2.85</v>
      </c>
      <c r="D82" s="353">
        <v>3.02</v>
      </c>
      <c r="E82" s="353">
        <v>3.21</v>
      </c>
      <c r="F82" s="353">
        <v>3.4</v>
      </c>
      <c r="G82" s="353">
        <v>3.57</v>
      </c>
      <c r="H82" s="353">
        <v>3.72</v>
      </c>
      <c r="I82" s="353">
        <v>3.86</v>
      </c>
      <c r="J82" s="353">
        <v>3.99</v>
      </c>
      <c r="K82" s="353">
        <v>4.0999999999999996</v>
      </c>
      <c r="L82" s="353">
        <v>4.2</v>
      </c>
      <c r="M82" s="353">
        <v>4.29</v>
      </c>
      <c r="N82" s="353">
        <v>4.3600000000000003</v>
      </c>
      <c r="O82" s="353">
        <v>4.43</v>
      </c>
      <c r="P82" s="442">
        <v>4.4800000000000004</v>
      </c>
      <c r="Q82" s="353">
        <v>4.5</v>
      </c>
      <c r="R82" s="353">
        <v>4.53</v>
      </c>
      <c r="S82" s="353">
        <v>4.54</v>
      </c>
      <c r="T82" s="353">
        <v>4.5599999999999996</v>
      </c>
      <c r="U82" s="353">
        <v>4.58</v>
      </c>
      <c r="V82" s="353">
        <v>4.5599999999999996</v>
      </c>
      <c r="W82" s="353">
        <v>4.55</v>
      </c>
      <c r="X82" s="353">
        <v>4.54</v>
      </c>
      <c r="Y82" s="353">
        <v>4.53</v>
      </c>
      <c r="Z82" s="353">
        <v>4.5199999999999996</v>
      </c>
      <c r="AA82" s="353">
        <v>4.5</v>
      </c>
      <c r="AB82" s="353">
        <v>4.49</v>
      </c>
      <c r="AC82" s="353">
        <v>4.47</v>
      </c>
      <c r="AD82" s="353">
        <v>4.45</v>
      </c>
      <c r="AE82" s="353">
        <v>4.4400000000000004</v>
      </c>
      <c r="AF82" s="353">
        <v>4.42</v>
      </c>
      <c r="AG82" s="353">
        <v>4.41</v>
      </c>
      <c r="AH82" s="353">
        <v>4.4000000000000004</v>
      </c>
      <c r="AI82" s="353">
        <v>4.3899999999999997</v>
      </c>
      <c r="AJ82" s="353">
        <v>4.38</v>
      </c>
      <c r="AK82" s="353">
        <v>4.37</v>
      </c>
      <c r="AL82" s="353">
        <v>4.3600000000000003</v>
      </c>
      <c r="AM82" s="353">
        <v>4.3499999999999996</v>
      </c>
      <c r="AN82" s="353">
        <v>4.34</v>
      </c>
      <c r="AO82" s="353">
        <v>4.33</v>
      </c>
      <c r="AP82" s="353">
        <v>4.33</v>
      </c>
      <c r="AQ82" s="353">
        <v>4.32</v>
      </c>
      <c r="AR82" s="353">
        <v>4.32</v>
      </c>
      <c r="AS82" s="353">
        <v>4.32</v>
      </c>
      <c r="AT82" s="353">
        <v>4.3099999999999996</v>
      </c>
      <c r="AU82" s="353">
        <v>4.3099999999999996</v>
      </c>
      <c r="AV82" s="353">
        <v>4.3099999999999996</v>
      </c>
      <c r="AW82" s="353">
        <v>4.3099999999999996</v>
      </c>
      <c r="AX82" s="353">
        <v>4.3</v>
      </c>
      <c r="AY82" s="353">
        <v>4.3</v>
      </c>
      <c r="AZ82" s="150">
        <v>1.2500000000000001E-2</v>
      </c>
      <c r="BA82" s="104">
        <f t="shared" ref="BA82:BA137" si="2">+AZ82*100</f>
        <v>1.25</v>
      </c>
      <c r="BC82" s="682">
        <v>4.51</v>
      </c>
      <c r="BD82" s="685">
        <v>20818</v>
      </c>
      <c r="BE82" s="685">
        <v>12675</v>
      </c>
      <c r="BF82" s="685">
        <v>16565</v>
      </c>
      <c r="BG82" s="685">
        <v>7890</v>
      </c>
    </row>
    <row r="83" spans="1:60">
      <c r="A83" s="107">
        <v>42063</v>
      </c>
      <c r="B83" s="353">
        <v>2.68</v>
      </c>
      <c r="C83" s="353">
        <v>2.8</v>
      </c>
      <c r="D83" s="353">
        <v>2.97</v>
      </c>
      <c r="E83" s="353">
        <v>3.16</v>
      </c>
      <c r="F83" s="353">
        <v>3.34</v>
      </c>
      <c r="G83" s="353">
        <v>3.52</v>
      </c>
      <c r="H83" s="353">
        <v>3.67</v>
      </c>
      <c r="I83" s="353">
        <v>3.81</v>
      </c>
      <c r="J83" s="353">
        <v>3.93</v>
      </c>
      <c r="K83" s="353">
        <v>4.04</v>
      </c>
      <c r="L83" s="353">
        <v>4.1500000000000004</v>
      </c>
      <c r="M83" s="353">
        <v>4.24</v>
      </c>
      <c r="N83" s="353">
        <v>4.3099999999999996</v>
      </c>
      <c r="O83" s="353">
        <v>4.37</v>
      </c>
      <c r="P83" s="442">
        <v>4.43</v>
      </c>
      <c r="Q83" s="353">
        <v>4.45</v>
      </c>
      <c r="R83" s="353">
        <v>4.47</v>
      </c>
      <c r="S83" s="353">
        <v>4.49</v>
      </c>
      <c r="T83" s="353">
        <v>4.51</v>
      </c>
      <c r="U83" s="353">
        <v>4.5199999999999996</v>
      </c>
      <c r="V83" s="353">
        <v>4.51</v>
      </c>
      <c r="W83" s="353">
        <v>4.5</v>
      </c>
      <c r="X83" s="353">
        <v>4.49</v>
      </c>
      <c r="Y83" s="353">
        <v>4.4800000000000004</v>
      </c>
      <c r="Z83" s="353">
        <v>4.47</v>
      </c>
      <c r="AA83" s="353">
        <v>4.45</v>
      </c>
      <c r="AB83" s="353">
        <v>4.43</v>
      </c>
      <c r="AC83" s="353">
        <v>4.42</v>
      </c>
      <c r="AD83" s="353">
        <v>4.4000000000000004</v>
      </c>
      <c r="AE83" s="353">
        <v>4.3899999999999997</v>
      </c>
      <c r="AF83" s="353">
        <v>4.37</v>
      </c>
      <c r="AG83" s="353">
        <v>4.3600000000000003</v>
      </c>
      <c r="AH83" s="353">
        <v>4.3499999999999996</v>
      </c>
      <c r="AI83" s="353">
        <v>4.34</v>
      </c>
      <c r="AJ83" s="353">
        <v>4.33</v>
      </c>
      <c r="AK83" s="353">
        <v>4.32</v>
      </c>
      <c r="AL83" s="353">
        <v>4.3099999999999996</v>
      </c>
      <c r="AM83" s="353">
        <v>4.3</v>
      </c>
      <c r="AN83" s="353">
        <v>4.29</v>
      </c>
      <c r="AO83" s="353">
        <v>4.28</v>
      </c>
      <c r="AP83" s="353">
        <v>4.28</v>
      </c>
      <c r="AQ83" s="353">
        <v>4.28</v>
      </c>
      <c r="AR83" s="353">
        <v>4.2699999999999996</v>
      </c>
      <c r="AS83" s="353">
        <v>4.2699999999999996</v>
      </c>
      <c r="AT83" s="353">
        <v>4.2699999999999996</v>
      </c>
      <c r="AU83" s="353">
        <v>4.26</v>
      </c>
      <c r="AV83" s="353">
        <v>4.26</v>
      </c>
      <c r="AW83" s="353">
        <v>4.26</v>
      </c>
      <c r="AX83" s="353">
        <v>4.26</v>
      </c>
      <c r="AY83" s="353">
        <v>4.25</v>
      </c>
      <c r="AZ83" s="150">
        <v>1.2500000000000001E-2</v>
      </c>
      <c r="BA83" s="104">
        <f t="shared" si="2"/>
        <v>1.25</v>
      </c>
      <c r="BC83" s="442">
        <v>4.4800000000000004</v>
      </c>
      <c r="BD83" s="684">
        <f>BD$82+(BD$94-BD$82)/12*$BH83</f>
        <v>21119.583333333332</v>
      </c>
      <c r="BE83" s="684">
        <f t="shared" ref="BE83:BG93" si="3">BE$82+(BE$94-BE$82)/12*$BH83</f>
        <v>13070.083333333334</v>
      </c>
      <c r="BF83" s="684">
        <f t="shared" si="3"/>
        <v>17024.75</v>
      </c>
      <c r="BG83" s="684">
        <f t="shared" si="3"/>
        <v>8409</v>
      </c>
      <c r="BH83" s="684">
        <v>1</v>
      </c>
    </row>
    <row r="84" spans="1:60">
      <c r="A84" s="107">
        <v>42094</v>
      </c>
      <c r="B84" s="353">
        <v>2.62</v>
      </c>
      <c r="C84" s="353">
        <v>2.73</v>
      </c>
      <c r="D84" s="353">
        <v>2.91</v>
      </c>
      <c r="E84" s="353">
        <v>3.1</v>
      </c>
      <c r="F84" s="353">
        <v>3.28</v>
      </c>
      <c r="G84" s="353">
        <v>3.46</v>
      </c>
      <c r="H84" s="353">
        <v>3.61</v>
      </c>
      <c r="I84" s="353">
        <v>3.75</v>
      </c>
      <c r="J84" s="353">
        <v>3.87</v>
      </c>
      <c r="K84" s="353">
        <v>3.99</v>
      </c>
      <c r="L84" s="353">
        <v>4.09</v>
      </c>
      <c r="M84" s="353">
        <v>4.18</v>
      </c>
      <c r="N84" s="353">
        <v>4.25</v>
      </c>
      <c r="O84" s="353">
        <v>4.3099999999999996</v>
      </c>
      <c r="P84" s="442">
        <v>4.37</v>
      </c>
      <c r="Q84" s="353">
        <v>4.3899999999999997</v>
      </c>
      <c r="R84" s="353">
        <v>4.41</v>
      </c>
      <c r="S84" s="353">
        <v>4.43</v>
      </c>
      <c r="T84" s="353">
        <v>4.45</v>
      </c>
      <c r="U84" s="353">
        <v>4.46</v>
      </c>
      <c r="V84" s="353">
        <v>4.45</v>
      </c>
      <c r="W84" s="353">
        <v>4.4400000000000004</v>
      </c>
      <c r="X84" s="353">
        <v>4.43</v>
      </c>
      <c r="Y84" s="353">
        <v>4.42</v>
      </c>
      <c r="Z84" s="353">
        <v>4.41</v>
      </c>
      <c r="AA84" s="353">
        <v>4.3899999999999997</v>
      </c>
      <c r="AB84" s="353">
        <v>4.37</v>
      </c>
      <c r="AC84" s="353">
        <v>4.3600000000000003</v>
      </c>
      <c r="AD84" s="353">
        <v>4.34</v>
      </c>
      <c r="AE84" s="353">
        <v>4.33</v>
      </c>
      <c r="AF84" s="353">
        <v>4.3099999999999996</v>
      </c>
      <c r="AG84" s="353">
        <v>4.3</v>
      </c>
      <c r="AH84" s="353">
        <v>4.29</v>
      </c>
      <c r="AI84" s="353">
        <v>4.28</v>
      </c>
      <c r="AJ84" s="353">
        <v>4.2699999999999996</v>
      </c>
      <c r="AK84" s="353">
        <v>4.26</v>
      </c>
      <c r="AL84" s="353">
        <v>4.25</v>
      </c>
      <c r="AM84" s="353">
        <v>4.24</v>
      </c>
      <c r="AN84" s="353">
        <v>4.2300000000000004</v>
      </c>
      <c r="AO84" s="353">
        <v>4.2300000000000004</v>
      </c>
      <c r="AP84" s="353">
        <v>4.22</v>
      </c>
      <c r="AQ84" s="353">
        <v>4.22</v>
      </c>
      <c r="AR84" s="353">
        <v>4.22</v>
      </c>
      <c r="AS84" s="353">
        <v>4.21</v>
      </c>
      <c r="AT84" s="353">
        <v>4.21</v>
      </c>
      <c r="AU84" s="353">
        <v>4.21</v>
      </c>
      <c r="AV84" s="353">
        <v>4.2</v>
      </c>
      <c r="AW84" s="353">
        <v>4.2</v>
      </c>
      <c r="AX84" s="353">
        <v>4.2</v>
      </c>
      <c r="AY84" s="353">
        <v>4.2</v>
      </c>
      <c r="AZ84" s="150">
        <v>1.2500000000000001E-2</v>
      </c>
      <c r="BA84" s="104">
        <f t="shared" si="2"/>
        <v>1.25</v>
      </c>
      <c r="BC84" s="442">
        <v>4.46</v>
      </c>
      <c r="BD84" s="684">
        <f t="shared" ref="BD84:BD93" si="4">BD$82+(BD$94-BD$82)/12*$BH84</f>
        <v>21421.166666666668</v>
      </c>
      <c r="BE84" s="684">
        <f t="shared" si="3"/>
        <v>13465.166666666666</v>
      </c>
      <c r="BF84" s="684">
        <f t="shared" si="3"/>
        <v>17484.5</v>
      </c>
      <c r="BG84" s="684">
        <f t="shared" si="3"/>
        <v>8928</v>
      </c>
      <c r="BH84" s="684">
        <v>2</v>
      </c>
    </row>
    <row r="85" spans="1:60">
      <c r="A85" s="107">
        <v>42124</v>
      </c>
      <c r="B85" s="353">
        <v>2.5499999999999998</v>
      </c>
      <c r="C85" s="353">
        <v>2.67</v>
      </c>
      <c r="D85" s="353">
        <v>2.85</v>
      </c>
      <c r="E85" s="353">
        <v>3.04</v>
      </c>
      <c r="F85" s="353">
        <v>3.23</v>
      </c>
      <c r="G85" s="353">
        <v>3.4</v>
      </c>
      <c r="H85" s="353">
        <v>3.56</v>
      </c>
      <c r="I85" s="353">
        <v>3.69</v>
      </c>
      <c r="J85" s="353">
        <v>3.82</v>
      </c>
      <c r="K85" s="353">
        <v>3.93</v>
      </c>
      <c r="L85" s="353">
        <v>4.03</v>
      </c>
      <c r="M85" s="353">
        <v>4.12</v>
      </c>
      <c r="N85" s="353">
        <v>4.1900000000000004</v>
      </c>
      <c r="O85" s="353">
        <v>4.26</v>
      </c>
      <c r="P85" s="442">
        <v>4.3099999999999996</v>
      </c>
      <c r="Q85" s="353">
        <v>4.34</v>
      </c>
      <c r="R85" s="353">
        <v>4.3600000000000003</v>
      </c>
      <c r="S85" s="353">
        <v>4.37</v>
      </c>
      <c r="T85" s="353">
        <v>4.3899999999999997</v>
      </c>
      <c r="U85" s="353">
        <v>4.41</v>
      </c>
      <c r="V85" s="353">
        <v>4.3899999999999997</v>
      </c>
      <c r="W85" s="353">
        <v>4.38</v>
      </c>
      <c r="X85" s="353">
        <v>4.37</v>
      </c>
      <c r="Y85" s="353">
        <v>4.37</v>
      </c>
      <c r="Z85" s="353">
        <v>4.3600000000000003</v>
      </c>
      <c r="AA85" s="353">
        <v>4.34</v>
      </c>
      <c r="AB85" s="353">
        <v>4.32</v>
      </c>
      <c r="AC85" s="353">
        <v>4.3</v>
      </c>
      <c r="AD85" s="353">
        <v>4.29</v>
      </c>
      <c r="AE85" s="353">
        <v>4.2699999999999996</v>
      </c>
      <c r="AF85" s="353">
        <v>4.26</v>
      </c>
      <c r="AG85" s="353">
        <v>4.25</v>
      </c>
      <c r="AH85" s="353">
        <v>4.24</v>
      </c>
      <c r="AI85" s="353">
        <v>4.2300000000000004</v>
      </c>
      <c r="AJ85" s="353">
        <v>4.22</v>
      </c>
      <c r="AK85" s="353">
        <v>4.21</v>
      </c>
      <c r="AL85" s="353">
        <v>4.2</v>
      </c>
      <c r="AM85" s="353">
        <v>4.1900000000000004</v>
      </c>
      <c r="AN85" s="353">
        <v>4.18</v>
      </c>
      <c r="AO85" s="353">
        <v>4.17</v>
      </c>
      <c r="AP85" s="353">
        <v>4.17</v>
      </c>
      <c r="AQ85" s="353">
        <v>4.17</v>
      </c>
      <c r="AR85" s="353">
        <v>4.16</v>
      </c>
      <c r="AS85" s="353">
        <v>4.16</v>
      </c>
      <c r="AT85" s="353">
        <v>4.16</v>
      </c>
      <c r="AU85" s="353">
        <v>4.1500000000000004</v>
      </c>
      <c r="AV85" s="353">
        <v>4.1500000000000004</v>
      </c>
      <c r="AW85" s="353">
        <v>4.1500000000000004</v>
      </c>
      <c r="AX85" s="353">
        <v>4.1500000000000004</v>
      </c>
      <c r="AY85" s="353">
        <v>4.1500000000000004</v>
      </c>
      <c r="AZ85" s="150">
        <v>1.2500000000000001E-2</v>
      </c>
      <c r="BA85" s="104">
        <f t="shared" si="2"/>
        <v>1.25</v>
      </c>
      <c r="BC85" s="442">
        <v>4.43</v>
      </c>
      <c r="BD85" s="684">
        <f t="shared" si="4"/>
        <v>21722.75</v>
      </c>
      <c r="BE85" s="684">
        <f t="shared" si="3"/>
        <v>13860.25</v>
      </c>
      <c r="BF85" s="684">
        <f t="shared" si="3"/>
        <v>17944.25</v>
      </c>
      <c r="BG85" s="684">
        <f t="shared" si="3"/>
        <v>9447</v>
      </c>
      <c r="BH85" s="684">
        <v>3</v>
      </c>
    </row>
    <row r="86" spans="1:60">
      <c r="A86" s="107">
        <v>42155</v>
      </c>
      <c r="B86" s="353">
        <v>2.4900000000000002</v>
      </c>
      <c r="C86" s="353">
        <v>2.61</v>
      </c>
      <c r="D86" s="353">
        <v>2.79</v>
      </c>
      <c r="E86" s="353">
        <v>2.98</v>
      </c>
      <c r="F86" s="353">
        <v>3.17</v>
      </c>
      <c r="G86" s="353">
        <v>3.34</v>
      </c>
      <c r="H86" s="353">
        <v>3.5</v>
      </c>
      <c r="I86" s="353">
        <v>3.64</v>
      </c>
      <c r="J86" s="353">
        <v>3.76</v>
      </c>
      <c r="K86" s="353">
        <v>3.88</v>
      </c>
      <c r="L86" s="353">
        <v>3.98</v>
      </c>
      <c r="M86" s="353">
        <v>4.07</v>
      </c>
      <c r="N86" s="353">
        <v>4.1399999999999997</v>
      </c>
      <c r="O86" s="353">
        <v>4.2</v>
      </c>
      <c r="P86" s="442">
        <v>4.26</v>
      </c>
      <c r="Q86" s="353">
        <v>4.28</v>
      </c>
      <c r="R86" s="353">
        <v>4.3</v>
      </c>
      <c r="S86" s="353">
        <v>4.32</v>
      </c>
      <c r="T86" s="353">
        <v>4.34</v>
      </c>
      <c r="U86" s="353">
        <v>4.3600000000000003</v>
      </c>
      <c r="V86" s="353">
        <v>4.34</v>
      </c>
      <c r="W86" s="353">
        <v>4.33</v>
      </c>
      <c r="X86" s="353">
        <v>4.32</v>
      </c>
      <c r="Y86" s="353">
        <v>4.32</v>
      </c>
      <c r="Z86" s="353">
        <v>4.3099999999999996</v>
      </c>
      <c r="AA86" s="353">
        <v>4.29</v>
      </c>
      <c r="AB86" s="353">
        <v>4.2699999999999996</v>
      </c>
      <c r="AC86" s="353">
        <v>4.25</v>
      </c>
      <c r="AD86" s="353">
        <v>4.24</v>
      </c>
      <c r="AE86" s="353">
        <v>4.22</v>
      </c>
      <c r="AF86" s="353">
        <v>4.21</v>
      </c>
      <c r="AG86" s="353">
        <v>4.2</v>
      </c>
      <c r="AH86" s="353">
        <v>4.1900000000000004</v>
      </c>
      <c r="AI86" s="353">
        <v>4.18</v>
      </c>
      <c r="AJ86" s="353">
        <v>4.17</v>
      </c>
      <c r="AK86" s="353">
        <v>4.16</v>
      </c>
      <c r="AL86" s="353">
        <v>4.1500000000000004</v>
      </c>
      <c r="AM86" s="353">
        <v>4.1399999999999997</v>
      </c>
      <c r="AN86" s="353">
        <v>4.13</v>
      </c>
      <c r="AO86" s="353">
        <v>4.13</v>
      </c>
      <c r="AP86" s="353">
        <v>4.12</v>
      </c>
      <c r="AQ86" s="353">
        <v>4.12</v>
      </c>
      <c r="AR86" s="353">
        <v>4.12</v>
      </c>
      <c r="AS86" s="353">
        <v>4.1100000000000003</v>
      </c>
      <c r="AT86" s="353">
        <v>4.1100000000000003</v>
      </c>
      <c r="AU86" s="353">
        <v>4.1100000000000003</v>
      </c>
      <c r="AV86" s="353">
        <v>4.0999999999999996</v>
      </c>
      <c r="AW86" s="353">
        <v>4.0999999999999996</v>
      </c>
      <c r="AX86" s="353">
        <v>4.0999999999999996</v>
      </c>
      <c r="AY86" s="353">
        <v>4.0999999999999996</v>
      </c>
      <c r="AZ86" s="150">
        <v>1.2500000000000001E-2</v>
      </c>
      <c r="BA86" s="104">
        <f t="shared" si="2"/>
        <v>1.25</v>
      </c>
      <c r="BC86" s="442">
        <v>4.41</v>
      </c>
      <c r="BD86" s="684">
        <f t="shared" si="4"/>
        <v>22024.333333333332</v>
      </c>
      <c r="BE86" s="684">
        <f t="shared" si="3"/>
        <v>14255.333333333334</v>
      </c>
      <c r="BF86" s="684">
        <f t="shared" si="3"/>
        <v>18404</v>
      </c>
      <c r="BG86" s="684">
        <f t="shared" si="3"/>
        <v>9966</v>
      </c>
      <c r="BH86" s="684">
        <v>4</v>
      </c>
    </row>
    <row r="87" spans="1:60">
      <c r="A87" s="107">
        <v>42185</v>
      </c>
      <c r="B87" s="353">
        <v>2.42</v>
      </c>
      <c r="C87" s="353">
        <v>2.54</v>
      </c>
      <c r="D87" s="353">
        <v>2.72</v>
      </c>
      <c r="E87" s="353">
        <v>2.92</v>
      </c>
      <c r="F87" s="353">
        <v>3.11</v>
      </c>
      <c r="G87" s="353">
        <v>3.29</v>
      </c>
      <c r="H87" s="353">
        <v>3.45</v>
      </c>
      <c r="I87" s="353">
        <v>3.59</v>
      </c>
      <c r="J87" s="353">
        <v>3.71</v>
      </c>
      <c r="K87" s="353">
        <v>3.83</v>
      </c>
      <c r="L87" s="353">
        <v>3.93</v>
      </c>
      <c r="M87" s="353">
        <v>4.0199999999999996</v>
      </c>
      <c r="N87" s="353">
        <v>4.09</v>
      </c>
      <c r="O87" s="353">
        <v>4.16</v>
      </c>
      <c r="P87" s="442">
        <v>4.21</v>
      </c>
      <c r="Q87" s="353">
        <v>4.24</v>
      </c>
      <c r="R87" s="353">
        <v>4.26</v>
      </c>
      <c r="S87" s="353">
        <v>4.28</v>
      </c>
      <c r="T87" s="353">
        <v>4.3</v>
      </c>
      <c r="U87" s="353">
        <v>4.3099999999999996</v>
      </c>
      <c r="V87" s="353">
        <v>4.3</v>
      </c>
      <c r="W87" s="353">
        <v>4.29</v>
      </c>
      <c r="X87" s="353">
        <v>4.28</v>
      </c>
      <c r="Y87" s="353">
        <v>4.2699999999999996</v>
      </c>
      <c r="Z87" s="353">
        <v>4.2699999999999996</v>
      </c>
      <c r="AA87" s="353">
        <v>4.25</v>
      </c>
      <c r="AB87" s="353">
        <v>4.2300000000000004</v>
      </c>
      <c r="AC87" s="353">
        <v>4.21</v>
      </c>
      <c r="AD87" s="353">
        <v>4.2</v>
      </c>
      <c r="AE87" s="353">
        <v>4.18</v>
      </c>
      <c r="AF87" s="353">
        <v>4.17</v>
      </c>
      <c r="AG87" s="353">
        <v>4.16</v>
      </c>
      <c r="AH87" s="353">
        <v>4.1500000000000004</v>
      </c>
      <c r="AI87" s="353">
        <v>4.1399999999999997</v>
      </c>
      <c r="AJ87" s="353">
        <v>4.13</v>
      </c>
      <c r="AK87" s="353">
        <v>4.12</v>
      </c>
      <c r="AL87" s="353">
        <v>4.1100000000000003</v>
      </c>
      <c r="AM87" s="353">
        <v>4.0999999999999996</v>
      </c>
      <c r="AN87" s="353">
        <v>4.09</v>
      </c>
      <c r="AO87" s="353">
        <v>4.09</v>
      </c>
      <c r="AP87" s="353">
        <v>4.08</v>
      </c>
      <c r="AQ87" s="353">
        <v>4.08</v>
      </c>
      <c r="AR87" s="353">
        <v>4.08</v>
      </c>
      <c r="AS87" s="353">
        <v>4.08</v>
      </c>
      <c r="AT87" s="353">
        <v>4.07</v>
      </c>
      <c r="AU87" s="353">
        <v>4.07</v>
      </c>
      <c r="AV87" s="353">
        <v>4.07</v>
      </c>
      <c r="AW87" s="353">
        <v>4.07</v>
      </c>
      <c r="AX87" s="353">
        <v>4.0599999999999996</v>
      </c>
      <c r="AY87" s="353">
        <v>4.0599999999999996</v>
      </c>
      <c r="AZ87" s="150">
        <v>1.2500000000000001E-2</v>
      </c>
      <c r="BA87" s="104">
        <f t="shared" si="2"/>
        <v>1.25</v>
      </c>
      <c r="BC87" s="442">
        <v>4.3899999999999997</v>
      </c>
      <c r="BD87" s="684">
        <f t="shared" si="4"/>
        <v>22325.916666666668</v>
      </c>
      <c r="BE87" s="684">
        <f t="shared" si="3"/>
        <v>14650.416666666666</v>
      </c>
      <c r="BF87" s="684">
        <f t="shared" si="3"/>
        <v>18863.75</v>
      </c>
      <c r="BG87" s="684">
        <f t="shared" si="3"/>
        <v>10485</v>
      </c>
      <c r="BH87" s="684">
        <v>5</v>
      </c>
    </row>
    <row r="88" spans="1:60">
      <c r="A88" s="107">
        <v>42216</v>
      </c>
      <c r="B88" s="353">
        <v>2.35</v>
      </c>
      <c r="C88" s="353">
        <v>2.48</v>
      </c>
      <c r="D88" s="353">
        <v>2.66</v>
      </c>
      <c r="E88" s="353">
        <v>2.86</v>
      </c>
      <c r="F88" s="353">
        <v>3.05</v>
      </c>
      <c r="G88" s="353">
        <v>3.23</v>
      </c>
      <c r="H88" s="353">
        <v>3.39</v>
      </c>
      <c r="I88" s="353">
        <v>3.54</v>
      </c>
      <c r="J88" s="353">
        <v>3.66</v>
      </c>
      <c r="K88" s="353">
        <v>3.78</v>
      </c>
      <c r="L88" s="353">
        <v>3.88</v>
      </c>
      <c r="M88" s="353">
        <v>3.97</v>
      </c>
      <c r="N88" s="353">
        <v>4.05</v>
      </c>
      <c r="O88" s="353">
        <v>4.1100000000000003</v>
      </c>
      <c r="P88" s="442">
        <v>4.17</v>
      </c>
      <c r="Q88" s="353">
        <v>4.1900000000000004</v>
      </c>
      <c r="R88" s="353">
        <v>4.21</v>
      </c>
      <c r="S88" s="353">
        <v>4.2300000000000004</v>
      </c>
      <c r="T88" s="353">
        <v>4.25</v>
      </c>
      <c r="U88" s="353">
        <v>4.2699999999999996</v>
      </c>
      <c r="V88" s="353">
        <v>4.26</v>
      </c>
      <c r="W88" s="353">
        <v>4.25</v>
      </c>
      <c r="X88" s="353">
        <v>4.24</v>
      </c>
      <c r="Y88" s="353">
        <v>4.2300000000000004</v>
      </c>
      <c r="Z88" s="353">
        <v>4.22</v>
      </c>
      <c r="AA88" s="353">
        <v>4.2</v>
      </c>
      <c r="AB88" s="353">
        <v>4.18</v>
      </c>
      <c r="AC88" s="353">
        <v>4.17</v>
      </c>
      <c r="AD88" s="353">
        <v>4.1500000000000004</v>
      </c>
      <c r="AE88" s="353">
        <v>4.1399999999999997</v>
      </c>
      <c r="AF88" s="353">
        <v>4.13</v>
      </c>
      <c r="AG88" s="353">
        <v>4.12</v>
      </c>
      <c r="AH88" s="353">
        <v>4.1100000000000003</v>
      </c>
      <c r="AI88" s="353">
        <v>4.0999999999999996</v>
      </c>
      <c r="AJ88" s="353">
        <v>4.09</v>
      </c>
      <c r="AK88" s="353">
        <v>4.08</v>
      </c>
      <c r="AL88" s="353">
        <v>4.07</v>
      </c>
      <c r="AM88" s="353">
        <v>4.0599999999999996</v>
      </c>
      <c r="AN88" s="353">
        <v>4.05</v>
      </c>
      <c r="AO88" s="353">
        <v>4.05</v>
      </c>
      <c r="AP88" s="353">
        <v>4.04</v>
      </c>
      <c r="AQ88" s="353">
        <v>4.04</v>
      </c>
      <c r="AR88" s="353">
        <v>4.04</v>
      </c>
      <c r="AS88" s="353">
        <v>4.03</v>
      </c>
      <c r="AT88" s="353">
        <v>4.03</v>
      </c>
      <c r="AU88" s="353">
        <v>4.03</v>
      </c>
      <c r="AV88" s="353">
        <v>4.03</v>
      </c>
      <c r="AW88" s="353">
        <v>4.03</v>
      </c>
      <c r="AX88" s="353">
        <v>4.0199999999999996</v>
      </c>
      <c r="AY88" s="353">
        <v>4.0199999999999996</v>
      </c>
      <c r="AZ88" s="150">
        <v>1.2500000000000001E-2</v>
      </c>
      <c r="BA88" s="104">
        <f t="shared" si="2"/>
        <v>1.25</v>
      </c>
      <c r="BC88" s="442">
        <v>4.38</v>
      </c>
      <c r="BD88" s="684">
        <f t="shared" si="4"/>
        <v>22627.5</v>
      </c>
      <c r="BE88" s="684">
        <f t="shared" si="3"/>
        <v>15045.5</v>
      </c>
      <c r="BF88" s="684">
        <f t="shared" si="3"/>
        <v>19323.5</v>
      </c>
      <c r="BG88" s="684">
        <f t="shared" si="3"/>
        <v>11004</v>
      </c>
      <c r="BH88" s="684">
        <v>6</v>
      </c>
    </row>
    <row r="89" spans="1:60">
      <c r="A89" s="107">
        <v>42247</v>
      </c>
      <c r="B89" s="353">
        <v>2.29</v>
      </c>
      <c r="C89" s="353">
        <v>2.42</v>
      </c>
      <c r="D89" s="353">
        <v>2.6</v>
      </c>
      <c r="E89" s="353">
        <v>2.8</v>
      </c>
      <c r="F89" s="353">
        <v>3</v>
      </c>
      <c r="G89" s="353">
        <v>3.18</v>
      </c>
      <c r="H89" s="353">
        <v>3.34</v>
      </c>
      <c r="I89" s="353">
        <v>3.49</v>
      </c>
      <c r="J89" s="353">
        <v>3.61</v>
      </c>
      <c r="K89" s="353">
        <v>3.73</v>
      </c>
      <c r="L89" s="353">
        <v>3.84</v>
      </c>
      <c r="M89" s="353">
        <v>3.92</v>
      </c>
      <c r="N89" s="353">
        <v>4</v>
      </c>
      <c r="O89" s="353">
        <v>4.07</v>
      </c>
      <c r="P89" s="442">
        <v>4.12</v>
      </c>
      <c r="Q89" s="353">
        <v>4.1500000000000004</v>
      </c>
      <c r="R89" s="353">
        <v>4.17</v>
      </c>
      <c r="S89" s="353">
        <v>4.1900000000000004</v>
      </c>
      <c r="T89" s="353">
        <v>4.21</v>
      </c>
      <c r="U89" s="353">
        <v>4.22</v>
      </c>
      <c r="V89" s="353">
        <v>4.21</v>
      </c>
      <c r="W89" s="353">
        <v>4.2</v>
      </c>
      <c r="X89" s="353">
        <v>4.1900000000000004</v>
      </c>
      <c r="Y89" s="353">
        <v>4.1900000000000004</v>
      </c>
      <c r="Z89" s="353">
        <v>4.18</v>
      </c>
      <c r="AA89" s="353">
        <v>4.16</v>
      </c>
      <c r="AB89" s="353">
        <v>4.1399999999999997</v>
      </c>
      <c r="AC89" s="353">
        <v>4.13</v>
      </c>
      <c r="AD89" s="353">
        <v>4.1100000000000003</v>
      </c>
      <c r="AE89" s="353">
        <v>4.0999999999999996</v>
      </c>
      <c r="AF89" s="353">
        <v>4.09</v>
      </c>
      <c r="AG89" s="353">
        <v>4.08</v>
      </c>
      <c r="AH89" s="353">
        <v>4.07</v>
      </c>
      <c r="AI89" s="353">
        <v>4.0599999999999996</v>
      </c>
      <c r="AJ89" s="353">
        <v>4.05</v>
      </c>
      <c r="AK89" s="353">
        <v>4.04</v>
      </c>
      <c r="AL89" s="353">
        <v>4.03</v>
      </c>
      <c r="AM89" s="353">
        <v>4.0199999999999996</v>
      </c>
      <c r="AN89" s="353">
        <v>4.01</v>
      </c>
      <c r="AO89" s="353">
        <v>4.01</v>
      </c>
      <c r="AP89" s="353">
        <v>4</v>
      </c>
      <c r="AQ89" s="353">
        <v>4</v>
      </c>
      <c r="AR89" s="353">
        <v>4</v>
      </c>
      <c r="AS89" s="353">
        <v>4</v>
      </c>
      <c r="AT89" s="353">
        <v>3.99</v>
      </c>
      <c r="AU89" s="353">
        <v>3.99</v>
      </c>
      <c r="AV89" s="353">
        <v>3.99</v>
      </c>
      <c r="AW89" s="353">
        <v>3.99</v>
      </c>
      <c r="AX89" s="353">
        <v>3.99</v>
      </c>
      <c r="AY89" s="353">
        <v>3.98</v>
      </c>
      <c r="AZ89" s="150">
        <v>1.2500000000000001E-2</v>
      </c>
      <c r="BA89" s="104">
        <f t="shared" si="2"/>
        <v>1.25</v>
      </c>
      <c r="BC89" s="442">
        <v>4.3600000000000003</v>
      </c>
      <c r="BD89" s="684">
        <f t="shared" si="4"/>
        <v>22929.083333333332</v>
      </c>
      <c r="BE89" s="684">
        <f t="shared" si="3"/>
        <v>15440.583333333332</v>
      </c>
      <c r="BF89" s="684">
        <f t="shared" si="3"/>
        <v>19783.25</v>
      </c>
      <c r="BG89" s="684">
        <f t="shared" si="3"/>
        <v>11523</v>
      </c>
      <c r="BH89" s="684">
        <v>7</v>
      </c>
    </row>
    <row r="90" spans="1:60">
      <c r="A90" s="107">
        <v>42277</v>
      </c>
      <c r="B90" s="353">
        <v>2.21</v>
      </c>
      <c r="C90" s="353">
        <v>2.35</v>
      </c>
      <c r="D90" s="353">
        <v>2.5299999999999998</v>
      </c>
      <c r="E90" s="353">
        <v>2.73</v>
      </c>
      <c r="F90" s="353">
        <v>2.93</v>
      </c>
      <c r="G90" s="353">
        <v>3.11</v>
      </c>
      <c r="H90" s="353">
        <v>3.28</v>
      </c>
      <c r="I90" s="353">
        <v>3.42</v>
      </c>
      <c r="J90" s="353">
        <v>3.55</v>
      </c>
      <c r="K90" s="353">
        <v>3.67</v>
      </c>
      <c r="L90" s="353">
        <v>3.78</v>
      </c>
      <c r="M90" s="353">
        <v>3.87</v>
      </c>
      <c r="N90" s="353">
        <v>3.94</v>
      </c>
      <c r="O90" s="353">
        <v>4.01</v>
      </c>
      <c r="P90" s="442">
        <v>4.07</v>
      </c>
      <c r="Q90" s="353">
        <v>4.09</v>
      </c>
      <c r="R90" s="353">
        <v>4.1100000000000003</v>
      </c>
      <c r="S90" s="353">
        <v>4.1399999999999997</v>
      </c>
      <c r="T90" s="353">
        <v>4.1500000000000004</v>
      </c>
      <c r="U90" s="353">
        <v>4.17</v>
      </c>
      <c r="V90" s="353">
        <v>4.16</v>
      </c>
      <c r="W90" s="353">
        <v>4.1500000000000004</v>
      </c>
      <c r="X90" s="353">
        <v>4.1399999999999997</v>
      </c>
      <c r="Y90" s="353">
        <v>4.1399999999999997</v>
      </c>
      <c r="Z90" s="353">
        <v>4.13</v>
      </c>
      <c r="AA90" s="353">
        <v>4.1100000000000003</v>
      </c>
      <c r="AB90" s="353">
        <v>4.09</v>
      </c>
      <c r="AC90" s="353">
        <v>4.08</v>
      </c>
      <c r="AD90" s="353">
        <v>4.0599999999999996</v>
      </c>
      <c r="AE90" s="353">
        <v>4.05</v>
      </c>
      <c r="AF90" s="353">
        <v>4.04</v>
      </c>
      <c r="AG90" s="353">
        <v>4.03</v>
      </c>
      <c r="AH90" s="353">
        <v>4.0199999999999996</v>
      </c>
      <c r="AI90" s="353">
        <v>4.01</v>
      </c>
      <c r="AJ90" s="353">
        <v>4</v>
      </c>
      <c r="AK90" s="353">
        <v>3.99</v>
      </c>
      <c r="AL90" s="353">
        <v>3.98</v>
      </c>
      <c r="AM90" s="353">
        <v>3.97</v>
      </c>
      <c r="AN90" s="353">
        <v>3.97</v>
      </c>
      <c r="AO90" s="353">
        <v>3.96</v>
      </c>
      <c r="AP90" s="353">
        <v>3.96</v>
      </c>
      <c r="AQ90" s="353">
        <v>3.95</v>
      </c>
      <c r="AR90" s="353">
        <v>3.95</v>
      </c>
      <c r="AS90" s="353">
        <v>3.95</v>
      </c>
      <c r="AT90" s="353">
        <v>3.95</v>
      </c>
      <c r="AU90" s="353">
        <v>3.94</v>
      </c>
      <c r="AV90" s="353">
        <v>3.94</v>
      </c>
      <c r="AW90" s="353">
        <v>3.94</v>
      </c>
      <c r="AX90" s="353">
        <v>3.94</v>
      </c>
      <c r="AY90" s="353">
        <v>3.94</v>
      </c>
      <c r="AZ90" s="150">
        <v>1.2500000000000001E-2</v>
      </c>
      <c r="BA90" s="104">
        <f t="shared" si="2"/>
        <v>1.25</v>
      </c>
      <c r="BC90" s="442">
        <v>4.3499999999999996</v>
      </c>
      <c r="BD90" s="684">
        <f t="shared" si="4"/>
        <v>23230.666666666668</v>
      </c>
      <c r="BE90" s="684">
        <f t="shared" si="3"/>
        <v>15835.666666666666</v>
      </c>
      <c r="BF90" s="684">
        <f t="shared" si="3"/>
        <v>20243</v>
      </c>
      <c r="BG90" s="684">
        <f t="shared" si="3"/>
        <v>12042</v>
      </c>
      <c r="BH90" s="684">
        <v>8</v>
      </c>
    </row>
    <row r="91" spans="1:60">
      <c r="A91" s="107">
        <v>42308</v>
      </c>
      <c r="B91" s="353">
        <v>2.14</v>
      </c>
      <c r="C91" s="353">
        <v>2.2799999999999998</v>
      </c>
      <c r="D91" s="353">
        <v>2.46</v>
      </c>
      <c r="E91" s="353">
        <v>2.67</v>
      </c>
      <c r="F91" s="353">
        <v>2.86</v>
      </c>
      <c r="G91" s="353">
        <v>3.05</v>
      </c>
      <c r="H91" s="353">
        <v>3.21</v>
      </c>
      <c r="I91" s="353">
        <v>3.36</v>
      </c>
      <c r="J91" s="353">
        <v>3.49</v>
      </c>
      <c r="K91" s="353">
        <v>3.6</v>
      </c>
      <c r="L91" s="353">
        <v>3.71</v>
      </c>
      <c r="M91" s="353">
        <v>3.8</v>
      </c>
      <c r="N91" s="353">
        <v>3.88</v>
      </c>
      <c r="O91" s="353">
        <v>3.94</v>
      </c>
      <c r="P91" s="442">
        <v>4</v>
      </c>
      <c r="Q91" s="353">
        <v>4.03</v>
      </c>
      <c r="R91" s="353">
        <v>4.05</v>
      </c>
      <c r="S91" s="353">
        <v>4.07</v>
      </c>
      <c r="T91" s="353">
        <v>4.09</v>
      </c>
      <c r="U91" s="353">
        <v>4.1100000000000003</v>
      </c>
      <c r="V91" s="353">
        <v>4.0999999999999996</v>
      </c>
      <c r="W91" s="353">
        <v>4.09</v>
      </c>
      <c r="X91" s="353">
        <v>4.09</v>
      </c>
      <c r="Y91" s="353">
        <v>4.08</v>
      </c>
      <c r="Z91" s="353">
        <v>4.07</v>
      </c>
      <c r="AA91" s="353">
        <v>4.05</v>
      </c>
      <c r="AB91" s="353">
        <v>4.04</v>
      </c>
      <c r="AC91" s="353">
        <v>4.0199999999999996</v>
      </c>
      <c r="AD91" s="353">
        <v>4.01</v>
      </c>
      <c r="AE91" s="353">
        <v>4</v>
      </c>
      <c r="AF91" s="353">
        <v>3.98</v>
      </c>
      <c r="AG91" s="353">
        <v>3.97</v>
      </c>
      <c r="AH91" s="353">
        <v>3.96</v>
      </c>
      <c r="AI91" s="353">
        <v>3.95</v>
      </c>
      <c r="AJ91" s="353">
        <v>3.95</v>
      </c>
      <c r="AK91" s="353">
        <v>3.94</v>
      </c>
      <c r="AL91" s="353">
        <v>3.93</v>
      </c>
      <c r="AM91" s="353">
        <v>3.92</v>
      </c>
      <c r="AN91" s="353">
        <v>3.91</v>
      </c>
      <c r="AO91" s="353">
        <v>3.91</v>
      </c>
      <c r="AP91" s="353">
        <v>3.9</v>
      </c>
      <c r="AQ91" s="353">
        <v>3.9</v>
      </c>
      <c r="AR91" s="353">
        <v>3.9</v>
      </c>
      <c r="AS91" s="353">
        <v>3.9</v>
      </c>
      <c r="AT91" s="353">
        <v>3.9</v>
      </c>
      <c r="AU91" s="353">
        <v>3.89</v>
      </c>
      <c r="AV91" s="353">
        <v>3.89</v>
      </c>
      <c r="AW91" s="353">
        <v>3.89</v>
      </c>
      <c r="AX91" s="353">
        <v>3.89</v>
      </c>
      <c r="AY91" s="353">
        <v>3.89</v>
      </c>
      <c r="AZ91" s="150">
        <v>1.2500000000000001E-2</v>
      </c>
      <c r="BA91" s="104">
        <f t="shared" si="2"/>
        <v>1.25</v>
      </c>
      <c r="BC91" s="442">
        <v>4.33</v>
      </c>
      <c r="BD91" s="684">
        <f t="shared" si="4"/>
        <v>23532.25</v>
      </c>
      <c r="BE91" s="684">
        <f t="shared" si="3"/>
        <v>16230.75</v>
      </c>
      <c r="BF91" s="684">
        <f t="shared" si="3"/>
        <v>20702.75</v>
      </c>
      <c r="BG91" s="684">
        <f t="shared" si="3"/>
        <v>12561</v>
      </c>
      <c r="BH91" s="684">
        <v>9</v>
      </c>
    </row>
    <row r="92" spans="1:60">
      <c r="A92" s="107">
        <v>42338</v>
      </c>
      <c r="B92" s="353">
        <v>2.08</v>
      </c>
      <c r="C92" s="353">
        <v>2.2200000000000002</v>
      </c>
      <c r="D92" s="353">
        <v>2.4</v>
      </c>
      <c r="E92" s="353">
        <v>2.6</v>
      </c>
      <c r="F92" s="353">
        <v>2.8</v>
      </c>
      <c r="G92" s="353">
        <v>2.98</v>
      </c>
      <c r="H92" s="353">
        <v>3.14</v>
      </c>
      <c r="I92" s="353">
        <v>3.29</v>
      </c>
      <c r="J92" s="353">
        <v>3.42</v>
      </c>
      <c r="K92" s="353">
        <v>3.54</v>
      </c>
      <c r="L92" s="353">
        <v>3.65</v>
      </c>
      <c r="M92" s="353">
        <v>3.74</v>
      </c>
      <c r="N92" s="353">
        <v>3.82</v>
      </c>
      <c r="O92" s="353">
        <v>3.88</v>
      </c>
      <c r="P92" s="442">
        <v>3.94</v>
      </c>
      <c r="Q92" s="353">
        <v>3.97</v>
      </c>
      <c r="R92" s="353">
        <v>4</v>
      </c>
      <c r="S92" s="353">
        <v>4.0199999999999996</v>
      </c>
      <c r="T92" s="353">
        <v>4.04</v>
      </c>
      <c r="U92" s="353">
        <v>4.05</v>
      </c>
      <c r="V92" s="353">
        <v>4.05</v>
      </c>
      <c r="W92" s="353">
        <v>4.04</v>
      </c>
      <c r="X92" s="353">
        <v>4.03</v>
      </c>
      <c r="Y92" s="353">
        <v>4.03</v>
      </c>
      <c r="Z92" s="353">
        <v>4.0199999999999996</v>
      </c>
      <c r="AA92" s="353">
        <v>4</v>
      </c>
      <c r="AB92" s="353">
        <v>3.99</v>
      </c>
      <c r="AC92" s="353">
        <v>3.97</v>
      </c>
      <c r="AD92" s="353">
        <v>3.96</v>
      </c>
      <c r="AE92" s="353">
        <v>3.95</v>
      </c>
      <c r="AF92" s="353">
        <v>3.94</v>
      </c>
      <c r="AG92" s="353">
        <v>3.93</v>
      </c>
      <c r="AH92" s="353">
        <v>3.92</v>
      </c>
      <c r="AI92" s="353">
        <v>3.91</v>
      </c>
      <c r="AJ92" s="353">
        <v>3.9</v>
      </c>
      <c r="AK92" s="353">
        <v>3.89</v>
      </c>
      <c r="AL92" s="353">
        <v>3.88</v>
      </c>
      <c r="AM92" s="353">
        <v>3.88</v>
      </c>
      <c r="AN92" s="353">
        <v>3.87</v>
      </c>
      <c r="AO92" s="353">
        <v>3.86</v>
      </c>
      <c r="AP92" s="353">
        <v>3.86</v>
      </c>
      <c r="AQ92" s="353">
        <v>3.86</v>
      </c>
      <c r="AR92" s="353">
        <v>3.86</v>
      </c>
      <c r="AS92" s="353">
        <v>3.85</v>
      </c>
      <c r="AT92" s="353">
        <v>3.85</v>
      </c>
      <c r="AU92" s="353">
        <v>3.85</v>
      </c>
      <c r="AV92" s="353">
        <v>3.85</v>
      </c>
      <c r="AW92" s="353">
        <v>3.85</v>
      </c>
      <c r="AX92" s="353">
        <v>3.84</v>
      </c>
      <c r="AY92" s="353">
        <v>3.84</v>
      </c>
      <c r="AZ92" s="150">
        <v>1.2500000000000001E-2</v>
      </c>
      <c r="BA92" s="104">
        <f t="shared" si="2"/>
        <v>1.25</v>
      </c>
      <c r="BC92" s="442">
        <v>4.32</v>
      </c>
      <c r="BD92" s="684">
        <f t="shared" si="4"/>
        <v>23833.833333333332</v>
      </c>
      <c r="BE92" s="684">
        <f t="shared" si="3"/>
        <v>16625.833333333332</v>
      </c>
      <c r="BF92" s="684">
        <f t="shared" si="3"/>
        <v>21162.5</v>
      </c>
      <c r="BG92" s="684">
        <f t="shared" si="3"/>
        <v>13080</v>
      </c>
      <c r="BH92" s="684">
        <v>10</v>
      </c>
    </row>
    <row r="93" spans="1:60">
      <c r="A93" s="107">
        <v>42369</v>
      </c>
      <c r="B93" s="353">
        <v>2.02</v>
      </c>
      <c r="C93" s="353">
        <v>2.16</v>
      </c>
      <c r="D93" s="353">
        <v>2.34</v>
      </c>
      <c r="E93" s="353">
        <v>2.54</v>
      </c>
      <c r="F93" s="353">
        <v>2.74</v>
      </c>
      <c r="G93" s="353">
        <v>2.92</v>
      </c>
      <c r="H93" s="353">
        <v>3.09</v>
      </c>
      <c r="I93" s="353">
        <v>3.23</v>
      </c>
      <c r="J93" s="353">
        <v>3.36</v>
      </c>
      <c r="K93" s="353">
        <v>3.48</v>
      </c>
      <c r="L93" s="353">
        <v>3.59</v>
      </c>
      <c r="M93" s="353">
        <v>3.68</v>
      </c>
      <c r="N93" s="353">
        <v>3.76</v>
      </c>
      <c r="O93" s="353">
        <v>3.83</v>
      </c>
      <c r="P93" s="442">
        <v>3.89</v>
      </c>
      <c r="Q93" s="353">
        <v>3.92</v>
      </c>
      <c r="R93" s="353">
        <v>3.94</v>
      </c>
      <c r="S93" s="353">
        <v>3.96</v>
      </c>
      <c r="T93" s="353">
        <v>3.98</v>
      </c>
      <c r="U93" s="353">
        <v>4</v>
      </c>
      <c r="V93" s="353">
        <v>4</v>
      </c>
      <c r="W93" s="353">
        <v>3.99</v>
      </c>
      <c r="X93" s="353">
        <v>3.98</v>
      </c>
      <c r="Y93" s="353">
        <v>3.98</v>
      </c>
      <c r="Z93" s="353">
        <v>3.97</v>
      </c>
      <c r="AA93" s="353">
        <v>3.96</v>
      </c>
      <c r="AB93" s="353">
        <v>3.94</v>
      </c>
      <c r="AC93" s="353">
        <v>3.93</v>
      </c>
      <c r="AD93" s="353">
        <v>3.91</v>
      </c>
      <c r="AE93" s="353">
        <v>3.9</v>
      </c>
      <c r="AF93" s="353">
        <v>3.89</v>
      </c>
      <c r="AG93" s="353">
        <v>3.88</v>
      </c>
      <c r="AH93" s="353">
        <v>3.87</v>
      </c>
      <c r="AI93" s="353">
        <v>3.86</v>
      </c>
      <c r="AJ93" s="353">
        <v>3.86</v>
      </c>
      <c r="AK93" s="353">
        <v>3.85</v>
      </c>
      <c r="AL93" s="353">
        <v>3.84</v>
      </c>
      <c r="AM93" s="353">
        <v>3.83</v>
      </c>
      <c r="AN93" s="353">
        <v>3.83</v>
      </c>
      <c r="AO93" s="353">
        <v>3.82</v>
      </c>
      <c r="AP93" s="353">
        <v>3.82</v>
      </c>
      <c r="AQ93" s="353">
        <v>3.82</v>
      </c>
      <c r="AR93" s="353">
        <v>3.81</v>
      </c>
      <c r="AS93" s="353">
        <v>3.81</v>
      </c>
      <c r="AT93" s="353">
        <v>3.81</v>
      </c>
      <c r="AU93" s="353">
        <v>3.81</v>
      </c>
      <c r="AV93" s="353">
        <v>3.81</v>
      </c>
      <c r="AW93" s="353">
        <v>3.8</v>
      </c>
      <c r="AX93" s="353">
        <v>3.8</v>
      </c>
      <c r="AY93" s="353">
        <v>3.8</v>
      </c>
      <c r="AZ93" s="150">
        <v>1.2500000000000001E-2</v>
      </c>
      <c r="BA93" s="104">
        <f t="shared" si="2"/>
        <v>1.25</v>
      </c>
      <c r="BC93" s="442">
        <v>4.3099999999999996</v>
      </c>
      <c r="BD93" s="684">
        <f t="shared" si="4"/>
        <v>24135.416666666668</v>
      </c>
      <c r="BE93" s="684">
        <f t="shared" si="3"/>
        <v>17020.916666666664</v>
      </c>
      <c r="BF93" s="684">
        <f t="shared" si="3"/>
        <v>21622.25</v>
      </c>
      <c r="BG93" s="684">
        <f t="shared" si="3"/>
        <v>13599</v>
      </c>
      <c r="BH93" s="684">
        <v>11</v>
      </c>
    </row>
    <row r="94" spans="1:60">
      <c r="A94" s="107">
        <v>42400</v>
      </c>
      <c r="B94" s="353">
        <v>1.97</v>
      </c>
      <c r="C94" s="353">
        <v>2.11</v>
      </c>
      <c r="D94" s="353">
        <v>2.29</v>
      </c>
      <c r="E94" s="353">
        <v>2.48</v>
      </c>
      <c r="F94" s="353">
        <v>2.68</v>
      </c>
      <c r="G94" s="353">
        <v>2.86</v>
      </c>
      <c r="H94" s="353">
        <v>3.03</v>
      </c>
      <c r="I94" s="353">
        <v>3.17</v>
      </c>
      <c r="J94" s="353">
        <v>3.3</v>
      </c>
      <c r="K94" s="353">
        <v>3.42</v>
      </c>
      <c r="L94" s="353">
        <v>3.53</v>
      </c>
      <c r="M94" s="353">
        <v>3.62</v>
      </c>
      <c r="N94" s="353">
        <v>3.7</v>
      </c>
      <c r="O94" s="353">
        <v>3.77</v>
      </c>
      <c r="P94" s="442">
        <v>3.83</v>
      </c>
      <c r="Q94" s="353">
        <v>3.86</v>
      </c>
      <c r="R94" s="353">
        <v>3.88</v>
      </c>
      <c r="S94" s="353">
        <v>3.91</v>
      </c>
      <c r="T94" s="353">
        <v>3.93</v>
      </c>
      <c r="U94" s="353">
        <v>3.95</v>
      </c>
      <c r="V94" s="353">
        <v>3.94</v>
      </c>
      <c r="W94" s="353">
        <v>3.93</v>
      </c>
      <c r="X94" s="353">
        <v>3.93</v>
      </c>
      <c r="Y94" s="353">
        <v>3.92</v>
      </c>
      <c r="Z94" s="353">
        <v>3.92</v>
      </c>
      <c r="AA94" s="353">
        <v>3.9</v>
      </c>
      <c r="AB94" s="353">
        <v>3.89</v>
      </c>
      <c r="AC94" s="353">
        <v>3.88</v>
      </c>
      <c r="AD94" s="353">
        <v>3.86</v>
      </c>
      <c r="AE94" s="353">
        <v>3.85</v>
      </c>
      <c r="AF94" s="353">
        <v>3.84</v>
      </c>
      <c r="AG94" s="353">
        <v>3.83</v>
      </c>
      <c r="AH94" s="353">
        <v>3.82</v>
      </c>
      <c r="AI94" s="353">
        <v>3.81</v>
      </c>
      <c r="AJ94" s="353">
        <v>3.81</v>
      </c>
      <c r="AK94" s="353">
        <v>3.8</v>
      </c>
      <c r="AL94" s="353">
        <v>3.79</v>
      </c>
      <c r="AM94" s="353">
        <v>3.79</v>
      </c>
      <c r="AN94" s="353">
        <v>3.78</v>
      </c>
      <c r="AO94" s="353">
        <v>3.77</v>
      </c>
      <c r="AP94" s="353">
        <v>3.77</v>
      </c>
      <c r="AQ94" s="353">
        <v>3.77</v>
      </c>
      <c r="AR94" s="353">
        <v>3.77</v>
      </c>
      <c r="AS94" s="353">
        <v>3.77</v>
      </c>
      <c r="AT94" s="353">
        <v>3.76</v>
      </c>
      <c r="AU94" s="353">
        <v>3.76</v>
      </c>
      <c r="AV94" s="353">
        <v>3.76</v>
      </c>
      <c r="AW94" s="353">
        <v>3.76</v>
      </c>
      <c r="AX94" s="353">
        <v>3.76</v>
      </c>
      <c r="AY94" s="353">
        <v>3.76</v>
      </c>
      <c r="AZ94" s="150">
        <v>1.2500000000000001E-2</v>
      </c>
      <c r="BA94" s="104">
        <f t="shared" si="2"/>
        <v>1.25</v>
      </c>
      <c r="BC94" s="442">
        <v>4.29</v>
      </c>
      <c r="BD94" s="685">
        <v>24437</v>
      </c>
      <c r="BE94" s="685">
        <v>17416</v>
      </c>
      <c r="BF94" s="685">
        <v>22082</v>
      </c>
      <c r="BG94" s="685">
        <v>14118</v>
      </c>
    </row>
    <row r="95" spans="1:60">
      <c r="A95" s="107">
        <v>42429</v>
      </c>
      <c r="B95" s="353">
        <v>1.92</v>
      </c>
      <c r="C95" s="353">
        <v>2.0499999999999998</v>
      </c>
      <c r="D95" s="353">
        <v>2.23</v>
      </c>
      <c r="E95" s="353">
        <v>2.4300000000000002</v>
      </c>
      <c r="F95" s="353">
        <v>2.62</v>
      </c>
      <c r="G95" s="353">
        <v>2.8</v>
      </c>
      <c r="H95" s="353">
        <v>2.96</v>
      </c>
      <c r="I95" s="353">
        <v>3.11</v>
      </c>
      <c r="J95" s="353">
        <v>3.24</v>
      </c>
      <c r="K95" s="353">
        <v>3.36</v>
      </c>
      <c r="L95" s="353">
        <v>3.47</v>
      </c>
      <c r="M95" s="353">
        <v>3.56</v>
      </c>
      <c r="N95" s="353">
        <v>3.64</v>
      </c>
      <c r="O95" s="353">
        <v>3.71</v>
      </c>
      <c r="P95" s="442">
        <v>3.76</v>
      </c>
      <c r="Q95" s="353">
        <v>3.79</v>
      </c>
      <c r="R95" s="353">
        <v>3.82</v>
      </c>
      <c r="S95" s="353">
        <v>3.84</v>
      </c>
      <c r="T95" s="353">
        <v>3.87</v>
      </c>
      <c r="U95" s="353">
        <v>3.88</v>
      </c>
      <c r="V95" s="353">
        <v>3.88</v>
      </c>
      <c r="W95" s="353">
        <v>3.87</v>
      </c>
      <c r="X95" s="353">
        <v>3.87</v>
      </c>
      <c r="Y95" s="353">
        <v>3.87</v>
      </c>
      <c r="Z95" s="353">
        <v>3.86</v>
      </c>
      <c r="AA95" s="353">
        <v>3.85</v>
      </c>
      <c r="AB95" s="353">
        <v>3.83</v>
      </c>
      <c r="AC95" s="353">
        <v>3.82</v>
      </c>
      <c r="AD95" s="353">
        <v>3.81</v>
      </c>
      <c r="AE95" s="353">
        <v>3.8</v>
      </c>
      <c r="AF95" s="353">
        <v>3.79</v>
      </c>
      <c r="AG95" s="353">
        <v>3.78</v>
      </c>
      <c r="AH95" s="353">
        <v>3.77</v>
      </c>
      <c r="AI95" s="353">
        <v>3.76</v>
      </c>
      <c r="AJ95" s="353">
        <v>3.76</v>
      </c>
      <c r="AK95" s="353">
        <v>3.75</v>
      </c>
      <c r="AL95" s="353">
        <v>3.74</v>
      </c>
      <c r="AM95" s="353">
        <v>3.74</v>
      </c>
      <c r="AN95" s="353">
        <v>3.73</v>
      </c>
      <c r="AO95" s="353">
        <v>3.73</v>
      </c>
      <c r="AP95" s="353">
        <v>3.72</v>
      </c>
      <c r="AQ95" s="353">
        <v>3.72</v>
      </c>
      <c r="AR95" s="353">
        <v>3.72</v>
      </c>
      <c r="AS95" s="353">
        <v>3.72</v>
      </c>
      <c r="AT95" s="353">
        <v>3.72</v>
      </c>
      <c r="AU95" s="353">
        <v>3.71</v>
      </c>
      <c r="AV95" s="353">
        <v>3.71</v>
      </c>
      <c r="AW95" s="353">
        <v>3.71</v>
      </c>
      <c r="AX95" s="353">
        <v>3.71</v>
      </c>
      <c r="AY95" s="353">
        <v>3.71</v>
      </c>
      <c r="AZ95" s="150">
        <v>1.2500000000000001E-2</v>
      </c>
      <c r="BA95" s="104">
        <f t="shared" si="2"/>
        <v>1.25</v>
      </c>
      <c r="BC95" s="442">
        <v>4.2699999999999996</v>
      </c>
      <c r="BD95" s="684">
        <f>BD$94+(BD$106-BD$94)/12*$BH95</f>
        <v>24802.916666666668</v>
      </c>
      <c r="BE95" s="684">
        <f>BE$94+(BE$106-BE$94)/12*$BH95</f>
        <v>18048.833333333332</v>
      </c>
      <c r="BF95" s="684">
        <f>BF$94+(BF$106-BF$94)/12*$BH95</f>
        <v>22231.833333333332</v>
      </c>
      <c r="BG95" s="684">
        <f>BG$94+(BG$106-BG$94)/12*$BH95</f>
        <v>14352.75</v>
      </c>
      <c r="BH95" s="684">
        <v>1</v>
      </c>
    </row>
    <row r="96" spans="1:60">
      <c r="A96" s="107">
        <v>42460</v>
      </c>
      <c r="B96" s="353">
        <v>1.87</v>
      </c>
      <c r="C96" s="353">
        <v>2</v>
      </c>
      <c r="D96" s="353">
        <v>2.17</v>
      </c>
      <c r="E96" s="353">
        <v>2.37</v>
      </c>
      <c r="F96" s="353">
        <v>2.56</v>
      </c>
      <c r="G96" s="353">
        <v>2.74</v>
      </c>
      <c r="H96" s="353">
        <v>2.9</v>
      </c>
      <c r="I96" s="353">
        <v>3.05</v>
      </c>
      <c r="J96" s="353">
        <v>3.18</v>
      </c>
      <c r="K96" s="353">
        <v>3.29</v>
      </c>
      <c r="L96" s="353">
        <v>3.4</v>
      </c>
      <c r="M96" s="353">
        <v>3.49</v>
      </c>
      <c r="N96" s="353">
        <v>3.57</v>
      </c>
      <c r="O96" s="353">
        <v>3.64</v>
      </c>
      <c r="P96" s="442">
        <v>3.7</v>
      </c>
      <c r="Q96" s="353">
        <v>3.73</v>
      </c>
      <c r="R96" s="353">
        <v>3.75</v>
      </c>
      <c r="S96" s="353">
        <v>3.78</v>
      </c>
      <c r="T96" s="353">
        <v>3.8</v>
      </c>
      <c r="U96" s="353">
        <v>3.82</v>
      </c>
      <c r="V96" s="353">
        <v>3.81</v>
      </c>
      <c r="W96" s="353">
        <v>3.81</v>
      </c>
      <c r="X96" s="353">
        <v>3.81</v>
      </c>
      <c r="Y96" s="353">
        <v>3.8</v>
      </c>
      <c r="Z96" s="353">
        <v>3.8</v>
      </c>
      <c r="AA96" s="353">
        <v>3.78</v>
      </c>
      <c r="AB96" s="353">
        <v>3.77</v>
      </c>
      <c r="AC96" s="353">
        <v>3.76</v>
      </c>
      <c r="AD96" s="353">
        <v>3.75</v>
      </c>
      <c r="AE96" s="353">
        <v>3.74</v>
      </c>
      <c r="AF96" s="353">
        <v>3.73</v>
      </c>
      <c r="AG96" s="353">
        <v>3.72</v>
      </c>
      <c r="AH96" s="353">
        <v>3.71</v>
      </c>
      <c r="AI96" s="353">
        <v>3.7</v>
      </c>
      <c r="AJ96" s="353">
        <v>3.7</v>
      </c>
      <c r="AK96" s="353">
        <v>3.69</v>
      </c>
      <c r="AL96" s="353">
        <v>3.68</v>
      </c>
      <c r="AM96" s="353">
        <v>3.68</v>
      </c>
      <c r="AN96" s="353">
        <v>3.67</v>
      </c>
      <c r="AO96" s="353">
        <v>3.67</v>
      </c>
      <c r="AP96" s="353">
        <v>3.66</v>
      </c>
      <c r="AQ96" s="353">
        <v>3.66</v>
      </c>
      <c r="AR96" s="353">
        <v>3.66</v>
      </c>
      <c r="AS96" s="353">
        <v>3.66</v>
      </c>
      <c r="AT96" s="353">
        <v>3.66</v>
      </c>
      <c r="AU96" s="353">
        <v>3.66</v>
      </c>
      <c r="AV96" s="353">
        <v>3.65</v>
      </c>
      <c r="AW96" s="353">
        <v>3.65</v>
      </c>
      <c r="AX96" s="353">
        <v>3.65</v>
      </c>
      <c r="AY96" s="353">
        <v>3.65</v>
      </c>
      <c r="AZ96" s="150">
        <v>1.2500000000000001E-2</v>
      </c>
      <c r="BA96" s="104">
        <f t="shared" si="2"/>
        <v>1.25</v>
      </c>
      <c r="BC96" s="442">
        <v>4.24</v>
      </c>
      <c r="BD96" s="684">
        <f t="shared" ref="BD96:BG105" si="5">BD$94+(BD$106-BD$94)/12*$BH96</f>
        <v>25168.833333333332</v>
      </c>
      <c r="BE96" s="684">
        <f t="shared" si="5"/>
        <v>18681.666666666668</v>
      </c>
      <c r="BF96" s="684">
        <f t="shared" si="5"/>
        <v>22381.666666666668</v>
      </c>
      <c r="BG96" s="684">
        <f t="shared" si="5"/>
        <v>14587.5</v>
      </c>
      <c r="BH96" s="684">
        <v>2</v>
      </c>
    </row>
    <row r="97" spans="1:60">
      <c r="A97" s="107">
        <v>42490</v>
      </c>
      <c r="B97" s="353">
        <v>1.82</v>
      </c>
      <c r="C97" s="353">
        <v>1.95</v>
      </c>
      <c r="D97" s="353">
        <v>2.12</v>
      </c>
      <c r="E97" s="353">
        <v>2.31</v>
      </c>
      <c r="F97" s="353">
        <v>2.5</v>
      </c>
      <c r="G97" s="353">
        <v>2.68</v>
      </c>
      <c r="H97" s="353">
        <v>2.84</v>
      </c>
      <c r="I97" s="353">
        <v>2.99</v>
      </c>
      <c r="J97" s="353">
        <v>3.12</v>
      </c>
      <c r="K97" s="353">
        <v>3.24</v>
      </c>
      <c r="L97" s="353">
        <v>3.34</v>
      </c>
      <c r="M97" s="353">
        <v>3.44</v>
      </c>
      <c r="N97" s="353">
        <v>3.51</v>
      </c>
      <c r="O97" s="353">
        <v>3.58</v>
      </c>
      <c r="P97" s="442">
        <v>3.64</v>
      </c>
      <c r="Q97" s="353">
        <v>3.67</v>
      </c>
      <c r="R97" s="353">
        <v>3.7</v>
      </c>
      <c r="S97" s="353">
        <v>3.72</v>
      </c>
      <c r="T97" s="353">
        <v>3.74</v>
      </c>
      <c r="U97" s="353">
        <v>3.76</v>
      </c>
      <c r="V97" s="353">
        <v>3.76</v>
      </c>
      <c r="W97" s="353">
        <v>3.75</v>
      </c>
      <c r="X97" s="353">
        <v>3.75</v>
      </c>
      <c r="Y97" s="353">
        <v>3.75</v>
      </c>
      <c r="Z97" s="353">
        <v>3.74</v>
      </c>
      <c r="AA97" s="353">
        <v>3.73</v>
      </c>
      <c r="AB97" s="353">
        <v>3.72</v>
      </c>
      <c r="AC97" s="353">
        <v>3.7</v>
      </c>
      <c r="AD97" s="353">
        <v>3.69</v>
      </c>
      <c r="AE97" s="353">
        <v>3.68</v>
      </c>
      <c r="AF97" s="353">
        <v>3.67</v>
      </c>
      <c r="AG97" s="353">
        <v>3.66</v>
      </c>
      <c r="AH97" s="353">
        <v>3.66</v>
      </c>
      <c r="AI97" s="353">
        <v>3.65</v>
      </c>
      <c r="AJ97" s="353">
        <v>3.64</v>
      </c>
      <c r="AK97" s="353">
        <v>3.64</v>
      </c>
      <c r="AL97" s="353">
        <v>3.63</v>
      </c>
      <c r="AM97" s="353">
        <v>3.63</v>
      </c>
      <c r="AN97" s="353">
        <v>3.62</v>
      </c>
      <c r="AO97" s="353">
        <v>3.61</v>
      </c>
      <c r="AP97" s="353">
        <v>3.61</v>
      </c>
      <c r="AQ97" s="353">
        <v>3.61</v>
      </c>
      <c r="AR97" s="353">
        <v>3.61</v>
      </c>
      <c r="AS97" s="353">
        <v>3.61</v>
      </c>
      <c r="AT97" s="353">
        <v>3.61</v>
      </c>
      <c r="AU97" s="353">
        <v>3.6</v>
      </c>
      <c r="AV97" s="353">
        <v>3.6</v>
      </c>
      <c r="AW97" s="353">
        <v>3.6</v>
      </c>
      <c r="AX97" s="353">
        <v>3.6</v>
      </c>
      <c r="AY97" s="353">
        <v>3.6</v>
      </c>
      <c r="AZ97" s="150">
        <v>1.2500000000000001E-2</v>
      </c>
      <c r="BA97" s="104">
        <f t="shared" si="2"/>
        <v>1.25</v>
      </c>
      <c r="BC97" s="442">
        <v>4.22</v>
      </c>
      <c r="BD97" s="684">
        <f t="shared" si="5"/>
        <v>25534.75</v>
      </c>
      <c r="BE97" s="684">
        <f t="shared" si="5"/>
        <v>19314.5</v>
      </c>
      <c r="BF97" s="684">
        <f t="shared" si="5"/>
        <v>22531.5</v>
      </c>
      <c r="BG97" s="684">
        <f t="shared" si="5"/>
        <v>14822.25</v>
      </c>
      <c r="BH97" s="684">
        <v>3</v>
      </c>
    </row>
    <row r="98" spans="1:60">
      <c r="A98" s="107">
        <v>42521</v>
      </c>
      <c r="B98" s="353">
        <v>1.78</v>
      </c>
      <c r="C98" s="353">
        <v>1.91</v>
      </c>
      <c r="D98" s="353">
        <v>2.0699999999999998</v>
      </c>
      <c r="E98" s="353">
        <v>2.2599999999999998</v>
      </c>
      <c r="F98" s="353">
        <v>2.4500000000000002</v>
      </c>
      <c r="G98" s="353">
        <v>2.63</v>
      </c>
      <c r="H98" s="353">
        <v>2.78</v>
      </c>
      <c r="I98" s="353">
        <v>2.93</v>
      </c>
      <c r="J98" s="353">
        <v>3.06</v>
      </c>
      <c r="K98" s="353">
        <v>3.18</v>
      </c>
      <c r="L98" s="353">
        <v>3.29</v>
      </c>
      <c r="M98" s="353">
        <v>3.38</v>
      </c>
      <c r="N98" s="353">
        <v>3.46</v>
      </c>
      <c r="O98" s="353">
        <v>3.52</v>
      </c>
      <c r="P98" s="442">
        <v>3.58</v>
      </c>
      <c r="Q98" s="353">
        <v>3.61</v>
      </c>
      <c r="R98" s="353">
        <v>3.64</v>
      </c>
      <c r="S98" s="353">
        <v>3.66</v>
      </c>
      <c r="T98" s="353">
        <v>3.68</v>
      </c>
      <c r="U98" s="353">
        <v>3.7</v>
      </c>
      <c r="V98" s="353">
        <v>3.7</v>
      </c>
      <c r="W98" s="353">
        <v>3.7</v>
      </c>
      <c r="X98" s="353">
        <v>3.69</v>
      </c>
      <c r="Y98" s="353">
        <v>3.69</v>
      </c>
      <c r="Z98" s="353">
        <v>3.69</v>
      </c>
      <c r="AA98" s="353">
        <v>3.67</v>
      </c>
      <c r="AB98" s="353">
        <v>3.66</v>
      </c>
      <c r="AC98" s="353">
        <v>3.65</v>
      </c>
      <c r="AD98" s="353">
        <v>3.64</v>
      </c>
      <c r="AE98" s="353">
        <v>3.63</v>
      </c>
      <c r="AF98" s="353">
        <v>3.62</v>
      </c>
      <c r="AG98" s="353">
        <v>3.61</v>
      </c>
      <c r="AH98" s="353">
        <v>3.61</v>
      </c>
      <c r="AI98" s="353">
        <v>3.6</v>
      </c>
      <c r="AJ98" s="353">
        <v>3.59</v>
      </c>
      <c r="AK98" s="353">
        <v>3.59</v>
      </c>
      <c r="AL98" s="353">
        <v>3.58</v>
      </c>
      <c r="AM98" s="353">
        <v>3.58</v>
      </c>
      <c r="AN98" s="353">
        <v>3.57</v>
      </c>
      <c r="AO98" s="353">
        <v>3.57</v>
      </c>
      <c r="AP98" s="353">
        <v>3.56</v>
      </c>
      <c r="AQ98" s="353">
        <v>3.56</v>
      </c>
      <c r="AR98" s="353">
        <v>3.56</v>
      </c>
      <c r="AS98" s="353">
        <v>3.56</v>
      </c>
      <c r="AT98" s="353">
        <v>3.56</v>
      </c>
      <c r="AU98" s="353">
        <v>3.56</v>
      </c>
      <c r="AV98" s="353">
        <v>3.55</v>
      </c>
      <c r="AW98" s="353">
        <v>3.55</v>
      </c>
      <c r="AX98" s="353">
        <v>3.55</v>
      </c>
      <c r="AY98" s="353">
        <v>3.55</v>
      </c>
      <c r="AZ98" s="150">
        <v>1.2500000000000001E-2</v>
      </c>
      <c r="BA98" s="104">
        <f t="shared" si="2"/>
        <v>1.25</v>
      </c>
      <c r="BC98" s="442">
        <v>4.2</v>
      </c>
      <c r="BD98" s="684">
        <f t="shared" si="5"/>
        <v>25900.666666666668</v>
      </c>
      <c r="BE98" s="684">
        <f t="shared" si="5"/>
        <v>19947.333333333332</v>
      </c>
      <c r="BF98" s="684">
        <f t="shared" si="5"/>
        <v>22681.333333333332</v>
      </c>
      <c r="BG98" s="684">
        <f t="shared" si="5"/>
        <v>15057</v>
      </c>
      <c r="BH98" s="684">
        <v>4</v>
      </c>
    </row>
    <row r="99" spans="1:60">
      <c r="A99" s="107">
        <v>42551</v>
      </c>
      <c r="B99" s="353">
        <v>1.75</v>
      </c>
      <c r="C99" s="353">
        <v>1.87</v>
      </c>
      <c r="D99" s="353">
        <v>2.0299999999999998</v>
      </c>
      <c r="E99" s="353">
        <v>2.21</v>
      </c>
      <c r="F99" s="353">
        <v>2.39</v>
      </c>
      <c r="G99" s="353">
        <v>2.57</v>
      </c>
      <c r="H99" s="353">
        <v>2.73</v>
      </c>
      <c r="I99" s="353">
        <v>2.88</v>
      </c>
      <c r="J99" s="353">
        <v>3.01</v>
      </c>
      <c r="K99" s="353">
        <v>3.12</v>
      </c>
      <c r="L99" s="353">
        <v>3.23</v>
      </c>
      <c r="M99" s="353">
        <v>3.32</v>
      </c>
      <c r="N99" s="353">
        <v>3.4</v>
      </c>
      <c r="O99" s="353">
        <v>3.47</v>
      </c>
      <c r="P99" s="442">
        <v>3.52</v>
      </c>
      <c r="Q99" s="353">
        <v>3.56</v>
      </c>
      <c r="R99" s="353">
        <v>3.58</v>
      </c>
      <c r="S99" s="353">
        <v>3.61</v>
      </c>
      <c r="T99" s="353">
        <v>3.63</v>
      </c>
      <c r="U99" s="353">
        <v>3.65</v>
      </c>
      <c r="V99" s="353">
        <v>3.64</v>
      </c>
      <c r="W99" s="353">
        <v>3.64</v>
      </c>
      <c r="X99" s="353">
        <v>3.64</v>
      </c>
      <c r="Y99" s="353">
        <v>3.63</v>
      </c>
      <c r="Z99" s="353">
        <v>3.63</v>
      </c>
      <c r="AA99" s="353">
        <v>3.62</v>
      </c>
      <c r="AB99" s="353">
        <v>3.61</v>
      </c>
      <c r="AC99" s="353">
        <v>3.6</v>
      </c>
      <c r="AD99" s="353">
        <v>3.58</v>
      </c>
      <c r="AE99" s="353">
        <v>3.57</v>
      </c>
      <c r="AF99" s="353">
        <v>3.57</v>
      </c>
      <c r="AG99" s="353">
        <v>3.56</v>
      </c>
      <c r="AH99" s="353">
        <v>3.55</v>
      </c>
      <c r="AI99" s="353">
        <v>3.55</v>
      </c>
      <c r="AJ99" s="353">
        <v>3.54</v>
      </c>
      <c r="AK99" s="353">
        <v>3.54</v>
      </c>
      <c r="AL99" s="353">
        <v>3.53</v>
      </c>
      <c r="AM99" s="353">
        <v>3.52</v>
      </c>
      <c r="AN99" s="353">
        <v>3.52</v>
      </c>
      <c r="AO99" s="353">
        <v>3.52</v>
      </c>
      <c r="AP99" s="353">
        <v>3.51</v>
      </c>
      <c r="AQ99" s="353">
        <v>3.51</v>
      </c>
      <c r="AR99" s="353">
        <v>3.51</v>
      </c>
      <c r="AS99" s="353">
        <v>3.51</v>
      </c>
      <c r="AT99" s="353">
        <v>3.51</v>
      </c>
      <c r="AU99" s="353">
        <v>3.51</v>
      </c>
      <c r="AV99" s="353">
        <v>3.5</v>
      </c>
      <c r="AW99" s="353">
        <v>3.5</v>
      </c>
      <c r="AX99" s="353">
        <v>3.5</v>
      </c>
      <c r="AY99" s="353">
        <v>3.5</v>
      </c>
      <c r="AZ99" s="150">
        <v>1.2500000000000001E-2</v>
      </c>
      <c r="BA99" s="104">
        <f t="shared" si="2"/>
        <v>1.25</v>
      </c>
      <c r="BC99" s="442">
        <v>4.17</v>
      </c>
      <c r="BD99" s="684">
        <f t="shared" si="5"/>
        <v>26266.583333333332</v>
      </c>
      <c r="BE99" s="684">
        <f t="shared" si="5"/>
        <v>20580.166666666668</v>
      </c>
      <c r="BF99" s="684">
        <f t="shared" si="5"/>
        <v>22831.166666666668</v>
      </c>
      <c r="BG99" s="684">
        <f t="shared" si="5"/>
        <v>15291.75</v>
      </c>
      <c r="BH99" s="684">
        <v>5</v>
      </c>
    </row>
    <row r="100" spans="1:60">
      <c r="A100" s="107">
        <v>42582</v>
      </c>
      <c r="B100" s="353">
        <v>1.72</v>
      </c>
      <c r="C100" s="353">
        <v>1.84</v>
      </c>
      <c r="D100" s="353">
        <v>1.99</v>
      </c>
      <c r="E100" s="353">
        <v>2.17</v>
      </c>
      <c r="F100" s="353">
        <v>2.35</v>
      </c>
      <c r="G100" s="353">
        <v>2.52</v>
      </c>
      <c r="H100" s="353">
        <v>2.68</v>
      </c>
      <c r="I100" s="353">
        <v>2.82</v>
      </c>
      <c r="J100" s="353">
        <v>2.95</v>
      </c>
      <c r="K100" s="353">
        <v>3.07</v>
      </c>
      <c r="L100" s="353">
        <v>3.18</v>
      </c>
      <c r="M100" s="353">
        <v>3.27</v>
      </c>
      <c r="N100" s="353">
        <v>3.35</v>
      </c>
      <c r="O100" s="353">
        <v>3.41</v>
      </c>
      <c r="P100" s="442">
        <v>3.47</v>
      </c>
      <c r="Q100" s="353">
        <v>3.5</v>
      </c>
      <c r="R100" s="353">
        <v>3.53</v>
      </c>
      <c r="S100" s="353">
        <v>3.55</v>
      </c>
      <c r="T100" s="353">
        <v>3.57</v>
      </c>
      <c r="U100" s="353">
        <v>3.59</v>
      </c>
      <c r="V100" s="353">
        <v>3.59</v>
      </c>
      <c r="W100" s="353">
        <v>3.59</v>
      </c>
      <c r="X100" s="353">
        <v>3.58</v>
      </c>
      <c r="Y100" s="353">
        <v>3.58</v>
      </c>
      <c r="Z100" s="353">
        <v>3.58</v>
      </c>
      <c r="AA100" s="353">
        <v>3.57</v>
      </c>
      <c r="AB100" s="353">
        <v>3.55</v>
      </c>
      <c r="AC100" s="353">
        <v>3.54</v>
      </c>
      <c r="AD100" s="353">
        <v>3.53</v>
      </c>
      <c r="AE100" s="353">
        <v>3.52</v>
      </c>
      <c r="AF100" s="353">
        <v>3.52</v>
      </c>
      <c r="AG100" s="353">
        <v>3.51</v>
      </c>
      <c r="AH100" s="353">
        <v>3.5</v>
      </c>
      <c r="AI100" s="353">
        <v>3.5</v>
      </c>
      <c r="AJ100" s="353">
        <v>3.49</v>
      </c>
      <c r="AK100" s="353">
        <v>3.49</v>
      </c>
      <c r="AL100" s="353">
        <v>3.48</v>
      </c>
      <c r="AM100" s="353">
        <v>3.48</v>
      </c>
      <c r="AN100" s="353">
        <v>3.47</v>
      </c>
      <c r="AO100" s="353">
        <v>3.47</v>
      </c>
      <c r="AP100" s="353">
        <v>3.47</v>
      </c>
      <c r="AQ100" s="353">
        <v>3.46</v>
      </c>
      <c r="AR100" s="353">
        <v>3.46</v>
      </c>
      <c r="AS100" s="353">
        <v>3.46</v>
      </c>
      <c r="AT100" s="353">
        <v>3.46</v>
      </c>
      <c r="AU100" s="353">
        <v>3.46</v>
      </c>
      <c r="AV100" s="353">
        <v>3.46</v>
      </c>
      <c r="AW100" s="353">
        <v>3.46</v>
      </c>
      <c r="AX100" s="353">
        <v>3.46</v>
      </c>
      <c r="AY100" s="353">
        <v>3.45</v>
      </c>
      <c r="AZ100" s="150">
        <v>1.2500000000000001E-2</v>
      </c>
      <c r="BA100" s="104">
        <f t="shared" si="2"/>
        <v>1.25</v>
      </c>
      <c r="BC100" s="442">
        <v>4.1399999999999997</v>
      </c>
      <c r="BD100" s="684">
        <f t="shared" si="5"/>
        <v>26632.5</v>
      </c>
      <c r="BE100" s="684">
        <f t="shared" si="5"/>
        <v>21213</v>
      </c>
      <c r="BF100" s="684">
        <f t="shared" si="5"/>
        <v>22981</v>
      </c>
      <c r="BG100" s="684">
        <f t="shared" si="5"/>
        <v>15526.5</v>
      </c>
      <c r="BH100" s="684">
        <v>6</v>
      </c>
    </row>
    <row r="101" spans="1:60">
      <c r="A101" s="107">
        <v>42613</v>
      </c>
      <c r="B101" s="353">
        <v>1.69</v>
      </c>
      <c r="C101" s="353">
        <v>1.8</v>
      </c>
      <c r="D101" s="353">
        <v>1.95</v>
      </c>
      <c r="E101" s="353">
        <v>2.12</v>
      </c>
      <c r="F101" s="353">
        <v>2.2999999999999998</v>
      </c>
      <c r="G101" s="353">
        <v>2.4700000000000002</v>
      </c>
      <c r="H101" s="353">
        <v>2.63</v>
      </c>
      <c r="I101" s="353">
        <v>2.77</v>
      </c>
      <c r="J101" s="353">
        <v>2.9</v>
      </c>
      <c r="K101" s="353">
        <v>3.02</v>
      </c>
      <c r="L101" s="353">
        <v>3.13</v>
      </c>
      <c r="M101" s="353">
        <v>3.22</v>
      </c>
      <c r="N101" s="353">
        <v>3.3</v>
      </c>
      <c r="O101" s="353">
        <v>3.36</v>
      </c>
      <c r="P101" s="442">
        <v>3.42</v>
      </c>
      <c r="Q101" s="353">
        <v>3.45</v>
      </c>
      <c r="R101" s="353">
        <v>3.48</v>
      </c>
      <c r="S101" s="353">
        <v>3.5</v>
      </c>
      <c r="T101" s="353">
        <v>3.52</v>
      </c>
      <c r="U101" s="353">
        <v>3.54</v>
      </c>
      <c r="V101" s="353">
        <v>3.54</v>
      </c>
      <c r="W101" s="353">
        <v>3.53</v>
      </c>
      <c r="X101" s="353">
        <v>3.53</v>
      </c>
      <c r="Y101" s="353">
        <v>3.53</v>
      </c>
      <c r="Z101" s="353">
        <v>3.53</v>
      </c>
      <c r="AA101" s="353">
        <v>3.52</v>
      </c>
      <c r="AB101" s="353">
        <v>3.5</v>
      </c>
      <c r="AC101" s="353">
        <v>3.49</v>
      </c>
      <c r="AD101" s="353">
        <v>3.48</v>
      </c>
      <c r="AE101" s="353">
        <v>3.47</v>
      </c>
      <c r="AF101" s="353">
        <v>3.47</v>
      </c>
      <c r="AG101" s="353">
        <v>3.46</v>
      </c>
      <c r="AH101" s="353">
        <v>3.45</v>
      </c>
      <c r="AI101" s="353">
        <v>3.45</v>
      </c>
      <c r="AJ101" s="353">
        <v>3.44</v>
      </c>
      <c r="AK101" s="353">
        <v>3.44</v>
      </c>
      <c r="AL101" s="353">
        <v>3.43</v>
      </c>
      <c r="AM101" s="353">
        <v>3.43</v>
      </c>
      <c r="AN101" s="353">
        <v>3.43</v>
      </c>
      <c r="AO101" s="353">
        <v>3.42</v>
      </c>
      <c r="AP101" s="353">
        <v>3.42</v>
      </c>
      <c r="AQ101" s="353">
        <v>3.42</v>
      </c>
      <c r="AR101" s="353">
        <v>3.42</v>
      </c>
      <c r="AS101" s="353">
        <v>3.42</v>
      </c>
      <c r="AT101" s="353">
        <v>3.41</v>
      </c>
      <c r="AU101" s="353">
        <v>3.41</v>
      </c>
      <c r="AV101" s="353">
        <v>3.41</v>
      </c>
      <c r="AW101" s="353">
        <v>3.41</v>
      </c>
      <c r="AX101" s="353">
        <v>3.41</v>
      </c>
      <c r="AY101" s="353">
        <v>3.41</v>
      </c>
      <c r="AZ101" s="150">
        <v>1.2500000000000001E-2</v>
      </c>
      <c r="BA101" s="104">
        <f t="shared" si="2"/>
        <v>1.25</v>
      </c>
      <c r="BC101" s="442">
        <v>4.1100000000000003</v>
      </c>
      <c r="BD101" s="684">
        <f t="shared" si="5"/>
        <v>26998.416666666668</v>
      </c>
      <c r="BE101" s="684">
        <f t="shared" si="5"/>
        <v>21845.833333333336</v>
      </c>
      <c r="BF101" s="684">
        <f t="shared" si="5"/>
        <v>23130.833333333332</v>
      </c>
      <c r="BG101" s="684">
        <f t="shared" si="5"/>
        <v>15761.25</v>
      </c>
      <c r="BH101" s="684">
        <v>7</v>
      </c>
    </row>
    <row r="102" spans="1:60">
      <c r="A102" s="107">
        <v>42643</v>
      </c>
      <c r="B102" s="353">
        <v>1.66</v>
      </c>
      <c r="C102" s="353">
        <v>1.77</v>
      </c>
      <c r="D102" s="353">
        <v>1.91</v>
      </c>
      <c r="E102" s="353">
        <v>2.08</v>
      </c>
      <c r="F102" s="353">
        <v>2.2599999999999998</v>
      </c>
      <c r="G102" s="353">
        <v>2.4300000000000002</v>
      </c>
      <c r="H102" s="353">
        <v>2.58</v>
      </c>
      <c r="I102" s="353">
        <v>2.73</v>
      </c>
      <c r="J102" s="353">
        <v>2.85</v>
      </c>
      <c r="K102" s="353">
        <v>2.97</v>
      </c>
      <c r="L102" s="353">
        <v>3.08</v>
      </c>
      <c r="M102" s="353">
        <v>3.17</v>
      </c>
      <c r="N102" s="353">
        <v>3.25</v>
      </c>
      <c r="O102" s="353">
        <v>3.31</v>
      </c>
      <c r="P102" s="442">
        <v>3.37</v>
      </c>
      <c r="Q102" s="353">
        <v>3.4</v>
      </c>
      <c r="R102" s="353">
        <v>3.42</v>
      </c>
      <c r="S102" s="353">
        <v>3.45</v>
      </c>
      <c r="T102" s="353">
        <v>3.47</v>
      </c>
      <c r="U102" s="353">
        <v>3.49</v>
      </c>
      <c r="V102" s="353">
        <v>3.49</v>
      </c>
      <c r="W102" s="353">
        <v>3.48</v>
      </c>
      <c r="X102" s="353">
        <v>3.48</v>
      </c>
      <c r="Y102" s="353">
        <v>3.48</v>
      </c>
      <c r="Z102" s="353">
        <v>3.48</v>
      </c>
      <c r="AA102" s="353">
        <v>3.47</v>
      </c>
      <c r="AB102" s="353">
        <v>3.45</v>
      </c>
      <c r="AC102" s="353">
        <v>3.44</v>
      </c>
      <c r="AD102" s="353">
        <v>3.43</v>
      </c>
      <c r="AE102" s="353">
        <v>3.43</v>
      </c>
      <c r="AF102" s="353">
        <v>3.42</v>
      </c>
      <c r="AG102" s="353">
        <v>3.41</v>
      </c>
      <c r="AH102" s="353">
        <v>3.41</v>
      </c>
      <c r="AI102" s="353">
        <v>3.4</v>
      </c>
      <c r="AJ102" s="353">
        <v>3.4</v>
      </c>
      <c r="AK102" s="353">
        <v>3.39</v>
      </c>
      <c r="AL102" s="353">
        <v>3.39</v>
      </c>
      <c r="AM102" s="353">
        <v>3.38</v>
      </c>
      <c r="AN102" s="353">
        <v>3.38</v>
      </c>
      <c r="AO102" s="353">
        <v>3.38</v>
      </c>
      <c r="AP102" s="353">
        <v>3.37</v>
      </c>
      <c r="AQ102" s="353">
        <v>3.37</v>
      </c>
      <c r="AR102" s="353">
        <v>3.37</v>
      </c>
      <c r="AS102" s="353">
        <v>3.37</v>
      </c>
      <c r="AT102" s="353">
        <v>3.37</v>
      </c>
      <c r="AU102" s="353">
        <v>3.37</v>
      </c>
      <c r="AV102" s="353">
        <v>3.37</v>
      </c>
      <c r="AW102" s="353">
        <v>3.37</v>
      </c>
      <c r="AX102" s="353">
        <v>3.36</v>
      </c>
      <c r="AY102" s="353">
        <v>3.36</v>
      </c>
      <c r="AZ102" s="150">
        <v>1.2500000000000001E-2</v>
      </c>
      <c r="BA102" s="104">
        <f t="shared" si="2"/>
        <v>1.25</v>
      </c>
      <c r="BC102" s="442">
        <v>4.08</v>
      </c>
      <c r="BD102" s="684">
        <f t="shared" si="5"/>
        <v>27364.333333333332</v>
      </c>
      <c r="BE102" s="684">
        <f t="shared" si="5"/>
        <v>22478.666666666668</v>
      </c>
      <c r="BF102" s="684">
        <f t="shared" si="5"/>
        <v>23280.666666666668</v>
      </c>
      <c r="BG102" s="684">
        <f t="shared" si="5"/>
        <v>15996</v>
      </c>
      <c r="BH102" s="684">
        <v>8</v>
      </c>
    </row>
    <row r="103" spans="1:60" ht="12.75" customHeight="1">
      <c r="A103" s="107">
        <v>42674</v>
      </c>
      <c r="B103" s="353">
        <v>1.64</v>
      </c>
      <c r="C103" s="353">
        <v>1.74</v>
      </c>
      <c r="D103" s="353">
        <v>1.87</v>
      </c>
      <c r="E103" s="353">
        <v>2.04</v>
      </c>
      <c r="F103" s="353">
        <v>2.2200000000000002</v>
      </c>
      <c r="G103" s="353">
        <v>2.39</v>
      </c>
      <c r="H103" s="353">
        <v>2.54</v>
      </c>
      <c r="I103" s="353">
        <v>2.68</v>
      </c>
      <c r="J103" s="353">
        <v>2.81</v>
      </c>
      <c r="K103" s="353">
        <v>2.93</v>
      </c>
      <c r="L103" s="353">
        <v>3.03</v>
      </c>
      <c r="M103" s="353">
        <v>3.12</v>
      </c>
      <c r="N103" s="353">
        <v>3.2</v>
      </c>
      <c r="O103" s="353">
        <v>3.27</v>
      </c>
      <c r="P103" s="442">
        <v>3.32</v>
      </c>
      <c r="Q103" s="353">
        <v>3.35</v>
      </c>
      <c r="R103" s="353">
        <v>3.38</v>
      </c>
      <c r="S103" s="353">
        <v>3.4</v>
      </c>
      <c r="T103" s="353">
        <v>3.42</v>
      </c>
      <c r="U103" s="353">
        <v>3.44</v>
      </c>
      <c r="V103" s="353">
        <v>3.44</v>
      </c>
      <c r="W103" s="353">
        <v>3.44</v>
      </c>
      <c r="X103" s="353">
        <v>3.44</v>
      </c>
      <c r="Y103" s="353">
        <v>3.43</v>
      </c>
      <c r="Z103" s="353">
        <v>3.43</v>
      </c>
      <c r="AA103" s="353">
        <v>3.42</v>
      </c>
      <c r="AB103" s="353">
        <v>3.41</v>
      </c>
      <c r="AC103" s="353">
        <v>3.4</v>
      </c>
      <c r="AD103" s="353">
        <v>3.39</v>
      </c>
      <c r="AE103" s="353">
        <v>3.38</v>
      </c>
      <c r="AF103" s="353">
        <v>3.38</v>
      </c>
      <c r="AG103" s="353">
        <v>3.37</v>
      </c>
      <c r="AH103" s="353">
        <v>3.37</v>
      </c>
      <c r="AI103" s="353">
        <v>3.36</v>
      </c>
      <c r="AJ103" s="353">
        <v>3.36</v>
      </c>
      <c r="AK103" s="353">
        <v>3.35</v>
      </c>
      <c r="AL103" s="353">
        <v>3.35</v>
      </c>
      <c r="AM103" s="353">
        <v>3.34</v>
      </c>
      <c r="AN103" s="353">
        <v>3.34</v>
      </c>
      <c r="AO103" s="353">
        <v>3.34</v>
      </c>
      <c r="AP103" s="353">
        <v>3.33</v>
      </c>
      <c r="AQ103" s="353">
        <v>3.33</v>
      </c>
      <c r="AR103" s="353">
        <v>3.33</v>
      </c>
      <c r="AS103" s="353">
        <v>3.33</v>
      </c>
      <c r="AT103" s="353">
        <v>3.33</v>
      </c>
      <c r="AU103" s="353">
        <v>3.33</v>
      </c>
      <c r="AV103" s="353">
        <v>3.33</v>
      </c>
      <c r="AW103" s="353">
        <v>3.33</v>
      </c>
      <c r="AX103" s="353">
        <v>3.32</v>
      </c>
      <c r="AY103" s="353">
        <v>3.32</v>
      </c>
      <c r="AZ103" s="150">
        <v>1.2500000000000001E-2</v>
      </c>
      <c r="BA103" s="104">
        <f t="shared" si="2"/>
        <v>1.25</v>
      </c>
      <c r="BC103" s="442">
        <v>4.0599999999999996</v>
      </c>
      <c r="BD103" s="684">
        <f t="shared" si="5"/>
        <v>27730.25</v>
      </c>
      <c r="BE103" s="684">
        <f t="shared" si="5"/>
        <v>23111.5</v>
      </c>
      <c r="BF103" s="684">
        <f t="shared" si="5"/>
        <v>23430.5</v>
      </c>
      <c r="BG103" s="684">
        <f t="shared" si="5"/>
        <v>16230.75</v>
      </c>
      <c r="BH103" s="684">
        <v>9</v>
      </c>
    </row>
    <row r="104" spans="1:60" ht="12.75" customHeight="1">
      <c r="A104" s="107">
        <v>42704</v>
      </c>
      <c r="B104" s="353">
        <v>1.61</v>
      </c>
      <c r="C104" s="353">
        <v>1.71</v>
      </c>
      <c r="D104" s="353">
        <v>1.84</v>
      </c>
      <c r="E104" s="353">
        <v>2.0099999999999998</v>
      </c>
      <c r="F104" s="353">
        <v>2.1800000000000002</v>
      </c>
      <c r="G104" s="353">
        <v>2.35</v>
      </c>
      <c r="H104" s="353">
        <v>2.5</v>
      </c>
      <c r="I104" s="353">
        <v>2.64</v>
      </c>
      <c r="J104" s="353">
        <v>2.77</v>
      </c>
      <c r="K104" s="353">
        <v>2.89</v>
      </c>
      <c r="L104" s="353">
        <v>2.99</v>
      </c>
      <c r="M104" s="353">
        <v>3.08</v>
      </c>
      <c r="N104" s="353">
        <v>3.16</v>
      </c>
      <c r="O104" s="353">
        <v>3.22</v>
      </c>
      <c r="P104" s="442">
        <v>3.28</v>
      </c>
      <c r="Q104" s="353">
        <v>3.31</v>
      </c>
      <c r="R104" s="353">
        <v>3.34</v>
      </c>
      <c r="S104" s="353">
        <v>3.36</v>
      </c>
      <c r="T104" s="353">
        <v>3.38</v>
      </c>
      <c r="U104" s="353">
        <v>3.4</v>
      </c>
      <c r="V104" s="353">
        <v>3.4</v>
      </c>
      <c r="W104" s="353">
        <v>3.4</v>
      </c>
      <c r="X104" s="353">
        <v>3.4</v>
      </c>
      <c r="Y104" s="353">
        <v>3.39</v>
      </c>
      <c r="Z104" s="353">
        <v>3.39</v>
      </c>
      <c r="AA104" s="353">
        <v>3.38</v>
      </c>
      <c r="AB104" s="353">
        <v>3.37</v>
      </c>
      <c r="AC104" s="353">
        <v>3.36</v>
      </c>
      <c r="AD104" s="353">
        <v>3.35</v>
      </c>
      <c r="AE104" s="353">
        <v>3.34</v>
      </c>
      <c r="AF104" s="353">
        <v>3.34</v>
      </c>
      <c r="AG104" s="353">
        <v>3.33</v>
      </c>
      <c r="AH104" s="353">
        <v>3.33</v>
      </c>
      <c r="AI104" s="353">
        <v>3.32</v>
      </c>
      <c r="AJ104" s="353">
        <v>3.32</v>
      </c>
      <c r="AK104" s="353">
        <v>3.32</v>
      </c>
      <c r="AL104" s="353">
        <v>3.31</v>
      </c>
      <c r="AM104" s="353">
        <v>3.31</v>
      </c>
      <c r="AN104" s="353">
        <v>3.3</v>
      </c>
      <c r="AO104" s="353">
        <v>3.3</v>
      </c>
      <c r="AP104" s="353">
        <v>3.3</v>
      </c>
      <c r="AQ104" s="353">
        <v>3.3</v>
      </c>
      <c r="AR104" s="353">
        <v>3.3</v>
      </c>
      <c r="AS104" s="353">
        <v>3.3</v>
      </c>
      <c r="AT104" s="353">
        <v>3.29</v>
      </c>
      <c r="AU104" s="353">
        <v>3.29</v>
      </c>
      <c r="AV104" s="353">
        <v>3.29</v>
      </c>
      <c r="AW104" s="353">
        <v>3.29</v>
      </c>
      <c r="AX104" s="353">
        <v>3.29</v>
      </c>
      <c r="AY104" s="353">
        <v>3.29</v>
      </c>
      <c r="AZ104" s="150">
        <v>1.2500000000000001E-2</v>
      </c>
      <c r="BA104" s="104">
        <f t="shared" si="2"/>
        <v>1.25</v>
      </c>
      <c r="BC104" s="442">
        <v>4.03</v>
      </c>
      <c r="BD104" s="684">
        <f t="shared" si="5"/>
        <v>28096.166666666668</v>
      </c>
      <c r="BE104" s="684">
        <f t="shared" si="5"/>
        <v>23744.333333333336</v>
      </c>
      <c r="BF104" s="684">
        <f t="shared" si="5"/>
        <v>23580.333333333332</v>
      </c>
      <c r="BG104" s="684">
        <f t="shared" si="5"/>
        <v>16465.5</v>
      </c>
      <c r="BH104" s="684">
        <v>10</v>
      </c>
    </row>
    <row r="105" spans="1:60">
      <c r="A105" s="107">
        <v>42735</v>
      </c>
      <c r="B105" s="353">
        <v>1.59</v>
      </c>
      <c r="C105" s="353">
        <v>1.67</v>
      </c>
      <c r="D105" s="353">
        <v>1.81</v>
      </c>
      <c r="E105" s="353">
        <v>1.97</v>
      </c>
      <c r="F105" s="353">
        <v>2.14</v>
      </c>
      <c r="G105" s="353">
        <v>2.2999999999999998</v>
      </c>
      <c r="H105" s="353">
        <v>2.46</v>
      </c>
      <c r="I105" s="353">
        <v>2.6</v>
      </c>
      <c r="J105" s="353">
        <v>2.73</v>
      </c>
      <c r="K105" s="353">
        <v>2.84</v>
      </c>
      <c r="L105" s="353">
        <v>2.95</v>
      </c>
      <c r="M105" s="353">
        <v>3.04</v>
      </c>
      <c r="N105" s="353">
        <v>3.12</v>
      </c>
      <c r="O105" s="353">
        <v>3.18</v>
      </c>
      <c r="P105" s="442">
        <v>3.24</v>
      </c>
      <c r="Q105" s="353">
        <v>3.27</v>
      </c>
      <c r="R105" s="353">
        <v>3.29</v>
      </c>
      <c r="S105" s="353">
        <v>3.32</v>
      </c>
      <c r="T105" s="353">
        <v>3.34</v>
      </c>
      <c r="U105" s="353">
        <v>3.36</v>
      </c>
      <c r="V105" s="353">
        <v>3.36</v>
      </c>
      <c r="W105" s="353">
        <v>3.36</v>
      </c>
      <c r="X105" s="353">
        <v>3.35</v>
      </c>
      <c r="Y105" s="353">
        <v>3.35</v>
      </c>
      <c r="Z105" s="353">
        <v>3.35</v>
      </c>
      <c r="AA105" s="353">
        <v>3.34</v>
      </c>
      <c r="AB105" s="353">
        <v>3.33</v>
      </c>
      <c r="AC105" s="353">
        <v>3.32</v>
      </c>
      <c r="AD105" s="353">
        <v>3.31</v>
      </c>
      <c r="AE105" s="353">
        <v>3.31</v>
      </c>
      <c r="AF105" s="353">
        <v>3.3</v>
      </c>
      <c r="AG105" s="353">
        <v>3.29</v>
      </c>
      <c r="AH105" s="353">
        <v>3.29</v>
      </c>
      <c r="AI105" s="353">
        <v>3.29</v>
      </c>
      <c r="AJ105" s="353">
        <v>3.28</v>
      </c>
      <c r="AK105" s="353">
        <v>3.28</v>
      </c>
      <c r="AL105" s="353">
        <v>3.27</v>
      </c>
      <c r="AM105" s="353">
        <v>3.27</v>
      </c>
      <c r="AN105" s="353">
        <v>3.27</v>
      </c>
      <c r="AO105" s="353">
        <v>3.26</v>
      </c>
      <c r="AP105" s="353">
        <v>3.26</v>
      </c>
      <c r="AQ105" s="353">
        <v>3.26</v>
      </c>
      <c r="AR105" s="353">
        <v>3.26</v>
      </c>
      <c r="AS105" s="353">
        <v>3.26</v>
      </c>
      <c r="AT105" s="353">
        <v>3.26</v>
      </c>
      <c r="AU105" s="353">
        <v>3.26</v>
      </c>
      <c r="AV105" s="353">
        <v>3.26</v>
      </c>
      <c r="AW105" s="353">
        <v>3.26</v>
      </c>
      <c r="AX105" s="353">
        <v>3.25</v>
      </c>
      <c r="AY105" s="353">
        <v>3.25</v>
      </c>
      <c r="AZ105" s="150">
        <v>1.2500000000000001E-2</v>
      </c>
      <c r="BA105" s="104">
        <f t="shared" si="2"/>
        <v>1.25</v>
      </c>
      <c r="BC105" s="442">
        <v>4.01</v>
      </c>
      <c r="BD105" s="684">
        <f t="shared" si="5"/>
        <v>28462.083333333332</v>
      </c>
      <c r="BE105" s="684">
        <f t="shared" si="5"/>
        <v>24377.166666666668</v>
      </c>
      <c r="BF105" s="684">
        <f t="shared" si="5"/>
        <v>23730.166666666668</v>
      </c>
      <c r="BG105" s="684">
        <f t="shared" si="5"/>
        <v>16700.25</v>
      </c>
      <c r="BH105" s="684">
        <v>11</v>
      </c>
    </row>
    <row r="106" spans="1:60">
      <c r="A106" s="107">
        <v>42766</v>
      </c>
      <c r="B106" s="353">
        <v>1.57</v>
      </c>
      <c r="C106" s="353">
        <v>1.65</v>
      </c>
      <c r="D106" s="353">
        <v>1.77</v>
      </c>
      <c r="E106" s="353">
        <v>1.93</v>
      </c>
      <c r="F106" s="353">
        <v>2.1</v>
      </c>
      <c r="G106" s="353">
        <v>2.27</v>
      </c>
      <c r="H106" s="353">
        <v>2.42</v>
      </c>
      <c r="I106" s="353">
        <v>2.56</v>
      </c>
      <c r="J106" s="353">
        <v>2.69</v>
      </c>
      <c r="K106" s="353">
        <v>2.8</v>
      </c>
      <c r="L106" s="353">
        <v>2.91</v>
      </c>
      <c r="M106" s="353">
        <v>3</v>
      </c>
      <c r="N106" s="353">
        <v>3.08</v>
      </c>
      <c r="O106" s="353">
        <v>3.14</v>
      </c>
      <c r="P106" s="442">
        <v>3.2</v>
      </c>
      <c r="Q106" s="353">
        <v>3.23</v>
      </c>
      <c r="R106" s="353">
        <v>3.26</v>
      </c>
      <c r="S106" s="353">
        <v>3.28</v>
      </c>
      <c r="T106" s="353">
        <v>3.3</v>
      </c>
      <c r="U106" s="353">
        <v>3.32</v>
      </c>
      <c r="V106" s="353">
        <v>3.32</v>
      </c>
      <c r="W106" s="353">
        <v>3.32</v>
      </c>
      <c r="X106" s="353">
        <v>3.32</v>
      </c>
      <c r="Y106" s="353">
        <v>3.32</v>
      </c>
      <c r="Z106" s="353">
        <v>3.32</v>
      </c>
      <c r="AA106" s="353">
        <v>3.3</v>
      </c>
      <c r="AB106" s="353">
        <v>3.3</v>
      </c>
      <c r="AC106" s="353">
        <v>3.29</v>
      </c>
      <c r="AD106" s="353">
        <v>3.28</v>
      </c>
      <c r="AE106" s="353">
        <v>3.27</v>
      </c>
      <c r="AF106" s="353">
        <v>3.27</v>
      </c>
      <c r="AG106" s="353">
        <v>3.26</v>
      </c>
      <c r="AH106" s="353">
        <v>3.26</v>
      </c>
      <c r="AI106" s="353">
        <v>3.25</v>
      </c>
      <c r="AJ106" s="353">
        <v>3.25</v>
      </c>
      <c r="AK106" s="353">
        <v>3.24</v>
      </c>
      <c r="AL106" s="353">
        <v>3.24</v>
      </c>
      <c r="AM106" s="353">
        <v>3.24</v>
      </c>
      <c r="AN106" s="353">
        <v>3.24</v>
      </c>
      <c r="AO106" s="353">
        <v>3.23</v>
      </c>
      <c r="AP106" s="353">
        <v>3.23</v>
      </c>
      <c r="AQ106" s="353">
        <v>3.23</v>
      </c>
      <c r="AR106" s="353">
        <v>3.23</v>
      </c>
      <c r="AS106" s="353">
        <v>3.23</v>
      </c>
      <c r="AT106" s="353">
        <v>3.23</v>
      </c>
      <c r="AU106" s="353">
        <v>3.23</v>
      </c>
      <c r="AV106" s="353">
        <v>3.23</v>
      </c>
      <c r="AW106" s="353">
        <v>3.22</v>
      </c>
      <c r="AX106" s="353">
        <v>3.22</v>
      </c>
      <c r="AY106" s="353">
        <v>3.22</v>
      </c>
      <c r="AZ106" s="150">
        <v>1.2500000000000001E-2</v>
      </c>
      <c r="BA106" s="104">
        <f t="shared" si="2"/>
        <v>1.25</v>
      </c>
      <c r="BC106" s="442">
        <v>3.99</v>
      </c>
      <c r="BD106" s="685">
        <v>28828</v>
      </c>
      <c r="BE106" s="685">
        <v>25010</v>
      </c>
      <c r="BF106" s="685">
        <v>23880</v>
      </c>
      <c r="BG106" s="685">
        <v>16935</v>
      </c>
      <c r="BH106" s="25"/>
    </row>
    <row r="107" spans="1:60" ht="12.75" customHeight="1">
      <c r="A107" s="107">
        <v>42794</v>
      </c>
      <c r="B107" s="353">
        <v>1.54</v>
      </c>
      <c r="C107" s="353">
        <v>1.62</v>
      </c>
      <c r="D107" s="353">
        <v>1.74</v>
      </c>
      <c r="E107" s="353">
        <v>1.9</v>
      </c>
      <c r="F107" s="353">
        <v>2.06</v>
      </c>
      <c r="G107" s="353">
        <v>2.23</v>
      </c>
      <c r="H107" s="353">
        <v>2.38</v>
      </c>
      <c r="I107" s="353">
        <v>2.52</v>
      </c>
      <c r="J107" s="353">
        <v>2.65</v>
      </c>
      <c r="K107" s="353">
        <v>2.76</v>
      </c>
      <c r="L107" s="353">
        <v>2.87</v>
      </c>
      <c r="M107" s="353">
        <v>2.96</v>
      </c>
      <c r="N107" s="353">
        <v>3.03</v>
      </c>
      <c r="O107" s="353">
        <v>3.1</v>
      </c>
      <c r="P107" s="442">
        <v>3.16</v>
      </c>
      <c r="Q107" s="353">
        <v>3.19</v>
      </c>
      <c r="R107" s="353">
        <v>3.21</v>
      </c>
      <c r="S107" s="353">
        <v>3.24</v>
      </c>
      <c r="T107" s="353">
        <v>3.26</v>
      </c>
      <c r="U107" s="353">
        <v>3.28</v>
      </c>
      <c r="V107" s="353">
        <v>3.28</v>
      </c>
      <c r="W107" s="353">
        <v>3.28</v>
      </c>
      <c r="X107" s="353">
        <v>3.28</v>
      </c>
      <c r="Y107" s="353">
        <v>3.28</v>
      </c>
      <c r="Z107" s="353">
        <v>3.28</v>
      </c>
      <c r="AA107" s="353">
        <v>3.27</v>
      </c>
      <c r="AB107" s="353">
        <v>3.26</v>
      </c>
      <c r="AC107" s="353">
        <v>3.25</v>
      </c>
      <c r="AD107" s="353">
        <v>3.24</v>
      </c>
      <c r="AE107" s="353">
        <v>3.23</v>
      </c>
      <c r="AF107" s="353">
        <v>3.23</v>
      </c>
      <c r="AG107" s="353">
        <v>3.22</v>
      </c>
      <c r="AH107" s="353">
        <v>3.22</v>
      </c>
      <c r="AI107" s="353">
        <v>3.22</v>
      </c>
      <c r="AJ107" s="353">
        <v>3.21</v>
      </c>
      <c r="AK107" s="353">
        <v>3.21</v>
      </c>
      <c r="AL107" s="353">
        <v>3.21</v>
      </c>
      <c r="AM107" s="353">
        <v>3.2</v>
      </c>
      <c r="AN107" s="353">
        <v>3.2</v>
      </c>
      <c r="AO107" s="353">
        <v>3.2</v>
      </c>
      <c r="AP107" s="353">
        <v>3.2</v>
      </c>
      <c r="AQ107" s="353">
        <v>3.2</v>
      </c>
      <c r="AR107" s="353">
        <v>3.19</v>
      </c>
      <c r="AS107" s="353">
        <v>3.19</v>
      </c>
      <c r="AT107" s="353">
        <v>3.19</v>
      </c>
      <c r="AU107" s="353">
        <v>3.19</v>
      </c>
      <c r="AV107" s="353">
        <v>3.19</v>
      </c>
      <c r="AW107" s="353">
        <v>3.19</v>
      </c>
      <c r="AX107" s="353">
        <v>3.19</v>
      </c>
      <c r="AY107" s="353">
        <v>3.19</v>
      </c>
      <c r="AZ107" s="59">
        <v>8.9999999999999993E-3</v>
      </c>
      <c r="BA107" s="104">
        <f t="shared" si="2"/>
        <v>0.89999999999999991</v>
      </c>
      <c r="BC107" s="442">
        <v>3.96</v>
      </c>
      <c r="BD107" s="684">
        <f>BD$106+(BD$118-BD$106)/12*$BH107</f>
        <v>29123.916666666668</v>
      </c>
      <c r="BE107" s="684">
        <f t="shared" ref="BE107:BG117" si="6">BE$106+(BE$118-BE$106)/12*$BH107</f>
        <v>25587.5</v>
      </c>
      <c r="BF107" s="684">
        <f t="shared" si="6"/>
        <v>24060.333333333332</v>
      </c>
      <c r="BG107" s="684">
        <f t="shared" si="6"/>
        <v>17220</v>
      </c>
      <c r="BH107" s="684">
        <v>1</v>
      </c>
    </row>
    <row r="108" spans="1:60" ht="12.75" customHeight="1">
      <c r="A108" s="107">
        <v>42825</v>
      </c>
      <c r="B108" s="353">
        <v>1.52</v>
      </c>
      <c r="C108" s="353">
        <v>1.59</v>
      </c>
      <c r="D108" s="353">
        <v>1.71</v>
      </c>
      <c r="E108" s="353">
        <v>1.87</v>
      </c>
      <c r="F108" s="353">
        <v>2.0299999999999998</v>
      </c>
      <c r="G108" s="353">
        <v>2.19</v>
      </c>
      <c r="H108" s="353">
        <v>2.34</v>
      </c>
      <c r="I108" s="353">
        <v>2.48</v>
      </c>
      <c r="J108" s="353">
        <v>2.61</v>
      </c>
      <c r="K108" s="353">
        <v>2.72</v>
      </c>
      <c r="L108" s="353">
        <v>2.83</v>
      </c>
      <c r="M108" s="353">
        <v>2.92</v>
      </c>
      <c r="N108" s="353">
        <v>2.99</v>
      </c>
      <c r="O108" s="353">
        <v>3.06</v>
      </c>
      <c r="P108" s="442">
        <v>3.12</v>
      </c>
      <c r="Q108" s="353">
        <v>3.15</v>
      </c>
      <c r="R108" s="353">
        <v>3.17</v>
      </c>
      <c r="S108" s="353">
        <v>3.2</v>
      </c>
      <c r="T108" s="353">
        <v>3.22</v>
      </c>
      <c r="U108" s="353">
        <v>3.24</v>
      </c>
      <c r="V108" s="353">
        <v>3.24</v>
      </c>
      <c r="W108" s="353">
        <v>3.24</v>
      </c>
      <c r="X108" s="353">
        <v>3.24</v>
      </c>
      <c r="Y108" s="353">
        <v>3.24</v>
      </c>
      <c r="Z108" s="353">
        <v>3.24</v>
      </c>
      <c r="AA108" s="353">
        <v>3.23</v>
      </c>
      <c r="AB108" s="353">
        <v>3.22</v>
      </c>
      <c r="AC108" s="353">
        <v>3.21</v>
      </c>
      <c r="AD108" s="353">
        <v>3.2</v>
      </c>
      <c r="AE108" s="353">
        <v>3.2</v>
      </c>
      <c r="AF108" s="353">
        <v>3.19</v>
      </c>
      <c r="AG108" s="353">
        <v>3.19</v>
      </c>
      <c r="AH108" s="353">
        <v>3.19</v>
      </c>
      <c r="AI108" s="353">
        <v>3.18</v>
      </c>
      <c r="AJ108" s="353">
        <v>3.18</v>
      </c>
      <c r="AK108" s="353">
        <v>3.18</v>
      </c>
      <c r="AL108" s="353">
        <v>3.17</v>
      </c>
      <c r="AM108" s="353">
        <v>3.17</v>
      </c>
      <c r="AN108" s="353">
        <v>3.17</v>
      </c>
      <c r="AO108" s="353">
        <v>3.17</v>
      </c>
      <c r="AP108" s="353">
        <v>3.16</v>
      </c>
      <c r="AQ108" s="353">
        <v>3.16</v>
      </c>
      <c r="AR108" s="353">
        <v>3.16</v>
      </c>
      <c r="AS108" s="353">
        <v>3.16</v>
      </c>
      <c r="AT108" s="353">
        <v>3.16</v>
      </c>
      <c r="AU108" s="353">
        <v>3.16</v>
      </c>
      <c r="AV108" s="353">
        <v>3.16</v>
      </c>
      <c r="AW108" s="353">
        <v>3.16</v>
      </c>
      <c r="AX108" s="353">
        <v>3.16</v>
      </c>
      <c r="AY108" s="353">
        <v>3.16</v>
      </c>
      <c r="AZ108" s="59">
        <v>8.9999999999999993E-3</v>
      </c>
      <c r="BA108" s="104">
        <f t="shared" si="2"/>
        <v>0.89999999999999991</v>
      </c>
      <c r="BC108" s="442">
        <v>3.94</v>
      </c>
      <c r="BD108" s="684">
        <f t="shared" ref="BD108:BD117" si="7">BD$106+(BD$118-BD$106)/12*$BH108</f>
        <v>29419.833333333332</v>
      </c>
      <c r="BE108" s="684">
        <f t="shared" si="6"/>
        <v>26165</v>
      </c>
      <c r="BF108" s="684">
        <f t="shared" si="6"/>
        <v>24240.666666666668</v>
      </c>
      <c r="BG108" s="684">
        <f t="shared" si="6"/>
        <v>17505</v>
      </c>
      <c r="BH108" s="684">
        <v>2</v>
      </c>
    </row>
    <row r="109" spans="1:60">
      <c r="A109" s="107">
        <v>42855</v>
      </c>
      <c r="B109" s="353">
        <v>1.49</v>
      </c>
      <c r="C109" s="353">
        <v>1.56</v>
      </c>
      <c r="D109" s="353">
        <v>1.68</v>
      </c>
      <c r="E109" s="353">
        <v>1.83</v>
      </c>
      <c r="F109" s="353">
        <v>1.99</v>
      </c>
      <c r="G109" s="353">
        <v>2.16</v>
      </c>
      <c r="H109" s="353">
        <v>2.2999999999999998</v>
      </c>
      <c r="I109" s="353">
        <v>2.44</v>
      </c>
      <c r="J109" s="353">
        <v>2.57</v>
      </c>
      <c r="K109" s="353">
        <v>2.69</v>
      </c>
      <c r="L109" s="353">
        <v>2.79</v>
      </c>
      <c r="M109" s="353">
        <v>2.88</v>
      </c>
      <c r="N109" s="353">
        <v>2.96</v>
      </c>
      <c r="O109" s="353">
        <v>3.02</v>
      </c>
      <c r="P109" s="442">
        <v>3.08</v>
      </c>
      <c r="Q109" s="353">
        <v>3.11</v>
      </c>
      <c r="R109" s="353">
        <v>3.14</v>
      </c>
      <c r="S109" s="353">
        <v>3.16</v>
      </c>
      <c r="T109" s="353">
        <v>3.18</v>
      </c>
      <c r="U109" s="353">
        <v>3.2</v>
      </c>
      <c r="V109" s="353">
        <v>3.2</v>
      </c>
      <c r="W109" s="353">
        <v>3.2</v>
      </c>
      <c r="X109" s="353">
        <v>3.2</v>
      </c>
      <c r="Y109" s="353">
        <v>3.2</v>
      </c>
      <c r="Z109" s="353">
        <v>3.2</v>
      </c>
      <c r="AA109" s="353">
        <v>3.19</v>
      </c>
      <c r="AB109" s="353">
        <v>3.18</v>
      </c>
      <c r="AC109" s="353">
        <v>3.18</v>
      </c>
      <c r="AD109" s="353">
        <v>3.17</v>
      </c>
      <c r="AE109" s="353">
        <v>3.16</v>
      </c>
      <c r="AF109" s="353">
        <v>3.16</v>
      </c>
      <c r="AG109" s="353">
        <v>3.16</v>
      </c>
      <c r="AH109" s="353">
        <v>3.15</v>
      </c>
      <c r="AI109" s="353">
        <v>3.15</v>
      </c>
      <c r="AJ109" s="353">
        <v>3.15</v>
      </c>
      <c r="AK109" s="353">
        <v>3.14</v>
      </c>
      <c r="AL109" s="353">
        <v>3.14</v>
      </c>
      <c r="AM109" s="353">
        <v>3.14</v>
      </c>
      <c r="AN109" s="353">
        <v>3.14</v>
      </c>
      <c r="AO109" s="353">
        <v>3.13</v>
      </c>
      <c r="AP109" s="353">
        <v>3.13</v>
      </c>
      <c r="AQ109" s="353">
        <v>3.13</v>
      </c>
      <c r="AR109" s="353">
        <v>3.13</v>
      </c>
      <c r="AS109" s="353">
        <v>3.13</v>
      </c>
      <c r="AT109" s="353">
        <v>3.13</v>
      </c>
      <c r="AU109" s="353">
        <v>3.13</v>
      </c>
      <c r="AV109" s="353">
        <v>3.13</v>
      </c>
      <c r="AW109" s="353">
        <v>3.13</v>
      </c>
      <c r="AX109" s="353">
        <v>3.13</v>
      </c>
      <c r="AY109" s="353">
        <v>3.13</v>
      </c>
      <c r="AZ109" s="59">
        <v>8.9999999999999993E-3</v>
      </c>
      <c r="BA109" s="104">
        <f t="shared" si="2"/>
        <v>0.89999999999999991</v>
      </c>
      <c r="BC109" s="442">
        <v>3.91</v>
      </c>
      <c r="BD109" s="684">
        <f t="shared" si="7"/>
        <v>29715.75</v>
      </c>
      <c r="BE109" s="684">
        <f t="shared" si="6"/>
        <v>26742.5</v>
      </c>
      <c r="BF109" s="684">
        <f t="shared" si="6"/>
        <v>24421</v>
      </c>
      <c r="BG109" s="684">
        <f t="shared" si="6"/>
        <v>17790</v>
      </c>
      <c r="BH109" s="684">
        <v>3</v>
      </c>
    </row>
    <row r="110" spans="1:60">
      <c r="A110" s="107">
        <v>42886</v>
      </c>
      <c r="B110" s="353">
        <v>1.47</v>
      </c>
      <c r="C110" s="353">
        <v>1.54</v>
      </c>
      <c r="D110" s="353">
        <v>1.65</v>
      </c>
      <c r="E110" s="353">
        <v>1.8</v>
      </c>
      <c r="F110" s="353">
        <v>1.96</v>
      </c>
      <c r="G110" s="353">
        <v>2.12</v>
      </c>
      <c r="H110" s="353">
        <v>2.27</v>
      </c>
      <c r="I110" s="353">
        <v>2.41</v>
      </c>
      <c r="J110" s="353">
        <v>2.5299999999999998</v>
      </c>
      <c r="K110" s="353">
        <v>2.65</v>
      </c>
      <c r="L110" s="353">
        <v>2.75</v>
      </c>
      <c r="M110" s="353">
        <v>2.84</v>
      </c>
      <c r="N110" s="353">
        <v>2.92</v>
      </c>
      <c r="O110" s="353">
        <v>2.98</v>
      </c>
      <c r="P110" s="442">
        <v>3.04</v>
      </c>
      <c r="Q110" s="353">
        <v>3.07</v>
      </c>
      <c r="R110" s="353">
        <v>3.1</v>
      </c>
      <c r="S110" s="353">
        <v>3.12</v>
      </c>
      <c r="T110" s="353">
        <v>3.15</v>
      </c>
      <c r="U110" s="353">
        <v>3.17</v>
      </c>
      <c r="V110" s="353">
        <v>3.17</v>
      </c>
      <c r="W110" s="353">
        <v>3.17</v>
      </c>
      <c r="X110" s="353">
        <v>3.17</v>
      </c>
      <c r="Y110" s="353">
        <v>3.17</v>
      </c>
      <c r="Z110" s="353">
        <v>3.17</v>
      </c>
      <c r="AA110" s="353">
        <v>3.16</v>
      </c>
      <c r="AB110" s="353">
        <v>3.15</v>
      </c>
      <c r="AC110" s="353">
        <v>3.14</v>
      </c>
      <c r="AD110" s="353">
        <v>3.14</v>
      </c>
      <c r="AE110" s="353">
        <v>3.13</v>
      </c>
      <c r="AF110" s="353">
        <v>3.13</v>
      </c>
      <c r="AG110" s="353">
        <v>3.12</v>
      </c>
      <c r="AH110" s="353">
        <v>3.12</v>
      </c>
      <c r="AI110" s="353">
        <v>3.12</v>
      </c>
      <c r="AJ110" s="353">
        <v>3.12</v>
      </c>
      <c r="AK110" s="353">
        <v>3.11</v>
      </c>
      <c r="AL110" s="353">
        <v>3.11</v>
      </c>
      <c r="AM110" s="353">
        <v>3.11</v>
      </c>
      <c r="AN110" s="353">
        <v>3.11</v>
      </c>
      <c r="AO110" s="353">
        <v>3.1</v>
      </c>
      <c r="AP110" s="353">
        <v>3.1</v>
      </c>
      <c r="AQ110" s="353">
        <v>3.1</v>
      </c>
      <c r="AR110" s="353">
        <v>3.1</v>
      </c>
      <c r="AS110" s="353">
        <v>3.1</v>
      </c>
      <c r="AT110" s="353">
        <v>3.1</v>
      </c>
      <c r="AU110" s="353">
        <v>3.1</v>
      </c>
      <c r="AV110" s="353">
        <v>3.1</v>
      </c>
      <c r="AW110" s="353">
        <v>3.1</v>
      </c>
      <c r="AX110" s="353">
        <v>3.1</v>
      </c>
      <c r="AY110" s="353">
        <v>3.1</v>
      </c>
      <c r="AZ110" s="59">
        <v>8.9999999999999993E-3</v>
      </c>
      <c r="BA110" s="104">
        <f t="shared" si="2"/>
        <v>0.89999999999999991</v>
      </c>
      <c r="BC110" s="442">
        <v>3.88</v>
      </c>
      <c r="BD110" s="684">
        <f t="shared" si="7"/>
        <v>30011.666666666668</v>
      </c>
      <c r="BE110" s="684">
        <f t="shared" si="6"/>
        <v>27320</v>
      </c>
      <c r="BF110" s="684">
        <f t="shared" si="6"/>
        <v>24601.333333333332</v>
      </c>
      <c r="BG110" s="684">
        <f t="shared" si="6"/>
        <v>18075</v>
      </c>
      <c r="BH110" s="684">
        <v>4</v>
      </c>
    </row>
    <row r="111" spans="1:60" ht="12.75" customHeight="1">
      <c r="A111" s="107">
        <v>42916</v>
      </c>
      <c r="B111" s="353">
        <v>1.44</v>
      </c>
      <c r="C111" s="353">
        <v>1.51</v>
      </c>
      <c r="D111" s="353">
        <v>1.62</v>
      </c>
      <c r="E111" s="353">
        <v>1.77</v>
      </c>
      <c r="F111" s="353">
        <v>1.93</v>
      </c>
      <c r="G111" s="353">
        <v>2.09</v>
      </c>
      <c r="H111" s="353">
        <v>2.23</v>
      </c>
      <c r="I111" s="353">
        <v>2.37</v>
      </c>
      <c r="J111" s="353">
        <v>2.5</v>
      </c>
      <c r="K111" s="353">
        <v>2.61</v>
      </c>
      <c r="L111" s="353">
        <v>2.72</v>
      </c>
      <c r="M111" s="353">
        <v>2.81</v>
      </c>
      <c r="N111" s="353">
        <v>2.88</v>
      </c>
      <c r="O111" s="353">
        <v>2.95</v>
      </c>
      <c r="P111" s="442">
        <v>3</v>
      </c>
      <c r="Q111" s="353">
        <v>3.04</v>
      </c>
      <c r="R111" s="353">
        <v>3.06</v>
      </c>
      <c r="S111" s="353">
        <v>3.09</v>
      </c>
      <c r="T111" s="353">
        <v>3.11</v>
      </c>
      <c r="U111" s="353">
        <v>3.13</v>
      </c>
      <c r="V111" s="353">
        <v>3.13</v>
      </c>
      <c r="W111" s="353">
        <v>3.13</v>
      </c>
      <c r="X111" s="353">
        <v>3.13</v>
      </c>
      <c r="Y111" s="353">
        <v>3.13</v>
      </c>
      <c r="Z111" s="353">
        <v>3.14</v>
      </c>
      <c r="AA111" s="353">
        <v>3.13</v>
      </c>
      <c r="AB111" s="353">
        <v>3.12</v>
      </c>
      <c r="AC111" s="353">
        <v>3.11</v>
      </c>
      <c r="AD111" s="353">
        <v>3.11</v>
      </c>
      <c r="AE111" s="353">
        <v>3.1</v>
      </c>
      <c r="AF111" s="353">
        <v>3.1</v>
      </c>
      <c r="AG111" s="353">
        <v>3.09</v>
      </c>
      <c r="AH111" s="353">
        <v>3.09</v>
      </c>
      <c r="AI111" s="353">
        <v>3.09</v>
      </c>
      <c r="AJ111" s="353">
        <v>3.09</v>
      </c>
      <c r="AK111" s="353">
        <v>3.08</v>
      </c>
      <c r="AL111" s="353">
        <v>3.08</v>
      </c>
      <c r="AM111" s="353">
        <v>3.08</v>
      </c>
      <c r="AN111" s="353">
        <v>3.08</v>
      </c>
      <c r="AO111" s="353">
        <v>3.08</v>
      </c>
      <c r="AP111" s="353">
        <v>3.08</v>
      </c>
      <c r="AQ111" s="353">
        <v>3.07</v>
      </c>
      <c r="AR111" s="353">
        <v>3.07</v>
      </c>
      <c r="AS111" s="353">
        <v>3.07</v>
      </c>
      <c r="AT111" s="353">
        <v>3.07</v>
      </c>
      <c r="AU111" s="353">
        <v>3.07</v>
      </c>
      <c r="AV111" s="353">
        <v>3.07</v>
      </c>
      <c r="AW111" s="353">
        <v>3.07</v>
      </c>
      <c r="AX111" s="353">
        <v>3.07</v>
      </c>
      <c r="AY111" s="353">
        <v>3.07</v>
      </c>
      <c r="AZ111" s="59">
        <v>8.9999999999999993E-3</v>
      </c>
      <c r="BA111" s="104">
        <f t="shared" si="2"/>
        <v>0.89999999999999991</v>
      </c>
      <c r="BC111" s="442">
        <v>3.86</v>
      </c>
      <c r="BD111" s="684">
        <f t="shared" si="7"/>
        <v>30307.583333333332</v>
      </c>
      <c r="BE111" s="684">
        <f t="shared" si="6"/>
        <v>27897.5</v>
      </c>
      <c r="BF111" s="684">
        <f t="shared" si="6"/>
        <v>24781.666666666668</v>
      </c>
      <c r="BG111" s="684">
        <f t="shared" si="6"/>
        <v>18360</v>
      </c>
      <c r="BH111" s="684">
        <v>5</v>
      </c>
    </row>
    <row r="112" spans="1:60" ht="12.75" customHeight="1">
      <c r="A112" s="107">
        <v>42947</v>
      </c>
      <c r="B112" s="353">
        <v>1.41</v>
      </c>
      <c r="C112" s="353">
        <v>1.48</v>
      </c>
      <c r="D112" s="353">
        <v>1.59</v>
      </c>
      <c r="E112" s="353">
        <v>1.74</v>
      </c>
      <c r="F112" s="353">
        <v>1.89</v>
      </c>
      <c r="G112" s="353">
        <v>2.0499999999999998</v>
      </c>
      <c r="H112" s="353">
        <v>2.2000000000000002</v>
      </c>
      <c r="I112" s="353">
        <v>2.34</v>
      </c>
      <c r="J112" s="353">
        <v>2.46</v>
      </c>
      <c r="K112" s="353">
        <v>2.58</v>
      </c>
      <c r="L112" s="353">
        <v>2.68</v>
      </c>
      <c r="M112" s="353">
        <v>2.77</v>
      </c>
      <c r="N112" s="353">
        <v>2.85</v>
      </c>
      <c r="O112" s="353">
        <v>2.91</v>
      </c>
      <c r="P112" s="442">
        <v>2.97</v>
      </c>
      <c r="Q112" s="353">
        <v>3</v>
      </c>
      <c r="R112" s="353">
        <v>3.03</v>
      </c>
      <c r="S112" s="353">
        <v>3.05</v>
      </c>
      <c r="T112" s="353">
        <v>3.08</v>
      </c>
      <c r="U112" s="353">
        <v>3.1</v>
      </c>
      <c r="V112" s="353">
        <v>3.1</v>
      </c>
      <c r="W112" s="353">
        <v>3.1</v>
      </c>
      <c r="X112" s="353">
        <v>3.1</v>
      </c>
      <c r="Y112" s="353">
        <v>3.1</v>
      </c>
      <c r="Z112" s="353">
        <v>3.1</v>
      </c>
      <c r="AA112" s="353">
        <v>3.1</v>
      </c>
      <c r="AB112" s="353">
        <v>3.09</v>
      </c>
      <c r="AC112" s="353">
        <v>3.08</v>
      </c>
      <c r="AD112" s="353">
        <v>3.08</v>
      </c>
      <c r="AE112" s="353">
        <v>3.07</v>
      </c>
      <c r="AF112" s="353">
        <v>3.07</v>
      </c>
      <c r="AG112" s="353">
        <v>3.06</v>
      </c>
      <c r="AH112" s="353">
        <v>3.06</v>
      </c>
      <c r="AI112" s="353">
        <v>3.06</v>
      </c>
      <c r="AJ112" s="353">
        <v>3.06</v>
      </c>
      <c r="AK112" s="353">
        <v>3.06</v>
      </c>
      <c r="AL112" s="353">
        <v>3.05</v>
      </c>
      <c r="AM112" s="353">
        <v>3.05</v>
      </c>
      <c r="AN112" s="353">
        <v>3.05</v>
      </c>
      <c r="AO112" s="353">
        <v>3.05</v>
      </c>
      <c r="AP112" s="353">
        <v>3.05</v>
      </c>
      <c r="AQ112" s="353">
        <v>3.05</v>
      </c>
      <c r="AR112" s="353">
        <v>3.05</v>
      </c>
      <c r="AS112" s="353">
        <v>3.04</v>
      </c>
      <c r="AT112" s="353">
        <v>3.04</v>
      </c>
      <c r="AU112" s="353">
        <v>3.04</v>
      </c>
      <c r="AV112" s="353">
        <v>3.04</v>
      </c>
      <c r="AW112" s="353">
        <v>3.04</v>
      </c>
      <c r="AX112" s="353">
        <v>3.04</v>
      </c>
      <c r="AY112" s="353">
        <v>3.04</v>
      </c>
      <c r="AZ112" s="59">
        <v>8.9999999999999993E-3</v>
      </c>
      <c r="BA112" s="104">
        <f t="shared" si="2"/>
        <v>0.89999999999999991</v>
      </c>
      <c r="BC112" s="442">
        <v>3.83</v>
      </c>
      <c r="BD112" s="684">
        <f t="shared" si="7"/>
        <v>30603.5</v>
      </c>
      <c r="BE112" s="684">
        <f t="shared" si="6"/>
        <v>28475</v>
      </c>
      <c r="BF112" s="684">
        <f t="shared" si="6"/>
        <v>24962</v>
      </c>
      <c r="BG112" s="684">
        <f t="shared" si="6"/>
        <v>18645</v>
      </c>
      <c r="BH112" s="684">
        <v>6</v>
      </c>
    </row>
    <row r="113" spans="1:60">
      <c r="A113" s="107">
        <v>42978</v>
      </c>
      <c r="B113" s="353">
        <v>1.38</v>
      </c>
      <c r="C113" s="353">
        <v>1.45</v>
      </c>
      <c r="D113" s="353">
        <v>1.56</v>
      </c>
      <c r="E113" s="353">
        <v>1.71</v>
      </c>
      <c r="F113" s="353">
        <v>1.87</v>
      </c>
      <c r="G113" s="353">
        <v>2.02</v>
      </c>
      <c r="H113" s="353">
        <v>2.17</v>
      </c>
      <c r="I113" s="353">
        <v>2.31</v>
      </c>
      <c r="J113" s="353">
        <v>2.4300000000000002</v>
      </c>
      <c r="K113" s="353">
        <v>2.5499999999999998</v>
      </c>
      <c r="L113" s="353">
        <v>2.66</v>
      </c>
      <c r="M113" s="353">
        <v>2.74</v>
      </c>
      <c r="N113" s="353">
        <v>2.82</v>
      </c>
      <c r="O113" s="353">
        <v>2.89</v>
      </c>
      <c r="P113" s="442">
        <v>2.94</v>
      </c>
      <c r="Q113" s="353">
        <v>2.97</v>
      </c>
      <c r="R113" s="353">
        <v>3</v>
      </c>
      <c r="S113" s="353">
        <v>3.03</v>
      </c>
      <c r="T113" s="353">
        <v>3.05</v>
      </c>
      <c r="U113" s="353">
        <v>3.07</v>
      </c>
      <c r="V113" s="353">
        <v>3.07</v>
      </c>
      <c r="W113" s="353">
        <v>3.07</v>
      </c>
      <c r="X113" s="353">
        <v>3.08</v>
      </c>
      <c r="Y113" s="353">
        <v>3.08</v>
      </c>
      <c r="Z113" s="353">
        <v>3.08</v>
      </c>
      <c r="AA113" s="353">
        <v>3.07</v>
      </c>
      <c r="AB113" s="353">
        <v>3.06</v>
      </c>
      <c r="AC113" s="353">
        <v>3.06</v>
      </c>
      <c r="AD113" s="353">
        <v>3.05</v>
      </c>
      <c r="AE113" s="353">
        <v>3.05</v>
      </c>
      <c r="AF113" s="353">
        <v>3.05</v>
      </c>
      <c r="AG113" s="353">
        <v>3.04</v>
      </c>
      <c r="AH113" s="353">
        <v>3.04</v>
      </c>
      <c r="AI113" s="353">
        <v>3.04</v>
      </c>
      <c r="AJ113" s="353">
        <v>3.04</v>
      </c>
      <c r="AK113" s="353">
        <v>3.03</v>
      </c>
      <c r="AL113" s="353">
        <v>3.03</v>
      </c>
      <c r="AM113" s="353">
        <v>3.03</v>
      </c>
      <c r="AN113" s="353">
        <v>3.03</v>
      </c>
      <c r="AO113" s="353">
        <v>3.03</v>
      </c>
      <c r="AP113" s="353">
        <v>3.03</v>
      </c>
      <c r="AQ113" s="353">
        <v>3.03</v>
      </c>
      <c r="AR113" s="353">
        <v>3.02</v>
      </c>
      <c r="AS113" s="353">
        <v>3.02</v>
      </c>
      <c r="AT113" s="353">
        <v>3.02</v>
      </c>
      <c r="AU113" s="353">
        <v>3.02</v>
      </c>
      <c r="AV113" s="353">
        <v>3.02</v>
      </c>
      <c r="AW113" s="353">
        <v>3.02</v>
      </c>
      <c r="AX113" s="353">
        <v>3.02</v>
      </c>
      <c r="AY113" s="353">
        <v>3.02</v>
      </c>
      <c r="AZ113" s="59">
        <v>8.9999999999999993E-3</v>
      </c>
      <c r="BA113" s="104">
        <f t="shared" si="2"/>
        <v>0.89999999999999991</v>
      </c>
      <c r="BC113" s="442">
        <v>3.8</v>
      </c>
      <c r="BD113" s="684">
        <f t="shared" si="7"/>
        <v>30899.416666666668</v>
      </c>
      <c r="BE113" s="684">
        <f t="shared" si="6"/>
        <v>29052.5</v>
      </c>
      <c r="BF113" s="684">
        <f t="shared" si="6"/>
        <v>25142.333333333332</v>
      </c>
      <c r="BG113" s="684">
        <f t="shared" si="6"/>
        <v>18930</v>
      </c>
      <c r="BH113" s="684">
        <v>7</v>
      </c>
    </row>
    <row r="114" spans="1:60">
      <c r="A114" s="107">
        <v>43008</v>
      </c>
      <c r="B114" s="353">
        <v>1.36</v>
      </c>
      <c r="C114" s="353">
        <v>1.42</v>
      </c>
      <c r="D114" s="353">
        <v>1.53</v>
      </c>
      <c r="E114" s="353">
        <v>1.68</v>
      </c>
      <c r="F114" s="353">
        <v>1.84</v>
      </c>
      <c r="G114" s="353">
        <v>1.99</v>
      </c>
      <c r="H114" s="353">
        <v>2.14</v>
      </c>
      <c r="I114" s="353">
        <v>2.2799999999999998</v>
      </c>
      <c r="J114" s="353">
        <v>2.4</v>
      </c>
      <c r="K114" s="353">
        <v>2.52</v>
      </c>
      <c r="L114" s="353">
        <v>2.63</v>
      </c>
      <c r="M114" s="353">
        <v>2.71</v>
      </c>
      <c r="N114" s="353">
        <v>2.79</v>
      </c>
      <c r="O114" s="353">
        <v>2.86</v>
      </c>
      <c r="P114" s="442">
        <v>2.91</v>
      </c>
      <c r="Q114" s="353">
        <v>2.95</v>
      </c>
      <c r="R114" s="353">
        <v>2.97</v>
      </c>
      <c r="S114" s="353">
        <v>3</v>
      </c>
      <c r="T114" s="353">
        <v>3.02</v>
      </c>
      <c r="U114" s="353">
        <v>3.04</v>
      </c>
      <c r="V114" s="353">
        <v>3.05</v>
      </c>
      <c r="W114" s="353">
        <v>3.05</v>
      </c>
      <c r="X114" s="353">
        <v>3.05</v>
      </c>
      <c r="Y114" s="353">
        <v>3.05</v>
      </c>
      <c r="Z114" s="353">
        <v>3.05</v>
      </c>
      <c r="AA114" s="353">
        <v>3.05</v>
      </c>
      <c r="AB114" s="353">
        <v>3.04</v>
      </c>
      <c r="AC114" s="353">
        <v>3.03</v>
      </c>
      <c r="AD114" s="353">
        <v>3.03</v>
      </c>
      <c r="AE114" s="353">
        <v>3.02</v>
      </c>
      <c r="AF114" s="353">
        <v>3.02</v>
      </c>
      <c r="AG114" s="353">
        <v>3.02</v>
      </c>
      <c r="AH114" s="353">
        <v>3.02</v>
      </c>
      <c r="AI114" s="353">
        <v>3.02</v>
      </c>
      <c r="AJ114" s="353">
        <v>3.01</v>
      </c>
      <c r="AK114" s="353">
        <v>3.01</v>
      </c>
      <c r="AL114" s="353">
        <v>3.01</v>
      </c>
      <c r="AM114" s="353">
        <v>3.01</v>
      </c>
      <c r="AN114" s="353">
        <v>3.01</v>
      </c>
      <c r="AO114" s="353">
        <v>3.01</v>
      </c>
      <c r="AP114" s="353">
        <v>3.01</v>
      </c>
      <c r="AQ114" s="353">
        <v>3</v>
      </c>
      <c r="AR114" s="353">
        <v>3</v>
      </c>
      <c r="AS114" s="353">
        <v>3</v>
      </c>
      <c r="AT114" s="353">
        <v>3</v>
      </c>
      <c r="AU114" s="353">
        <v>3</v>
      </c>
      <c r="AV114" s="353">
        <v>3</v>
      </c>
      <c r="AW114" s="353">
        <v>3</v>
      </c>
      <c r="AX114" s="353">
        <v>3</v>
      </c>
      <c r="AY114" s="353">
        <v>3</v>
      </c>
      <c r="AZ114" s="59">
        <v>8.9999999999999993E-3</v>
      </c>
      <c r="BA114" s="104">
        <f t="shared" si="2"/>
        <v>0.89999999999999991</v>
      </c>
      <c r="BC114" s="442">
        <v>3.77</v>
      </c>
      <c r="BD114" s="684">
        <f t="shared" si="7"/>
        <v>31195.333333333332</v>
      </c>
      <c r="BE114" s="684">
        <f t="shared" si="6"/>
        <v>29630</v>
      </c>
      <c r="BF114" s="684">
        <f t="shared" si="6"/>
        <v>25322.666666666668</v>
      </c>
      <c r="BG114" s="684">
        <f t="shared" si="6"/>
        <v>19215</v>
      </c>
      <c r="BH114" s="684">
        <v>8</v>
      </c>
    </row>
    <row r="115" spans="1:60">
      <c r="A115" s="107">
        <v>43039</v>
      </c>
      <c r="B115" s="353">
        <v>1.33</v>
      </c>
      <c r="C115" s="353">
        <v>1.39</v>
      </c>
      <c r="D115" s="353">
        <v>1.5</v>
      </c>
      <c r="E115" s="353">
        <v>1.65</v>
      </c>
      <c r="F115" s="353">
        <v>1.8</v>
      </c>
      <c r="G115" s="353">
        <v>1.96</v>
      </c>
      <c r="H115" s="353">
        <v>2.11</v>
      </c>
      <c r="I115" s="353">
        <v>2.2400000000000002</v>
      </c>
      <c r="J115" s="353">
        <v>2.37</v>
      </c>
      <c r="K115" s="353">
        <v>2.4900000000000002</v>
      </c>
      <c r="L115" s="353">
        <v>2.59</v>
      </c>
      <c r="M115" s="353">
        <v>2.68</v>
      </c>
      <c r="N115" s="353">
        <v>2.76</v>
      </c>
      <c r="O115" s="353">
        <v>2.82</v>
      </c>
      <c r="P115" s="442">
        <v>2.88</v>
      </c>
      <c r="Q115" s="353">
        <v>2.91</v>
      </c>
      <c r="R115" s="353">
        <v>2.94</v>
      </c>
      <c r="S115" s="353">
        <v>2.97</v>
      </c>
      <c r="T115" s="353">
        <v>2.99</v>
      </c>
      <c r="U115" s="353">
        <v>3.01</v>
      </c>
      <c r="V115" s="353">
        <v>3.02</v>
      </c>
      <c r="W115" s="353">
        <v>3.02</v>
      </c>
      <c r="X115" s="353">
        <v>3.02</v>
      </c>
      <c r="Y115" s="353">
        <v>3.02</v>
      </c>
      <c r="Z115" s="353">
        <v>3.02</v>
      </c>
      <c r="AA115" s="353">
        <v>3.02</v>
      </c>
      <c r="AB115" s="353">
        <v>3.01</v>
      </c>
      <c r="AC115" s="353">
        <v>3.01</v>
      </c>
      <c r="AD115" s="353">
        <v>3</v>
      </c>
      <c r="AE115" s="353">
        <v>3</v>
      </c>
      <c r="AF115" s="353">
        <v>3</v>
      </c>
      <c r="AG115" s="353">
        <v>3</v>
      </c>
      <c r="AH115" s="353">
        <v>2.99</v>
      </c>
      <c r="AI115" s="353">
        <v>2.99</v>
      </c>
      <c r="AJ115" s="353">
        <v>2.99</v>
      </c>
      <c r="AK115" s="353">
        <v>2.99</v>
      </c>
      <c r="AL115" s="353">
        <v>2.99</v>
      </c>
      <c r="AM115" s="353">
        <v>2.99</v>
      </c>
      <c r="AN115" s="353">
        <v>2.99</v>
      </c>
      <c r="AO115" s="353">
        <v>2.98</v>
      </c>
      <c r="AP115" s="353">
        <v>2.98</v>
      </c>
      <c r="AQ115" s="353">
        <v>2.98</v>
      </c>
      <c r="AR115" s="353">
        <v>2.98</v>
      </c>
      <c r="AS115" s="353">
        <v>2.98</v>
      </c>
      <c r="AT115" s="353">
        <v>2.98</v>
      </c>
      <c r="AU115" s="353">
        <v>2.98</v>
      </c>
      <c r="AV115" s="353">
        <v>2.98</v>
      </c>
      <c r="AW115" s="353">
        <v>2.98</v>
      </c>
      <c r="AX115" s="353">
        <v>2.98</v>
      </c>
      <c r="AY115" s="353">
        <v>2.98</v>
      </c>
      <c r="AZ115" s="59">
        <v>8.9999999999999993E-3</v>
      </c>
      <c r="BA115" s="104">
        <f t="shared" si="2"/>
        <v>0.89999999999999991</v>
      </c>
      <c r="BC115" s="442">
        <v>3.74</v>
      </c>
      <c r="BD115" s="684">
        <f t="shared" si="7"/>
        <v>31491.25</v>
      </c>
      <c r="BE115" s="684">
        <f t="shared" si="6"/>
        <v>30207.5</v>
      </c>
      <c r="BF115" s="684">
        <f t="shared" si="6"/>
        <v>25503</v>
      </c>
      <c r="BG115" s="684">
        <f t="shared" si="6"/>
        <v>19500</v>
      </c>
      <c r="BH115" s="684">
        <v>9</v>
      </c>
    </row>
    <row r="116" spans="1:60">
      <c r="A116" s="107">
        <v>43069</v>
      </c>
      <c r="B116" s="353">
        <v>1.29</v>
      </c>
      <c r="C116" s="353">
        <v>1.36</v>
      </c>
      <c r="D116" s="353">
        <v>1.47</v>
      </c>
      <c r="E116" s="353">
        <v>1.61</v>
      </c>
      <c r="F116" s="353">
        <v>1.76</v>
      </c>
      <c r="G116" s="353">
        <v>1.92</v>
      </c>
      <c r="H116" s="353">
        <v>2.0699999999999998</v>
      </c>
      <c r="I116" s="353">
        <v>2.2000000000000002</v>
      </c>
      <c r="J116" s="353">
        <v>2.33</v>
      </c>
      <c r="K116" s="353">
        <v>2.4500000000000002</v>
      </c>
      <c r="L116" s="353">
        <v>2.5499999999999998</v>
      </c>
      <c r="M116" s="353">
        <v>2.64</v>
      </c>
      <c r="N116" s="353">
        <v>2.72</v>
      </c>
      <c r="O116" s="353">
        <v>2.79</v>
      </c>
      <c r="P116" s="442">
        <v>2.84</v>
      </c>
      <c r="Q116" s="353">
        <v>2.88</v>
      </c>
      <c r="R116" s="353">
        <v>2.91</v>
      </c>
      <c r="S116" s="353">
        <v>2.93</v>
      </c>
      <c r="T116" s="353">
        <v>2.95</v>
      </c>
      <c r="U116" s="353">
        <v>2.98</v>
      </c>
      <c r="V116" s="353">
        <v>2.98</v>
      </c>
      <c r="W116" s="353">
        <v>2.98</v>
      </c>
      <c r="X116" s="353">
        <v>2.99</v>
      </c>
      <c r="Y116" s="353">
        <v>2.99</v>
      </c>
      <c r="Z116" s="353">
        <v>2.99</v>
      </c>
      <c r="AA116" s="353">
        <v>2.99</v>
      </c>
      <c r="AB116" s="353">
        <v>2.98</v>
      </c>
      <c r="AC116" s="353">
        <v>2.98</v>
      </c>
      <c r="AD116" s="353">
        <v>2.97</v>
      </c>
      <c r="AE116" s="353">
        <v>2.97</v>
      </c>
      <c r="AF116" s="353">
        <v>2.97</v>
      </c>
      <c r="AG116" s="353">
        <v>2.97</v>
      </c>
      <c r="AH116" s="353">
        <v>2.96</v>
      </c>
      <c r="AI116" s="353">
        <v>2.96</v>
      </c>
      <c r="AJ116" s="353">
        <v>2.96</v>
      </c>
      <c r="AK116" s="353">
        <v>2.96</v>
      </c>
      <c r="AL116" s="353">
        <v>2.96</v>
      </c>
      <c r="AM116" s="353">
        <v>2.96</v>
      </c>
      <c r="AN116" s="353">
        <v>2.96</v>
      </c>
      <c r="AO116" s="353">
        <v>2.96</v>
      </c>
      <c r="AP116" s="353">
        <v>2.96</v>
      </c>
      <c r="AQ116" s="353">
        <v>2.95</v>
      </c>
      <c r="AR116" s="353">
        <v>2.95</v>
      </c>
      <c r="AS116" s="353">
        <v>2.95</v>
      </c>
      <c r="AT116" s="353">
        <v>2.95</v>
      </c>
      <c r="AU116" s="353">
        <v>2.95</v>
      </c>
      <c r="AV116" s="353">
        <v>2.95</v>
      </c>
      <c r="AW116" s="353">
        <v>2.95</v>
      </c>
      <c r="AX116" s="353">
        <v>2.95</v>
      </c>
      <c r="AY116" s="353">
        <v>2.95</v>
      </c>
      <c r="AZ116" s="59">
        <v>8.9999999999999993E-3</v>
      </c>
      <c r="BA116" s="104">
        <f t="shared" si="2"/>
        <v>0.89999999999999991</v>
      </c>
      <c r="BC116" s="442">
        <v>3.71</v>
      </c>
      <c r="BD116" s="684">
        <f t="shared" si="7"/>
        <v>31787.166666666668</v>
      </c>
      <c r="BE116" s="684">
        <f t="shared" si="6"/>
        <v>30785</v>
      </c>
      <c r="BF116" s="684">
        <f t="shared" si="6"/>
        <v>25683.333333333332</v>
      </c>
      <c r="BG116" s="684">
        <f t="shared" si="6"/>
        <v>19785</v>
      </c>
      <c r="BH116" s="684">
        <v>10</v>
      </c>
    </row>
    <row r="117" spans="1:60">
      <c r="A117" s="107">
        <v>43100</v>
      </c>
      <c r="B117" s="353">
        <v>1.26</v>
      </c>
      <c r="C117" s="353">
        <v>1.33</v>
      </c>
      <c r="D117" s="353">
        <v>1.43</v>
      </c>
      <c r="E117" s="353">
        <v>1.58</v>
      </c>
      <c r="F117" s="353">
        <v>1.73</v>
      </c>
      <c r="G117" s="353">
        <v>1.88</v>
      </c>
      <c r="H117" s="353">
        <v>2.02</v>
      </c>
      <c r="I117" s="353">
        <v>2.16</v>
      </c>
      <c r="J117" s="353">
        <v>2.29</v>
      </c>
      <c r="K117" s="353">
        <v>2.4</v>
      </c>
      <c r="L117" s="353">
        <v>2.5099999999999998</v>
      </c>
      <c r="M117" s="353">
        <v>2.6</v>
      </c>
      <c r="N117" s="353">
        <v>2.68</v>
      </c>
      <c r="O117" s="353">
        <v>2.74</v>
      </c>
      <c r="P117" s="442">
        <v>2.8</v>
      </c>
      <c r="Q117" s="353">
        <v>2.83</v>
      </c>
      <c r="R117" s="353">
        <v>2.86</v>
      </c>
      <c r="S117" s="353">
        <v>2.89</v>
      </c>
      <c r="T117" s="353">
        <v>2.91</v>
      </c>
      <c r="U117" s="353">
        <v>2.94</v>
      </c>
      <c r="V117" s="353">
        <v>2.94</v>
      </c>
      <c r="W117" s="353">
        <v>2.94</v>
      </c>
      <c r="X117" s="353">
        <v>2.95</v>
      </c>
      <c r="Y117" s="353">
        <v>2.95</v>
      </c>
      <c r="Z117" s="353">
        <v>2.95</v>
      </c>
      <c r="AA117" s="353">
        <v>2.95</v>
      </c>
      <c r="AB117" s="353">
        <v>2.94</v>
      </c>
      <c r="AC117" s="353">
        <v>2.94</v>
      </c>
      <c r="AD117" s="353">
        <v>2.94</v>
      </c>
      <c r="AE117" s="353">
        <v>2.93</v>
      </c>
      <c r="AF117" s="353">
        <v>2.93</v>
      </c>
      <c r="AG117" s="353">
        <v>2.93</v>
      </c>
      <c r="AH117" s="353">
        <v>2.93</v>
      </c>
      <c r="AI117" s="353">
        <v>2.93</v>
      </c>
      <c r="AJ117" s="353">
        <v>2.93</v>
      </c>
      <c r="AK117" s="353">
        <v>2.93</v>
      </c>
      <c r="AL117" s="353">
        <v>2.93</v>
      </c>
      <c r="AM117" s="353">
        <v>2.93</v>
      </c>
      <c r="AN117" s="353">
        <v>2.93</v>
      </c>
      <c r="AO117" s="353">
        <v>2.92</v>
      </c>
      <c r="AP117" s="353">
        <v>2.92</v>
      </c>
      <c r="AQ117" s="353">
        <v>2.92</v>
      </c>
      <c r="AR117" s="353">
        <v>2.92</v>
      </c>
      <c r="AS117" s="353">
        <v>2.92</v>
      </c>
      <c r="AT117" s="353">
        <v>2.92</v>
      </c>
      <c r="AU117" s="353">
        <v>2.92</v>
      </c>
      <c r="AV117" s="353">
        <v>2.92</v>
      </c>
      <c r="AW117" s="353">
        <v>2.92</v>
      </c>
      <c r="AX117" s="353">
        <v>2.92</v>
      </c>
      <c r="AY117" s="353">
        <v>2.92</v>
      </c>
      <c r="AZ117" s="59">
        <v>8.9999999999999993E-3</v>
      </c>
      <c r="BA117" s="104">
        <f t="shared" si="2"/>
        <v>0.89999999999999991</v>
      </c>
      <c r="BC117" s="442">
        <v>3.68</v>
      </c>
      <c r="BD117" s="684">
        <f t="shared" si="7"/>
        <v>32083.083333333332</v>
      </c>
      <c r="BE117" s="684">
        <f t="shared" si="6"/>
        <v>31362.5</v>
      </c>
      <c r="BF117" s="684">
        <f t="shared" si="6"/>
        <v>25863.666666666668</v>
      </c>
      <c r="BG117" s="684">
        <f t="shared" si="6"/>
        <v>20070</v>
      </c>
      <c r="BH117" s="684">
        <v>11</v>
      </c>
    </row>
    <row r="118" spans="1:60" ht="12.75" customHeight="1">
      <c r="A118" s="107">
        <v>43131</v>
      </c>
      <c r="B118" s="353">
        <v>1.23</v>
      </c>
      <c r="C118" s="353">
        <v>1.29</v>
      </c>
      <c r="D118" s="353">
        <v>1.39</v>
      </c>
      <c r="E118" s="353">
        <v>1.54</v>
      </c>
      <c r="F118" s="353">
        <v>1.68</v>
      </c>
      <c r="G118" s="353">
        <v>1.84</v>
      </c>
      <c r="H118" s="353">
        <v>1.98</v>
      </c>
      <c r="I118" s="353">
        <v>2.12</v>
      </c>
      <c r="J118" s="353">
        <v>2.25</v>
      </c>
      <c r="K118" s="353">
        <v>2.36</v>
      </c>
      <c r="L118" s="353">
        <v>2.4700000000000002</v>
      </c>
      <c r="M118" s="353">
        <v>2.56</v>
      </c>
      <c r="N118" s="353">
        <v>2.63</v>
      </c>
      <c r="O118" s="353">
        <v>2.7</v>
      </c>
      <c r="P118" s="442">
        <v>2.76</v>
      </c>
      <c r="Q118" s="353">
        <v>2.79</v>
      </c>
      <c r="R118" s="353">
        <v>2.82</v>
      </c>
      <c r="S118" s="353">
        <v>2.85</v>
      </c>
      <c r="T118" s="353">
        <v>2.87</v>
      </c>
      <c r="U118" s="353">
        <v>2.89</v>
      </c>
      <c r="V118" s="353">
        <v>2.9</v>
      </c>
      <c r="W118" s="353">
        <v>2.9</v>
      </c>
      <c r="X118" s="353">
        <v>2.91</v>
      </c>
      <c r="Y118" s="353">
        <v>2.91</v>
      </c>
      <c r="Z118" s="353">
        <v>2.91</v>
      </c>
      <c r="AA118" s="353">
        <v>2.91</v>
      </c>
      <c r="AB118" s="353">
        <v>2.91</v>
      </c>
      <c r="AC118" s="353">
        <v>2.9</v>
      </c>
      <c r="AD118" s="353">
        <v>2.9</v>
      </c>
      <c r="AE118" s="353">
        <v>2.9</v>
      </c>
      <c r="AF118" s="353">
        <v>2.89</v>
      </c>
      <c r="AG118" s="353">
        <v>2.89</v>
      </c>
      <c r="AH118" s="353">
        <v>2.89</v>
      </c>
      <c r="AI118" s="353">
        <v>2.89</v>
      </c>
      <c r="AJ118" s="353">
        <v>2.89</v>
      </c>
      <c r="AK118" s="353">
        <v>2.89</v>
      </c>
      <c r="AL118" s="353">
        <v>2.89</v>
      </c>
      <c r="AM118" s="353">
        <v>2.89</v>
      </c>
      <c r="AN118" s="353">
        <v>2.89</v>
      </c>
      <c r="AO118" s="353">
        <v>2.89</v>
      </c>
      <c r="AP118" s="353">
        <v>2.89</v>
      </c>
      <c r="AQ118" s="353">
        <v>2.89</v>
      </c>
      <c r="AR118" s="353">
        <v>2.89</v>
      </c>
      <c r="AS118" s="353">
        <v>2.89</v>
      </c>
      <c r="AT118" s="353">
        <v>2.89</v>
      </c>
      <c r="AU118" s="353">
        <v>2.88</v>
      </c>
      <c r="AV118" s="353">
        <v>2.88</v>
      </c>
      <c r="AW118" s="353">
        <v>2.88</v>
      </c>
      <c r="AX118" s="353">
        <v>2.88</v>
      </c>
      <c r="AY118" s="353">
        <v>2.88</v>
      </c>
      <c r="AZ118" s="59">
        <v>8.9999999999999993E-3</v>
      </c>
      <c r="BA118" s="104">
        <f t="shared" si="2"/>
        <v>0.89999999999999991</v>
      </c>
      <c r="BC118" s="442">
        <v>3.64</v>
      </c>
      <c r="BD118" s="685">
        <v>32379</v>
      </c>
      <c r="BE118" s="685">
        <v>31940</v>
      </c>
      <c r="BF118" s="685">
        <v>26044</v>
      </c>
      <c r="BG118" s="685">
        <v>20355</v>
      </c>
    </row>
    <row r="119" spans="1:60">
      <c r="A119" s="107">
        <v>43159</v>
      </c>
      <c r="B119" s="353">
        <v>1.19</v>
      </c>
      <c r="C119" s="353">
        <v>1.25</v>
      </c>
      <c r="D119" s="353">
        <v>1.35</v>
      </c>
      <c r="E119" s="353">
        <v>1.5</v>
      </c>
      <c r="F119" s="353">
        <v>1.64</v>
      </c>
      <c r="G119" s="353">
        <v>1.8</v>
      </c>
      <c r="H119" s="353">
        <v>1.94</v>
      </c>
      <c r="I119" s="353">
        <v>2.08</v>
      </c>
      <c r="J119" s="353">
        <v>2.21</v>
      </c>
      <c r="K119" s="353">
        <v>2.3199999999999998</v>
      </c>
      <c r="L119" s="353">
        <v>2.4300000000000002</v>
      </c>
      <c r="M119" s="353">
        <v>2.52</v>
      </c>
      <c r="N119" s="353">
        <v>2.59</v>
      </c>
      <c r="O119" s="353">
        <v>2.66</v>
      </c>
      <c r="P119" s="442">
        <v>2.72</v>
      </c>
      <c r="Q119" s="353">
        <v>2.75</v>
      </c>
      <c r="R119" s="353">
        <v>2.78</v>
      </c>
      <c r="S119" s="353">
        <v>2.81</v>
      </c>
      <c r="T119" s="353">
        <v>2.83</v>
      </c>
      <c r="U119" s="353">
        <v>2.85</v>
      </c>
      <c r="V119" s="353">
        <v>2.86</v>
      </c>
      <c r="W119" s="353">
        <v>2.86</v>
      </c>
      <c r="X119" s="353">
        <v>2.87</v>
      </c>
      <c r="Y119" s="353">
        <v>2.87</v>
      </c>
      <c r="Z119" s="353">
        <v>2.88</v>
      </c>
      <c r="AA119" s="353">
        <v>2.87</v>
      </c>
      <c r="AB119" s="353">
        <v>2.87</v>
      </c>
      <c r="AC119" s="353">
        <v>2.87</v>
      </c>
      <c r="AD119" s="353">
        <v>2.86</v>
      </c>
      <c r="AE119" s="353">
        <v>2.86</v>
      </c>
      <c r="AF119" s="353">
        <v>2.86</v>
      </c>
      <c r="AG119" s="353">
        <v>2.86</v>
      </c>
      <c r="AH119" s="353">
        <v>2.86</v>
      </c>
      <c r="AI119" s="353">
        <v>2.86</v>
      </c>
      <c r="AJ119" s="353">
        <v>2.86</v>
      </c>
      <c r="AK119" s="353">
        <v>2.86</v>
      </c>
      <c r="AL119" s="353">
        <v>2.86</v>
      </c>
      <c r="AM119" s="353">
        <v>2.86</v>
      </c>
      <c r="AN119" s="353">
        <v>2.86</v>
      </c>
      <c r="AO119" s="353">
        <v>2.86</v>
      </c>
      <c r="AP119" s="353">
        <v>2.86</v>
      </c>
      <c r="AQ119" s="353">
        <v>2.86</v>
      </c>
      <c r="AR119" s="353">
        <v>2.85</v>
      </c>
      <c r="AS119" s="353">
        <v>2.85</v>
      </c>
      <c r="AT119" s="353">
        <v>2.85</v>
      </c>
      <c r="AU119" s="353">
        <v>2.85</v>
      </c>
      <c r="AV119" s="353">
        <v>2.85</v>
      </c>
      <c r="AW119" s="353">
        <v>2.85</v>
      </c>
      <c r="AX119" s="353">
        <v>2.85</v>
      </c>
      <c r="AY119" s="353">
        <v>2.85</v>
      </c>
      <c r="AZ119" s="59">
        <v>8.9999999999999993E-3</v>
      </c>
      <c r="BA119" s="104">
        <f t="shared" si="2"/>
        <v>0.89999999999999991</v>
      </c>
      <c r="BC119" s="442">
        <v>3.61</v>
      </c>
      <c r="BD119" s="684">
        <f>BD$118+(BD$130-BD$118)/12*$BH119</f>
        <v>32746.916666666668</v>
      </c>
      <c r="BE119" s="684">
        <f t="shared" ref="BE119:BG129" si="8">BE$118+(BE$130-BE$118)/12*$BH119</f>
        <v>32764.333333333332</v>
      </c>
      <c r="BF119" s="684">
        <f t="shared" si="8"/>
        <v>26326.25</v>
      </c>
      <c r="BG119" s="684">
        <f t="shared" si="8"/>
        <v>20855.583333333332</v>
      </c>
      <c r="BH119" s="684">
        <v>1</v>
      </c>
    </row>
    <row r="120" spans="1:60" ht="12.75" customHeight="1">
      <c r="A120" s="107">
        <v>43190</v>
      </c>
      <c r="B120" s="353">
        <v>1.1599999999999999</v>
      </c>
      <c r="C120" s="353">
        <v>1.21</v>
      </c>
      <c r="D120" s="353">
        <v>1.31</v>
      </c>
      <c r="E120" s="353">
        <v>1.45</v>
      </c>
      <c r="F120" s="353">
        <v>1.6</v>
      </c>
      <c r="G120" s="353">
        <v>1.76</v>
      </c>
      <c r="H120" s="353">
        <v>1.9</v>
      </c>
      <c r="I120" s="353">
        <v>2.04</v>
      </c>
      <c r="J120" s="353">
        <v>2.16</v>
      </c>
      <c r="K120" s="353">
        <v>2.2799999999999998</v>
      </c>
      <c r="L120" s="353">
        <v>2.39</v>
      </c>
      <c r="M120" s="353">
        <v>2.48</v>
      </c>
      <c r="N120" s="353">
        <v>2.5499999999999998</v>
      </c>
      <c r="O120" s="353">
        <v>2.62</v>
      </c>
      <c r="P120" s="442">
        <v>2.68</v>
      </c>
      <c r="Q120" s="353">
        <v>2.71</v>
      </c>
      <c r="R120" s="353">
        <v>2.74</v>
      </c>
      <c r="S120" s="353">
        <v>2.77</v>
      </c>
      <c r="T120" s="353">
        <v>2.79</v>
      </c>
      <c r="U120" s="353">
        <v>2.81</v>
      </c>
      <c r="V120" s="353">
        <v>2.82</v>
      </c>
      <c r="W120" s="353">
        <v>2.82</v>
      </c>
      <c r="X120" s="353">
        <v>2.83</v>
      </c>
      <c r="Y120" s="353">
        <v>2.83</v>
      </c>
      <c r="Z120" s="353">
        <v>2.84</v>
      </c>
      <c r="AA120" s="353">
        <v>2.83</v>
      </c>
      <c r="AB120" s="353">
        <v>2.83</v>
      </c>
      <c r="AC120" s="353">
        <v>2.83</v>
      </c>
      <c r="AD120" s="353">
        <v>2.82</v>
      </c>
      <c r="AE120" s="353">
        <v>2.82</v>
      </c>
      <c r="AF120" s="353">
        <v>2.82</v>
      </c>
      <c r="AG120" s="353">
        <v>2.82</v>
      </c>
      <c r="AH120" s="353">
        <v>2.82</v>
      </c>
      <c r="AI120" s="353">
        <v>2.82</v>
      </c>
      <c r="AJ120" s="353">
        <v>2.82</v>
      </c>
      <c r="AK120" s="353">
        <v>2.82</v>
      </c>
      <c r="AL120" s="353">
        <v>2.82</v>
      </c>
      <c r="AM120" s="353">
        <v>2.82</v>
      </c>
      <c r="AN120" s="353">
        <v>2.82</v>
      </c>
      <c r="AO120" s="353">
        <v>2.82</v>
      </c>
      <c r="AP120" s="353">
        <v>2.82</v>
      </c>
      <c r="AQ120" s="353">
        <v>2.82</v>
      </c>
      <c r="AR120" s="353">
        <v>2.82</v>
      </c>
      <c r="AS120" s="353">
        <v>2.82</v>
      </c>
      <c r="AT120" s="353">
        <v>2.82</v>
      </c>
      <c r="AU120" s="353">
        <v>2.82</v>
      </c>
      <c r="AV120" s="353">
        <v>2.82</v>
      </c>
      <c r="AW120" s="353">
        <v>2.82</v>
      </c>
      <c r="AX120" s="353">
        <v>2.82</v>
      </c>
      <c r="AY120" s="353">
        <v>2.82</v>
      </c>
      <c r="AZ120" s="59">
        <v>8.9999999999999993E-3</v>
      </c>
      <c r="BA120" s="104">
        <f t="shared" si="2"/>
        <v>0.89999999999999991</v>
      </c>
      <c r="BC120" s="442">
        <v>3.57</v>
      </c>
      <c r="BD120" s="684">
        <f t="shared" ref="BD120:BD129" si="9">BD$118+(BD$130-BD$118)/12*$BH120</f>
        <v>33114.833333333336</v>
      </c>
      <c r="BE120" s="684">
        <f t="shared" si="8"/>
        <v>33588.666666666664</v>
      </c>
      <c r="BF120" s="684">
        <f t="shared" si="8"/>
        <v>26608.5</v>
      </c>
      <c r="BG120" s="684">
        <f t="shared" si="8"/>
        <v>21356.166666666668</v>
      </c>
      <c r="BH120" s="684">
        <v>2</v>
      </c>
    </row>
    <row r="121" spans="1:60">
      <c r="A121" s="107">
        <v>43220</v>
      </c>
      <c r="B121" s="353">
        <v>1.1200000000000001</v>
      </c>
      <c r="C121" s="353">
        <v>1.17</v>
      </c>
      <c r="D121" s="353">
        <v>1.27</v>
      </c>
      <c r="E121" s="353">
        <v>1.41</v>
      </c>
      <c r="F121" s="353">
        <v>1.56</v>
      </c>
      <c r="G121" s="353">
        <v>1.72</v>
      </c>
      <c r="H121" s="353">
        <v>1.86</v>
      </c>
      <c r="I121" s="353">
        <v>2</v>
      </c>
      <c r="J121" s="353">
        <v>2.12</v>
      </c>
      <c r="K121" s="353">
        <v>2.2400000000000002</v>
      </c>
      <c r="L121" s="353">
        <v>2.35</v>
      </c>
      <c r="M121" s="353">
        <v>2.44</v>
      </c>
      <c r="N121" s="353">
        <v>2.5099999999999998</v>
      </c>
      <c r="O121" s="353">
        <v>2.58</v>
      </c>
      <c r="P121" s="442">
        <v>2.64</v>
      </c>
      <c r="Q121" s="353">
        <v>2.67</v>
      </c>
      <c r="R121" s="353">
        <v>2.7</v>
      </c>
      <c r="S121" s="353">
        <v>2.73</v>
      </c>
      <c r="T121" s="353">
        <v>2.75</v>
      </c>
      <c r="U121" s="353">
        <v>2.77</v>
      </c>
      <c r="V121" s="353">
        <v>2.78</v>
      </c>
      <c r="W121" s="353">
        <v>2.79</v>
      </c>
      <c r="X121" s="353">
        <v>2.79</v>
      </c>
      <c r="Y121" s="353">
        <v>2.8</v>
      </c>
      <c r="Z121" s="353">
        <v>2.8</v>
      </c>
      <c r="AA121" s="353">
        <v>2.8</v>
      </c>
      <c r="AB121" s="353">
        <v>2.79</v>
      </c>
      <c r="AC121" s="353">
        <v>2.79</v>
      </c>
      <c r="AD121" s="353">
        <v>2.79</v>
      </c>
      <c r="AE121" s="353">
        <v>2.79</v>
      </c>
      <c r="AF121" s="353">
        <v>2.79</v>
      </c>
      <c r="AG121" s="353">
        <v>2.79</v>
      </c>
      <c r="AH121" s="353">
        <v>2.79</v>
      </c>
      <c r="AI121" s="353">
        <v>2.79</v>
      </c>
      <c r="AJ121" s="353">
        <v>2.79</v>
      </c>
      <c r="AK121" s="353">
        <v>2.79</v>
      </c>
      <c r="AL121" s="353">
        <v>2.79</v>
      </c>
      <c r="AM121" s="353">
        <v>2.79</v>
      </c>
      <c r="AN121" s="353">
        <v>2.79</v>
      </c>
      <c r="AO121" s="353">
        <v>2.79</v>
      </c>
      <c r="AP121" s="353">
        <v>2.79</v>
      </c>
      <c r="AQ121" s="353">
        <v>2.79</v>
      </c>
      <c r="AR121" s="353">
        <v>2.79</v>
      </c>
      <c r="AS121" s="353">
        <v>2.79</v>
      </c>
      <c r="AT121" s="353">
        <v>2.79</v>
      </c>
      <c r="AU121" s="353">
        <v>2.79</v>
      </c>
      <c r="AV121" s="353">
        <v>2.78</v>
      </c>
      <c r="AW121" s="353">
        <v>2.78</v>
      </c>
      <c r="AX121" s="353">
        <v>2.78</v>
      </c>
      <c r="AY121" s="353">
        <v>2.78</v>
      </c>
      <c r="AZ121" s="59">
        <v>8.9999999999999993E-3</v>
      </c>
      <c r="BA121" s="104">
        <f t="shared" si="2"/>
        <v>0.89999999999999991</v>
      </c>
      <c r="BC121" s="442">
        <v>3.53</v>
      </c>
      <c r="BD121" s="684">
        <f t="shared" si="9"/>
        <v>33482.75</v>
      </c>
      <c r="BE121" s="684">
        <f t="shared" si="8"/>
        <v>34413</v>
      </c>
      <c r="BF121" s="684">
        <f t="shared" si="8"/>
        <v>26890.75</v>
      </c>
      <c r="BG121" s="684">
        <f t="shared" si="8"/>
        <v>21856.75</v>
      </c>
      <c r="BH121" s="684">
        <v>3</v>
      </c>
    </row>
    <row r="122" spans="1:60">
      <c r="A122" s="107">
        <v>43251</v>
      </c>
      <c r="B122" s="353">
        <v>1.0900000000000001</v>
      </c>
      <c r="C122" s="353">
        <v>1.1399999999999999</v>
      </c>
      <c r="D122" s="353">
        <v>1.24</v>
      </c>
      <c r="E122" s="353">
        <v>1.38</v>
      </c>
      <c r="F122" s="353">
        <v>1.52</v>
      </c>
      <c r="G122" s="353">
        <v>1.68</v>
      </c>
      <c r="H122" s="353">
        <v>1.82</v>
      </c>
      <c r="I122" s="353">
        <v>1.96</v>
      </c>
      <c r="J122" s="353">
        <v>2.08</v>
      </c>
      <c r="K122" s="353">
        <v>2.2000000000000002</v>
      </c>
      <c r="L122" s="353">
        <v>2.31</v>
      </c>
      <c r="M122" s="353">
        <v>2.4</v>
      </c>
      <c r="N122" s="353">
        <v>2.4700000000000002</v>
      </c>
      <c r="O122" s="353">
        <v>2.54</v>
      </c>
      <c r="P122" s="442">
        <v>2.6</v>
      </c>
      <c r="Q122" s="353">
        <v>2.63</v>
      </c>
      <c r="R122" s="353">
        <v>2.66</v>
      </c>
      <c r="S122" s="353">
        <v>2.69</v>
      </c>
      <c r="T122" s="353">
        <v>2.71</v>
      </c>
      <c r="U122" s="353">
        <v>2.74</v>
      </c>
      <c r="V122" s="353">
        <v>2.74</v>
      </c>
      <c r="W122" s="353">
        <v>2.75</v>
      </c>
      <c r="X122" s="353">
        <v>2.75</v>
      </c>
      <c r="Y122" s="353">
        <v>2.76</v>
      </c>
      <c r="Z122" s="353">
        <v>2.76</v>
      </c>
      <c r="AA122" s="353">
        <v>2.76</v>
      </c>
      <c r="AB122" s="353">
        <v>2.76</v>
      </c>
      <c r="AC122" s="353">
        <v>2.76</v>
      </c>
      <c r="AD122" s="353">
        <v>2.75</v>
      </c>
      <c r="AE122" s="353">
        <v>2.75</v>
      </c>
      <c r="AF122" s="353">
        <v>2.75</v>
      </c>
      <c r="AG122" s="353">
        <v>2.75</v>
      </c>
      <c r="AH122" s="353">
        <v>2.75</v>
      </c>
      <c r="AI122" s="353">
        <v>2.75</v>
      </c>
      <c r="AJ122" s="353">
        <v>2.75</v>
      </c>
      <c r="AK122" s="353">
        <v>2.76</v>
      </c>
      <c r="AL122" s="353">
        <v>2.76</v>
      </c>
      <c r="AM122" s="353">
        <v>2.76</v>
      </c>
      <c r="AN122" s="353">
        <v>2.76</v>
      </c>
      <c r="AO122" s="353">
        <v>2.76</v>
      </c>
      <c r="AP122" s="353">
        <v>2.76</v>
      </c>
      <c r="AQ122" s="353">
        <v>2.76</v>
      </c>
      <c r="AR122" s="353">
        <v>2.75</v>
      </c>
      <c r="AS122" s="353">
        <v>2.75</v>
      </c>
      <c r="AT122" s="353">
        <v>2.75</v>
      </c>
      <c r="AU122" s="353">
        <v>2.75</v>
      </c>
      <c r="AV122" s="353">
        <v>2.75</v>
      </c>
      <c r="AW122" s="353">
        <v>2.75</v>
      </c>
      <c r="AX122" s="353">
        <v>2.75</v>
      </c>
      <c r="AY122" s="353">
        <v>2.75</v>
      </c>
      <c r="AZ122" s="59">
        <v>8.9999999999999993E-3</v>
      </c>
      <c r="BA122" s="104">
        <f t="shared" si="2"/>
        <v>0.89999999999999991</v>
      </c>
      <c r="BC122" s="442">
        <v>3.5</v>
      </c>
      <c r="BD122" s="684">
        <f t="shared" si="9"/>
        <v>33850.666666666664</v>
      </c>
      <c r="BE122" s="684">
        <f t="shared" si="8"/>
        <v>35237.333333333336</v>
      </c>
      <c r="BF122" s="684">
        <f t="shared" si="8"/>
        <v>27173</v>
      </c>
      <c r="BG122" s="684">
        <f t="shared" si="8"/>
        <v>22357.333333333332</v>
      </c>
      <c r="BH122" s="684">
        <v>4</v>
      </c>
    </row>
    <row r="123" spans="1:60">
      <c r="A123" s="107">
        <v>43281</v>
      </c>
      <c r="B123" s="353">
        <v>1.05</v>
      </c>
      <c r="C123" s="353">
        <v>1.1000000000000001</v>
      </c>
      <c r="D123" s="353">
        <v>1.2</v>
      </c>
      <c r="E123" s="353">
        <v>1.34</v>
      </c>
      <c r="F123" s="353">
        <v>1.48</v>
      </c>
      <c r="G123" s="353">
        <v>1.64</v>
      </c>
      <c r="H123" s="353">
        <v>1.78</v>
      </c>
      <c r="I123" s="353">
        <v>1.92</v>
      </c>
      <c r="J123" s="353">
        <v>2.04</v>
      </c>
      <c r="K123" s="353">
        <v>2.16</v>
      </c>
      <c r="L123" s="353">
        <v>2.27</v>
      </c>
      <c r="M123" s="353">
        <v>2.35</v>
      </c>
      <c r="N123" s="353">
        <v>2.4300000000000002</v>
      </c>
      <c r="O123" s="353">
        <v>2.5</v>
      </c>
      <c r="P123" s="442">
        <v>2.56</v>
      </c>
      <c r="Q123" s="353">
        <v>2.59</v>
      </c>
      <c r="R123" s="353">
        <v>2.62</v>
      </c>
      <c r="S123" s="353">
        <v>2.65</v>
      </c>
      <c r="T123" s="353">
        <v>2.67</v>
      </c>
      <c r="U123" s="353">
        <v>2.7</v>
      </c>
      <c r="V123" s="353">
        <v>2.7</v>
      </c>
      <c r="W123" s="353">
        <v>2.71</v>
      </c>
      <c r="X123" s="353">
        <v>2.71</v>
      </c>
      <c r="Y123" s="353">
        <v>2.72</v>
      </c>
      <c r="Z123" s="353">
        <v>2.72</v>
      </c>
      <c r="AA123" s="353">
        <v>2.72</v>
      </c>
      <c r="AB123" s="353">
        <v>2.72</v>
      </c>
      <c r="AC123" s="353">
        <v>2.72</v>
      </c>
      <c r="AD123" s="353">
        <v>2.71</v>
      </c>
      <c r="AE123" s="353">
        <v>2.71</v>
      </c>
      <c r="AF123" s="353">
        <v>2.71</v>
      </c>
      <c r="AG123" s="353">
        <v>2.71</v>
      </c>
      <c r="AH123" s="353">
        <v>2.72</v>
      </c>
      <c r="AI123" s="353">
        <v>2.72</v>
      </c>
      <c r="AJ123" s="353">
        <v>2.72</v>
      </c>
      <c r="AK123" s="353">
        <v>2.72</v>
      </c>
      <c r="AL123" s="353">
        <v>2.72</v>
      </c>
      <c r="AM123" s="353">
        <v>2.72</v>
      </c>
      <c r="AN123" s="353">
        <v>2.72</v>
      </c>
      <c r="AO123" s="353">
        <v>2.72</v>
      </c>
      <c r="AP123" s="353">
        <v>2.72</v>
      </c>
      <c r="AQ123" s="353">
        <v>2.72</v>
      </c>
      <c r="AR123" s="353">
        <v>2.72</v>
      </c>
      <c r="AS123" s="353">
        <v>2.72</v>
      </c>
      <c r="AT123" s="353">
        <v>2.71</v>
      </c>
      <c r="AU123" s="353">
        <v>2.71</v>
      </c>
      <c r="AV123" s="353">
        <v>2.71</v>
      </c>
      <c r="AW123" s="353">
        <v>2.71</v>
      </c>
      <c r="AX123" s="353">
        <v>2.71</v>
      </c>
      <c r="AY123" s="353">
        <v>2.71</v>
      </c>
      <c r="AZ123" s="59">
        <v>8.9999999999999993E-3</v>
      </c>
      <c r="BA123" s="104">
        <f t="shared" si="2"/>
        <v>0.89999999999999991</v>
      </c>
      <c r="BC123" s="442">
        <v>3.46</v>
      </c>
      <c r="BD123" s="684">
        <f t="shared" si="9"/>
        <v>34218.583333333336</v>
      </c>
      <c r="BE123" s="684">
        <f t="shared" si="8"/>
        <v>36061.666666666664</v>
      </c>
      <c r="BF123" s="684">
        <f t="shared" si="8"/>
        <v>27455.25</v>
      </c>
      <c r="BG123" s="684">
        <f t="shared" si="8"/>
        <v>22857.916666666668</v>
      </c>
      <c r="BH123" s="684">
        <v>5</v>
      </c>
    </row>
    <row r="124" spans="1:60" ht="12.75" customHeight="1">
      <c r="A124" s="107">
        <v>43312</v>
      </c>
      <c r="B124" s="353">
        <v>1.02</v>
      </c>
      <c r="C124" s="353">
        <v>1.06</v>
      </c>
      <c r="D124" s="353">
        <v>1.1599999999999999</v>
      </c>
      <c r="E124" s="353">
        <v>1.3</v>
      </c>
      <c r="F124" s="353">
        <v>1.44</v>
      </c>
      <c r="G124" s="353">
        <v>1.6</v>
      </c>
      <c r="H124" s="353">
        <v>1.74</v>
      </c>
      <c r="I124" s="353">
        <v>1.88</v>
      </c>
      <c r="J124" s="353">
        <v>2</v>
      </c>
      <c r="K124" s="353">
        <v>2.12</v>
      </c>
      <c r="L124" s="353">
        <v>2.23</v>
      </c>
      <c r="M124" s="353">
        <v>2.3199999999999998</v>
      </c>
      <c r="N124" s="353">
        <v>2.39</v>
      </c>
      <c r="O124" s="353">
        <v>2.46</v>
      </c>
      <c r="P124" s="442">
        <v>2.52</v>
      </c>
      <c r="Q124" s="353">
        <v>2.5499999999999998</v>
      </c>
      <c r="R124" s="353">
        <v>2.58</v>
      </c>
      <c r="S124" s="353">
        <v>2.61</v>
      </c>
      <c r="T124" s="353">
        <v>2.64</v>
      </c>
      <c r="U124" s="353">
        <v>2.66</v>
      </c>
      <c r="V124" s="353">
        <v>2.67</v>
      </c>
      <c r="W124" s="353">
        <v>2.67</v>
      </c>
      <c r="X124" s="353">
        <v>2.68</v>
      </c>
      <c r="Y124" s="353">
        <v>2.68</v>
      </c>
      <c r="Z124" s="353">
        <v>2.69</v>
      </c>
      <c r="AA124" s="353">
        <v>2.69</v>
      </c>
      <c r="AB124" s="353">
        <v>2.68</v>
      </c>
      <c r="AC124" s="353">
        <v>2.68</v>
      </c>
      <c r="AD124" s="353">
        <v>2.68</v>
      </c>
      <c r="AE124" s="353">
        <v>2.68</v>
      </c>
      <c r="AF124" s="353">
        <v>2.68</v>
      </c>
      <c r="AG124" s="353">
        <v>2.68</v>
      </c>
      <c r="AH124" s="353">
        <v>2.68</v>
      </c>
      <c r="AI124" s="353">
        <v>2.68</v>
      </c>
      <c r="AJ124" s="353">
        <v>2.68</v>
      </c>
      <c r="AK124" s="353">
        <v>2.68</v>
      </c>
      <c r="AL124" s="353">
        <v>2.68</v>
      </c>
      <c r="AM124" s="353">
        <v>2.68</v>
      </c>
      <c r="AN124" s="353">
        <v>2.69</v>
      </c>
      <c r="AO124" s="353">
        <v>2.69</v>
      </c>
      <c r="AP124" s="353">
        <v>2.68</v>
      </c>
      <c r="AQ124" s="353">
        <v>2.68</v>
      </c>
      <c r="AR124" s="353">
        <v>2.68</v>
      </c>
      <c r="AS124" s="353">
        <v>2.68</v>
      </c>
      <c r="AT124" s="353">
        <v>2.68</v>
      </c>
      <c r="AU124" s="353">
        <v>2.68</v>
      </c>
      <c r="AV124" s="353">
        <v>2.68</v>
      </c>
      <c r="AW124" s="353">
        <v>2.68</v>
      </c>
      <c r="AX124" s="353">
        <v>2.68</v>
      </c>
      <c r="AY124" s="353">
        <v>2.68</v>
      </c>
      <c r="AZ124" s="59">
        <v>8.9999999999999993E-3</v>
      </c>
      <c r="BA124" s="104">
        <f t="shared" si="2"/>
        <v>0.89999999999999991</v>
      </c>
      <c r="BC124" s="442">
        <v>3.42</v>
      </c>
      <c r="BD124" s="684">
        <f t="shared" si="9"/>
        <v>34586.5</v>
      </c>
      <c r="BE124" s="684">
        <f t="shared" si="8"/>
        <v>36886</v>
      </c>
      <c r="BF124" s="684">
        <f t="shared" si="8"/>
        <v>27737.5</v>
      </c>
      <c r="BG124" s="684">
        <f t="shared" si="8"/>
        <v>23358.5</v>
      </c>
      <c r="BH124" s="684">
        <v>6</v>
      </c>
    </row>
    <row r="125" spans="1:60">
      <c r="A125" s="107">
        <v>43343</v>
      </c>
      <c r="B125" s="353">
        <v>0.98</v>
      </c>
      <c r="C125" s="353">
        <v>1.02</v>
      </c>
      <c r="D125" s="353">
        <v>1.1200000000000001</v>
      </c>
      <c r="E125" s="353">
        <v>1.26</v>
      </c>
      <c r="F125" s="353">
        <v>1.4</v>
      </c>
      <c r="G125" s="353">
        <v>1.56</v>
      </c>
      <c r="H125" s="353">
        <v>1.7</v>
      </c>
      <c r="I125" s="353">
        <v>1.84</v>
      </c>
      <c r="J125" s="353">
        <v>1.96</v>
      </c>
      <c r="K125" s="353">
        <v>2.08</v>
      </c>
      <c r="L125" s="353">
        <v>2.19</v>
      </c>
      <c r="M125" s="353">
        <v>2.27</v>
      </c>
      <c r="N125" s="353">
        <v>2.35</v>
      </c>
      <c r="O125" s="353">
        <v>2.42</v>
      </c>
      <c r="P125" s="442">
        <v>2.48</v>
      </c>
      <c r="Q125" s="353">
        <v>2.5099999999999998</v>
      </c>
      <c r="R125" s="353">
        <v>2.54</v>
      </c>
      <c r="S125" s="353">
        <v>2.57</v>
      </c>
      <c r="T125" s="353">
        <v>2.59</v>
      </c>
      <c r="U125" s="353">
        <v>2.62</v>
      </c>
      <c r="V125" s="353">
        <v>2.62</v>
      </c>
      <c r="W125" s="353">
        <v>2.63</v>
      </c>
      <c r="X125" s="353">
        <v>2.64</v>
      </c>
      <c r="Y125" s="353">
        <v>2.64</v>
      </c>
      <c r="Z125" s="353">
        <v>2.65</v>
      </c>
      <c r="AA125" s="353">
        <v>2.65</v>
      </c>
      <c r="AB125" s="353">
        <v>2.65</v>
      </c>
      <c r="AC125" s="353">
        <v>2.64</v>
      </c>
      <c r="AD125" s="353">
        <v>2.64</v>
      </c>
      <c r="AE125" s="353">
        <v>2.64</v>
      </c>
      <c r="AF125" s="353">
        <v>2.64</v>
      </c>
      <c r="AG125" s="353">
        <v>2.64</v>
      </c>
      <c r="AH125" s="353">
        <v>2.64</v>
      </c>
      <c r="AI125" s="353">
        <v>2.65</v>
      </c>
      <c r="AJ125" s="353">
        <v>2.65</v>
      </c>
      <c r="AK125" s="353">
        <v>2.65</v>
      </c>
      <c r="AL125" s="353">
        <v>2.65</v>
      </c>
      <c r="AM125" s="353">
        <v>2.65</v>
      </c>
      <c r="AN125" s="353">
        <v>2.65</v>
      </c>
      <c r="AO125" s="353">
        <v>2.65</v>
      </c>
      <c r="AP125" s="353">
        <v>2.65</v>
      </c>
      <c r="AQ125" s="353">
        <v>2.65</v>
      </c>
      <c r="AR125" s="353">
        <v>2.65</v>
      </c>
      <c r="AS125" s="353">
        <v>2.64</v>
      </c>
      <c r="AT125" s="353">
        <v>2.64</v>
      </c>
      <c r="AU125" s="353">
        <v>2.64</v>
      </c>
      <c r="AV125" s="353">
        <v>2.64</v>
      </c>
      <c r="AW125" s="353">
        <v>2.64</v>
      </c>
      <c r="AX125" s="353">
        <v>2.64</v>
      </c>
      <c r="AY125" s="353">
        <v>2.64</v>
      </c>
      <c r="AZ125" s="59">
        <v>8.9999999999999993E-3</v>
      </c>
      <c r="BA125" s="104">
        <f t="shared" si="2"/>
        <v>0.89999999999999991</v>
      </c>
      <c r="BC125" s="442">
        <v>3.39</v>
      </c>
      <c r="BD125" s="684">
        <f t="shared" si="9"/>
        <v>34954.416666666664</v>
      </c>
      <c r="BE125" s="684">
        <f t="shared" si="8"/>
        <v>37710.333333333336</v>
      </c>
      <c r="BF125" s="684">
        <f t="shared" si="8"/>
        <v>28019.75</v>
      </c>
      <c r="BG125" s="684">
        <f t="shared" si="8"/>
        <v>23859.083333333332</v>
      </c>
      <c r="BH125" s="684">
        <v>7</v>
      </c>
    </row>
    <row r="126" spans="1:60">
      <c r="A126" s="107">
        <v>43373</v>
      </c>
      <c r="B126" s="353">
        <v>0.93</v>
      </c>
      <c r="C126" s="353">
        <v>0.98</v>
      </c>
      <c r="D126" s="353">
        <v>1.08</v>
      </c>
      <c r="E126" s="353">
        <v>1.22</v>
      </c>
      <c r="F126" s="353">
        <v>1.36</v>
      </c>
      <c r="G126" s="353">
        <v>1.52</v>
      </c>
      <c r="H126" s="353">
        <v>1.66</v>
      </c>
      <c r="I126" s="353">
        <v>1.8</v>
      </c>
      <c r="J126" s="353">
        <v>1.92</v>
      </c>
      <c r="K126" s="353">
        <v>2.04</v>
      </c>
      <c r="L126" s="353">
        <v>2.15</v>
      </c>
      <c r="M126" s="353">
        <v>2.23</v>
      </c>
      <c r="N126" s="353">
        <v>2.31</v>
      </c>
      <c r="O126" s="353">
        <v>2.38</v>
      </c>
      <c r="P126" s="442">
        <v>2.4300000000000002</v>
      </c>
      <c r="Q126" s="353">
        <v>2.4700000000000002</v>
      </c>
      <c r="R126" s="353">
        <v>2.5</v>
      </c>
      <c r="S126" s="353">
        <v>2.5299999999999998</v>
      </c>
      <c r="T126" s="353">
        <v>2.56</v>
      </c>
      <c r="U126" s="353">
        <v>2.58</v>
      </c>
      <c r="V126" s="353">
        <v>2.59</v>
      </c>
      <c r="W126" s="353">
        <v>2.59</v>
      </c>
      <c r="X126" s="353">
        <v>2.6</v>
      </c>
      <c r="Y126" s="353">
        <v>2.61</v>
      </c>
      <c r="Z126" s="353">
        <v>2.61</v>
      </c>
      <c r="AA126" s="353">
        <v>2.61</v>
      </c>
      <c r="AB126" s="353">
        <v>2.61</v>
      </c>
      <c r="AC126" s="353">
        <v>2.61</v>
      </c>
      <c r="AD126" s="353">
        <v>2.61</v>
      </c>
      <c r="AE126" s="353">
        <v>2.61</v>
      </c>
      <c r="AF126" s="353">
        <v>2.61</v>
      </c>
      <c r="AG126" s="353">
        <v>2.61</v>
      </c>
      <c r="AH126" s="353">
        <v>2.61</v>
      </c>
      <c r="AI126" s="353">
        <v>2.61</v>
      </c>
      <c r="AJ126" s="353">
        <v>2.61</v>
      </c>
      <c r="AK126" s="353">
        <v>2.61</v>
      </c>
      <c r="AL126" s="353">
        <v>2.61</v>
      </c>
      <c r="AM126" s="353">
        <v>2.61</v>
      </c>
      <c r="AN126" s="353">
        <v>2.61</v>
      </c>
      <c r="AO126" s="353">
        <v>2.61</v>
      </c>
      <c r="AP126" s="353">
        <v>2.61</v>
      </c>
      <c r="AQ126" s="353">
        <v>2.61</v>
      </c>
      <c r="AR126" s="353">
        <v>2.61</v>
      </c>
      <c r="AS126" s="353">
        <v>2.61</v>
      </c>
      <c r="AT126" s="353">
        <v>2.61</v>
      </c>
      <c r="AU126" s="353">
        <v>2.61</v>
      </c>
      <c r="AV126" s="353">
        <v>2.61</v>
      </c>
      <c r="AW126" s="353">
        <v>2.61</v>
      </c>
      <c r="AX126" s="353">
        <v>2.61</v>
      </c>
      <c r="AY126" s="353">
        <v>2.6</v>
      </c>
      <c r="AZ126" s="59">
        <v>8.9999999999999993E-3</v>
      </c>
      <c r="BA126" s="104">
        <f t="shared" si="2"/>
        <v>0.89999999999999991</v>
      </c>
      <c r="BC126" s="442">
        <v>3.34</v>
      </c>
      <c r="BD126" s="684">
        <f t="shared" si="9"/>
        <v>35322.333333333336</v>
      </c>
      <c r="BE126" s="684">
        <f t="shared" si="8"/>
        <v>38534.666666666664</v>
      </c>
      <c r="BF126" s="684">
        <f t="shared" si="8"/>
        <v>28302</v>
      </c>
      <c r="BG126" s="684">
        <f t="shared" si="8"/>
        <v>24359.666666666668</v>
      </c>
      <c r="BH126" s="684">
        <v>8</v>
      </c>
    </row>
    <row r="127" spans="1:60">
      <c r="A127" s="107">
        <v>43404</v>
      </c>
      <c r="B127" s="353">
        <v>0.89</v>
      </c>
      <c r="C127" s="353">
        <v>0.95</v>
      </c>
      <c r="D127" s="353">
        <v>1.05</v>
      </c>
      <c r="E127" s="353">
        <v>1.18</v>
      </c>
      <c r="F127" s="353">
        <v>1.33</v>
      </c>
      <c r="G127" s="353">
        <v>1.48</v>
      </c>
      <c r="H127" s="353">
        <v>1.62</v>
      </c>
      <c r="I127" s="353">
        <v>1.76</v>
      </c>
      <c r="J127" s="353">
        <v>1.88</v>
      </c>
      <c r="K127" s="353">
        <v>2</v>
      </c>
      <c r="L127" s="353">
        <v>2.11</v>
      </c>
      <c r="M127" s="353">
        <v>2.2000000000000002</v>
      </c>
      <c r="N127" s="353">
        <v>2.27</v>
      </c>
      <c r="O127" s="353">
        <v>2.34</v>
      </c>
      <c r="P127" s="442">
        <v>2.4</v>
      </c>
      <c r="Q127" s="353">
        <v>2.4300000000000002</v>
      </c>
      <c r="R127" s="353">
        <v>2.4700000000000002</v>
      </c>
      <c r="S127" s="353">
        <v>2.5</v>
      </c>
      <c r="T127" s="353">
        <v>2.52</v>
      </c>
      <c r="U127" s="353">
        <v>2.54</v>
      </c>
      <c r="V127" s="353">
        <v>2.5499999999999998</v>
      </c>
      <c r="W127" s="353">
        <v>2.56</v>
      </c>
      <c r="X127" s="353">
        <v>2.57</v>
      </c>
      <c r="Y127" s="353">
        <v>2.57</v>
      </c>
      <c r="Z127" s="353">
        <v>2.58</v>
      </c>
      <c r="AA127" s="353">
        <v>2.58</v>
      </c>
      <c r="AB127" s="353">
        <v>2.58</v>
      </c>
      <c r="AC127" s="353">
        <v>2.58</v>
      </c>
      <c r="AD127" s="353">
        <v>2.57</v>
      </c>
      <c r="AE127" s="353">
        <v>2.57</v>
      </c>
      <c r="AF127" s="353">
        <v>2.58</v>
      </c>
      <c r="AG127" s="353">
        <v>2.58</v>
      </c>
      <c r="AH127" s="353">
        <v>2.58</v>
      </c>
      <c r="AI127" s="353">
        <v>2.58</v>
      </c>
      <c r="AJ127" s="353">
        <v>2.58</v>
      </c>
      <c r="AK127" s="353">
        <v>2.58</v>
      </c>
      <c r="AL127" s="353">
        <v>2.58</v>
      </c>
      <c r="AM127" s="353">
        <v>2.58</v>
      </c>
      <c r="AN127" s="353">
        <v>2.58</v>
      </c>
      <c r="AO127" s="353">
        <v>2.58</v>
      </c>
      <c r="AP127" s="353">
        <v>2.58</v>
      </c>
      <c r="AQ127" s="353">
        <v>2.58</v>
      </c>
      <c r="AR127" s="353">
        <v>2.58</v>
      </c>
      <c r="AS127" s="353">
        <v>2.58</v>
      </c>
      <c r="AT127" s="353">
        <v>2.58</v>
      </c>
      <c r="AU127" s="353">
        <v>2.57</v>
      </c>
      <c r="AV127" s="353">
        <v>2.57</v>
      </c>
      <c r="AW127" s="353">
        <v>2.57</v>
      </c>
      <c r="AX127" s="353">
        <v>2.57</v>
      </c>
      <c r="AY127" s="353">
        <v>2.57</v>
      </c>
      <c r="AZ127" s="59">
        <v>8.9999999999999993E-3</v>
      </c>
      <c r="BA127" s="104">
        <f t="shared" si="2"/>
        <v>0.89999999999999991</v>
      </c>
      <c r="BC127" s="442">
        <v>3.29</v>
      </c>
      <c r="BD127" s="684">
        <f t="shared" si="9"/>
        <v>35690.25</v>
      </c>
      <c r="BE127" s="684">
        <f t="shared" si="8"/>
        <v>39359</v>
      </c>
      <c r="BF127" s="684">
        <f t="shared" si="8"/>
        <v>28584.25</v>
      </c>
      <c r="BG127" s="684">
        <f t="shared" si="8"/>
        <v>24860.25</v>
      </c>
      <c r="BH127" s="684">
        <v>9</v>
      </c>
    </row>
    <row r="128" spans="1:60" ht="12.75" customHeight="1">
      <c r="A128" s="107">
        <v>43434</v>
      </c>
      <c r="B128" s="353">
        <v>0.85</v>
      </c>
      <c r="C128" s="353">
        <v>0.91</v>
      </c>
      <c r="D128" s="353">
        <v>1.01</v>
      </c>
      <c r="E128" s="353">
        <v>1.1399999999999999</v>
      </c>
      <c r="F128" s="353">
        <v>1.29</v>
      </c>
      <c r="G128" s="353">
        <v>1.44</v>
      </c>
      <c r="H128" s="353">
        <v>1.58</v>
      </c>
      <c r="I128" s="353">
        <v>1.72</v>
      </c>
      <c r="J128" s="353">
        <v>1.84</v>
      </c>
      <c r="K128" s="353">
        <v>1.96</v>
      </c>
      <c r="L128" s="353">
        <v>2.0699999999999998</v>
      </c>
      <c r="M128" s="353">
        <v>2.16</v>
      </c>
      <c r="N128" s="353">
        <v>2.23</v>
      </c>
      <c r="O128" s="353">
        <v>2.2999999999999998</v>
      </c>
      <c r="P128" s="442">
        <v>2.36</v>
      </c>
      <c r="Q128" s="353">
        <v>2.39</v>
      </c>
      <c r="R128" s="353">
        <v>2.4300000000000002</v>
      </c>
      <c r="S128" s="353">
        <v>2.46</v>
      </c>
      <c r="T128" s="353">
        <v>2.48</v>
      </c>
      <c r="U128" s="353">
        <v>2.5099999999999998</v>
      </c>
      <c r="V128" s="353">
        <v>2.5099999999999998</v>
      </c>
      <c r="W128" s="353">
        <v>2.52</v>
      </c>
      <c r="X128" s="353">
        <v>2.5299999999999998</v>
      </c>
      <c r="Y128" s="353">
        <v>2.54</v>
      </c>
      <c r="Z128" s="353">
        <v>2.54</v>
      </c>
      <c r="AA128" s="353">
        <v>2.54</v>
      </c>
      <c r="AB128" s="353">
        <v>2.54</v>
      </c>
      <c r="AC128" s="353">
        <v>2.54</v>
      </c>
      <c r="AD128" s="353">
        <v>2.54</v>
      </c>
      <c r="AE128" s="353">
        <v>2.54</v>
      </c>
      <c r="AF128" s="353">
        <v>2.54</v>
      </c>
      <c r="AG128" s="353">
        <v>2.54</v>
      </c>
      <c r="AH128" s="353">
        <v>2.54</v>
      </c>
      <c r="AI128" s="353">
        <v>2.54</v>
      </c>
      <c r="AJ128" s="353">
        <v>2.54</v>
      </c>
      <c r="AK128" s="353">
        <v>2.54</v>
      </c>
      <c r="AL128" s="353">
        <v>2.54</v>
      </c>
      <c r="AM128" s="353">
        <v>2.5499999999999998</v>
      </c>
      <c r="AN128" s="353">
        <v>2.5499999999999998</v>
      </c>
      <c r="AO128" s="353">
        <v>2.5499999999999998</v>
      </c>
      <c r="AP128" s="353">
        <v>2.54</v>
      </c>
      <c r="AQ128" s="353">
        <v>2.54</v>
      </c>
      <c r="AR128" s="353">
        <v>2.54</v>
      </c>
      <c r="AS128" s="353">
        <v>2.54</v>
      </c>
      <c r="AT128" s="353">
        <v>2.54</v>
      </c>
      <c r="AU128" s="353">
        <v>2.54</v>
      </c>
      <c r="AV128" s="353">
        <v>2.54</v>
      </c>
      <c r="AW128" s="353">
        <v>2.54</v>
      </c>
      <c r="AX128" s="353">
        <v>2.54</v>
      </c>
      <c r="AY128" s="353">
        <v>2.54</v>
      </c>
      <c r="AZ128" s="59">
        <v>8.9999999999999993E-3</v>
      </c>
      <c r="BA128" s="104">
        <f t="shared" si="2"/>
        <v>0.89999999999999991</v>
      </c>
      <c r="BC128" s="442">
        <v>3.25</v>
      </c>
      <c r="BD128" s="684">
        <f t="shared" si="9"/>
        <v>36058.166666666664</v>
      </c>
      <c r="BE128" s="684">
        <f t="shared" si="8"/>
        <v>40183.333333333336</v>
      </c>
      <c r="BF128" s="684">
        <f t="shared" si="8"/>
        <v>28866.5</v>
      </c>
      <c r="BG128" s="684">
        <f t="shared" si="8"/>
        <v>25360.833333333332</v>
      </c>
      <c r="BH128" s="684">
        <v>10</v>
      </c>
    </row>
    <row r="129" spans="1:60" ht="12.75" customHeight="1">
      <c r="A129" s="107">
        <v>43465</v>
      </c>
      <c r="B129" s="353">
        <v>0.82</v>
      </c>
      <c r="C129" s="353">
        <v>0.88</v>
      </c>
      <c r="D129" s="353">
        <v>0.98</v>
      </c>
      <c r="E129" s="353">
        <v>1.1100000000000001</v>
      </c>
      <c r="F129" s="353">
        <v>1.25</v>
      </c>
      <c r="G129" s="353">
        <v>1.4</v>
      </c>
      <c r="H129" s="353">
        <v>1.55</v>
      </c>
      <c r="I129" s="353">
        <v>1.68</v>
      </c>
      <c r="J129" s="353">
        <v>1.81</v>
      </c>
      <c r="K129" s="353">
        <v>1.93</v>
      </c>
      <c r="L129" s="353">
        <v>2.0299999999999998</v>
      </c>
      <c r="M129" s="353">
        <v>2.12</v>
      </c>
      <c r="N129" s="353">
        <v>2.2000000000000002</v>
      </c>
      <c r="O129" s="353">
        <v>2.27</v>
      </c>
      <c r="P129" s="442">
        <v>2.3199999999999998</v>
      </c>
      <c r="Q129" s="353">
        <v>2.36</v>
      </c>
      <c r="R129" s="353">
        <v>2.39</v>
      </c>
      <c r="S129" s="353">
        <v>2.42</v>
      </c>
      <c r="T129" s="353">
        <v>2.4500000000000002</v>
      </c>
      <c r="U129" s="353">
        <v>2.4700000000000002</v>
      </c>
      <c r="V129" s="353">
        <v>2.48</v>
      </c>
      <c r="W129" s="353">
        <v>2.4900000000000002</v>
      </c>
      <c r="X129" s="353">
        <v>2.5</v>
      </c>
      <c r="Y129" s="353">
        <v>2.5099999999999998</v>
      </c>
      <c r="Z129" s="353">
        <v>2.5099999999999998</v>
      </c>
      <c r="AA129" s="353">
        <v>2.5099999999999998</v>
      </c>
      <c r="AB129" s="353">
        <v>2.5099999999999998</v>
      </c>
      <c r="AC129" s="353">
        <v>2.5099999999999998</v>
      </c>
      <c r="AD129" s="353">
        <v>2.5099999999999998</v>
      </c>
      <c r="AE129" s="353">
        <v>2.5099999999999998</v>
      </c>
      <c r="AF129" s="353">
        <v>2.5099999999999998</v>
      </c>
      <c r="AG129" s="353">
        <v>2.5099999999999998</v>
      </c>
      <c r="AH129" s="353">
        <v>2.5099999999999998</v>
      </c>
      <c r="AI129" s="353">
        <v>2.5099999999999998</v>
      </c>
      <c r="AJ129" s="353">
        <v>2.5099999999999998</v>
      </c>
      <c r="AK129" s="353">
        <v>2.52</v>
      </c>
      <c r="AL129" s="353">
        <v>2.52</v>
      </c>
      <c r="AM129" s="353">
        <v>2.52</v>
      </c>
      <c r="AN129" s="353">
        <v>2.52</v>
      </c>
      <c r="AO129" s="353">
        <v>2.52</v>
      </c>
      <c r="AP129" s="353">
        <v>2.52</v>
      </c>
      <c r="AQ129" s="353">
        <v>2.5099999999999998</v>
      </c>
      <c r="AR129" s="353">
        <v>2.5099999999999998</v>
      </c>
      <c r="AS129" s="353">
        <v>2.5099999999999998</v>
      </c>
      <c r="AT129" s="353">
        <v>2.5099999999999998</v>
      </c>
      <c r="AU129" s="353">
        <v>2.5099999999999998</v>
      </c>
      <c r="AV129" s="353">
        <v>2.5099999999999998</v>
      </c>
      <c r="AW129" s="353">
        <v>2.5099999999999998</v>
      </c>
      <c r="AX129" s="353">
        <v>2.5099999999999998</v>
      </c>
      <c r="AY129" s="353">
        <v>2.5099999999999998</v>
      </c>
      <c r="AZ129" s="59">
        <v>8.9999999999999993E-3</v>
      </c>
      <c r="BA129" s="104">
        <f t="shared" si="2"/>
        <v>0.89999999999999991</v>
      </c>
      <c r="BC129" s="442">
        <v>3.21</v>
      </c>
      <c r="BD129" s="684">
        <f t="shared" si="9"/>
        <v>36426.083333333336</v>
      </c>
      <c r="BE129" s="684">
        <f t="shared" si="8"/>
        <v>41007.666666666672</v>
      </c>
      <c r="BF129" s="684">
        <f t="shared" si="8"/>
        <v>29148.75</v>
      </c>
      <c r="BG129" s="684">
        <f t="shared" si="8"/>
        <v>25861.416666666664</v>
      </c>
      <c r="BH129" s="684">
        <v>11</v>
      </c>
    </row>
    <row r="130" spans="1:60" ht="12.75" customHeight="1">
      <c r="A130" s="107">
        <v>43496</v>
      </c>
      <c r="B130" s="353">
        <v>0.79</v>
      </c>
      <c r="C130" s="353">
        <v>0.85</v>
      </c>
      <c r="D130" s="353">
        <v>0.95</v>
      </c>
      <c r="E130" s="353">
        <v>1.08</v>
      </c>
      <c r="F130" s="353">
        <v>1.22</v>
      </c>
      <c r="G130" s="353">
        <v>1.37</v>
      </c>
      <c r="H130" s="353">
        <v>1.51</v>
      </c>
      <c r="I130" s="353">
        <v>1.65</v>
      </c>
      <c r="J130" s="353">
        <v>1.78</v>
      </c>
      <c r="K130" s="353">
        <v>1.9</v>
      </c>
      <c r="L130" s="353">
        <v>2</v>
      </c>
      <c r="M130" s="353">
        <v>2.09</v>
      </c>
      <c r="N130" s="353">
        <v>2.17</v>
      </c>
      <c r="O130" s="353">
        <v>2.2400000000000002</v>
      </c>
      <c r="P130" s="442">
        <v>2.29</v>
      </c>
      <c r="Q130" s="353">
        <v>2.33</v>
      </c>
      <c r="R130" s="353">
        <v>2.36</v>
      </c>
      <c r="S130" s="353">
        <v>2.39</v>
      </c>
      <c r="T130" s="353">
        <v>2.42</v>
      </c>
      <c r="U130" s="353">
        <v>2.44</v>
      </c>
      <c r="V130" s="353">
        <v>2.4500000000000002</v>
      </c>
      <c r="W130" s="353">
        <v>2.46</v>
      </c>
      <c r="X130" s="353">
        <v>2.4700000000000002</v>
      </c>
      <c r="Y130" s="353">
        <v>2.48</v>
      </c>
      <c r="Z130" s="353">
        <v>2.48</v>
      </c>
      <c r="AA130" s="353">
        <v>2.48</v>
      </c>
      <c r="AB130" s="353">
        <v>2.48</v>
      </c>
      <c r="AC130" s="353">
        <v>2.48</v>
      </c>
      <c r="AD130" s="353">
        <v>2.48</v>
      </c>
      <c r="AE130" s="353">
        <v>2.48</v>
      </c>
      <c r="AF130" s="353">
        <v>2.4900000000000002</v>
      </c>
      <c r="AG130" s="353">
        <v>2.4900000000000002</v>
      </c>
      <c r="AH130" s="353">
        <v>2.4900000000000002</v>
      </c>
      <c r="AI130" s="353">
        <v>2.4900000000000002</v>
      </c>
      <c r="AJ130" s="353">
        <v>2.4900000000000002</v>
      </c>
      <c r="AK130" s="353">
        <v>2.4900000000000002</v>
      </c>
      <c r="AL130" s="353">
        <v>2.4900000000000002</v>
      </c>
      <c r="AM130" s="353">
        <v>2.4900000000000002</v>
      </c>
      <c r="AN130" s="353">
        <v>2.4900000000000002</v>
      </c>
      <c r="AO130" s="353">
        <v>2.4900000000000002</v>
      </c>
      <c r="AP130" s="353">
        <v>2.4900000000000002</v>
      </c>
      <c r="AQ130" s="353">
        <v>2.4900000000000002</v>
      </c>
      <c r="AR130" s="353">
        <v>2.4900000000000002</v>
      </c>
      <c r="AS130" s="353">
        <v>2.4900000000000002</v>
      </c>
      <c r="AT130" s="353">
        <v>2.4900000000000002</v>
      </c>
      <c r="AU130" s="353">
        <v>2.48</v>
      </c>
      <c r="AV130" s="353">
        <v>2.48</v>
      </c>
      <c r="AW130" s="353">
        <v>2.48</v>
      </c>
      <c r="AX130" s="353">
        <v>2.48</v>
      </c>
      <c r="AY130" s="353">
        <v>2.48</v>
      </c>
      <c r="AZ130" s="59">
        <v>8.9999999999999993E-3</v>
      </c>
      <c r="BA130" s="104">
        <f t="shared" si="2"/>
        <v>0.89999999999999991</v>
      </c>
      <c r="BC130" s="442">
        <v>3.16</v>
      </c>
      <c r="BD130" s="685">
        <v>36794</v>
      </c>
      <c r="BE130" s="685">
        <v>41832</v>
      </c>
      <c r="BF130" s="685">
        <v>29431</v>
      </c>
      <c r="BG130" s="685">
        <v>26362</v>
      </c>
    </row>
    <row r="131" spans="1:60">
      <c r="A131" s="107">
        <v>43524</v>
      </c>
      <c r="B131" s="353">
        <v>0.76</v>
      </c>
      <c r="C131" s="353">
        <v>0.82</v>
      </c>
      <c r="D131" s="353">
        <v>0.92</v>
      </c>
      <c r="E131" s="353">
        <v>1.06</v>
      </c>
      <c r="F131" s="353">
        <v>1.2</v>
      </c>
      <c r="G131" s="353">
        <v>1.35</v>
      </c>
      <c r="H131" s="353">
        <v>1.49</v>
      </c>
      <c r="I131" s="353">
        <v>1.62</v>
      </c>
      <c r="J131" s="353">
        <v>1.75</v>
      </c>
      <c r="K131" s="353">
        <v>1.87</v>
      </c>
      <c r="L131" s="353">
        <v>1.97</v>
      </c>
      <c r="M131" s="353">
        <v>2.06</v>
      </c>
      <c r="N131" s="353">
        <v>2.14</v>
      </c>
      <c r="O131" s="353">
        <v>2.21</v>
      </c>
      <c r="P131" s="442">
        <v>2.2599999999999998</v>
      </c>
      <c r="Q131" s="353">
        <v>2.2999999999999998</v>
      </c>
      <c r="R131" s="353">
        <v>2.34</v>
      </c>
      <c r="S131" s="353">
        <v>2.37</v>
      </c>
      <c r="T131" s="353">
        <v>2.39</v>
      </c>
      <c r="U131" s="353">
        <v>2.42</v>
      </c>
      <c r="V131" s="353">
        <v>2.4300000000000002</v>
      </c>
      <c r="W131" s="353">
        <v>2.44</v>
      </c>
      <c r="X131" s="353">
        <v>2.44</v>
      </c>
      <c r="Y131" s="353">
        <v>2.4500000000000002</v>
      </c>
      <c r="Z131" s="353">
        <v>2.46</v>
      </c>
      <c r="AA131" s="353">
        <v>2.46</v>
      </c>
      <c r="AB131" s="353">
        <v>2.46</v>
      </c>
      <c r="AC131" s="353">
        <v>2.46</v>
      </c>
      <c r="AD131" s="353">
        <v>2.46</v>
      </c>
      <c r="AE131" s="353">
        <v>2.46</v>
      </c>
      <c r="AF131" s="353">
        <v>2.46</v>
      </c>
      <c r="AG131" s="353">
        <v>2.46</v>
      </c>
      <c r="AH131" s="353">
        <v>2.46</v>
      </c>
      <c r="AI131" s="353">
        <v>2.46</v>
      </c>
      <c r="AJ131" s="353">
        <v>2.46</v>
      </c>
      <c r="AK131" s="353">
        <v>2.46</v>
      </c>
      <c r="AL131" s="353">
        <v>2.46</v>
      </c>
      <c r="AM131" s="353">
        <v>2.4700000000000002</v>
      </c>
      <c r="AN131" s="353">
        <v>2.4700000000000002</v>
      </c>
      <c r="AO131" s="353">
        <v>2.4700000000000002</v>
      </c>
      <c r="AP131" s="353">
        <v>2.4700000000000002</v>
      </c>
      <c r="AQ131" s="353">
        <v>2.46</v>
      </c>
      <c r="AR131" s="353">
        <v>2.46</v>
      </c>
      <c r="AS131" s="353">
        <v>2.46</v>
      </c>
      <c r="AT131" s="353">
        <v>2.46</v>
      </c>
      <c r="AU131" s="353">
        <v>2.46</v>
      </c>
      <c r="AV131" s="353">
        <v>2.46</v>
      </c>
      <c r="AW131" s="353">
        <v>2.46</v>
      </c>
      <c r="AX131" s="353">
        <v>2.46</v>
      </c>
      <c r="AY131" s="353">
        <v>2.46</v>
      </c>
      <c r="AZ131" s="59">
        <v>8.9999999999999993E-3</v>
      </c>
      <c r="BA131" s="104">
        <f t="shared" si="2"/>
        <v>0.89999999999999991</v>
      </c>
      <c r="BC131" s="442">
        <v>3.12</v>
      </c>
      <c r="BD131" s="684">
        <f>BD$130+(BD$142-BD$130)/12*$BH131</f>
        <v>37103.25</v>
      </c>
      <c r="BE131" s="684">
        <f t="shared" ref="BE131:BG141" si="10">BE$130+(BE$142-BE$130)/12*$BH131</f>
        <v>42558.416666666664</v>
      </c>
      <c r="BF131" s="684">
        <f t="shared" si="10"/>
        <v>29775.333333333332</v>
      </c>
      <c r="BG131" s="684">
        <f t="shared" si="10"/>
        <v>27021.333333333332</v>
      </c>
      <c r="BH131" s="684">
        <v>1</v>
      </c>
    </row>
    <row r="132" spans="1:60">
      <c r="A132" s="107">
        <v>43555</v>
      </c>
      <c r="B132" s="353">
        <v>0.74</v>
      </c>
      <c r="C132" s="353">
        <v>0.8</v>
      </c>
      <c r="D132" s="353">
        <v>0.9</v>
      </c>
      <c r="E132" s="353">
        <v>1.03</v>
      </c>
      <c r="F132" s="353">
        <v>1.17</v>
      </c>
      <c r="G132" s="353">
        <v>1.32</v>
      </c>
      <c r="H132" s="353">
        <v>1.46</v>
      </c>
      <c r="I132" s="353">
        <v>1.59</v>
      </c>
      <c r="J132" s="353">
        <v>1.72</v>
      </c>
      <c r="K132" s="353">
        <v>1.84</v>
      </c>
      <c r="L132" s="353">
        <v>1.94</v>
      </c>
      <c r="M132" s="353">
        <v>2.0299999999999998</v>
      </c>
      <c r="N132" s="353">
        <v>2.11</v>
      </c>
      <c r="O132" s="353">
        <v>2.17</v>
      </c>
      <c r="P132" s="442">
        <v>2.23</v>
      </c>
      <c r="Q132" s="353">
        <v>2.27</v>
      </c>
      <c r="R132" s="353">
        <v>2.31</v>
      </c>
      <c r="S132" s="353">
        <v>2.34</v>
      </c>
      <c r="T132" s="353">
        <v>2.36</v>
      </c>
      <c r="U132" s="353">
        <v>2.39</v>
      </c>
      <c r="V132" s="353">
        <v>2.4</v>
      </c>
      <c r="W132" s="353">
        <v>2.41</v>
      </c>
      <c r="X132" s="353">
        <v>2.42</v>
      </c>
      <c r="Y132" s="353">
        <v>2.42</v>
      </c>
      <c r="Z132" s="353">
        <v>2.4300000000000002</v>
      </c>
      <c r="AA132" s="353">
        <v>2.4300000000000002</v>
      </c>
      <c r="AB132" s="353">
        <v>2.4300000000000002</v>
      </c>
      <c r="AC132" s="353">
        <v>2.4300000000000002</v>
      </c>
      <c r="AD132" s="353">
        <v>2.4300000000000002</v>
      </c>
      <c r="AE132" s="353">
        <v>2.4300000000000002</v>
      </c>
      <c r="AF132" s="353">
        <v>2.4300000000000002</v>
      </c>
      <c r="AG132" s="353">
        <v>2.44</v>
      </c>
      <c r="AH132" s="353">
        <v>2.44</v>
      </c>
      <c r="AI132" s="353">
        <v>2.44</v>
      </c>
      <c r="AJ132" s="353">
        <v>2.44</v>
      </c>
      <c r="AK132" s="353">
        <v>2.44</v>
      </c>
      <c r="AL132" s="353">
        <v>2.44</v>
      </c>
      <c r="AM132" s="353">
        <v>2.44</v>
      </c>
      <c r="AN132" s="353">
        <v>2.44</v>
      </c>
      <c r="AO132" s="353">
        <v>2.44</v>
      </c>
      <c r="AP132" s="353">
        <v>2.44</v>
      </c>
      <c r="AQ132" s="353">
        <v>2.44</v>
      </c>
      <c r="AR132" s="353">
        <v>2.44</v>
      </c>
      <c r="AS132" s="353">
        <v>2.44</v>
      </c>
      <c r="AT132" s="353">
        <v>2.4300000000000002</v>
      </c>
      <c r="AU132" s="353">
        <v>2.4300000000000002</v>
      </c>
      <c r="AV132" s="353">
        <v>2.4300000000000002</v>
      </c>
      <c r="AW132" s="353">
        <v>2.4300000000000002</v>
      </c>
      <c r="AX132" s="353">
        <v>2.4300000000000002</v>
      </c>
      <c r="AY132" s="353">
        <v>2.4300000000000002</v>
      </c>
      <c r="AZ132" s="59">
        <v>8.9999999999999993E-3</v>
      </c>
      <c r="BA132" s="104">
        <f t="shared" si="2"/>
        <v>0.89999999999999991</v>
      </c>
      <c r="BC132" s="442">
        <v>3.07</v>
      </c>
      <c r="BD132" s="684">
        <f t="shared" ref="BD132:BD141" si="11">BD$130+(BD$142-BD$130)/12*$BH132</f>
        <v>37412.5</v>
      </c>
      <c r="BE132" s="684">
        <f t="shared" si="10"/>
        <v>43284.833333333336</v>
      </c>
      <c r="BF132" s="684">
        <f t="shared" si="10"/>
        <v>30119.666666666668</v>
      </c>
      <c r="BG132" s="684">
        <f t="shared" si="10"/>
        <v>27680.666666666668</v>
      </c>
      <c r="BH132" s="684">
        <v>2</v>
      </c>
    </row>
    <row r="133" spans="1:60">
      <c r="A133" s="107">
        <v>43585</v>
      </c>
      <c r="B133" s="353">
        <v>0.71</v>
      </c>
      <c r="C133" s="353">
        <v>0.78</v>
      </c>
      <c r="D133" s="353">
        <v>0.87</v>
      </c>
      <c r="E133" s="353">
        <v>1</v>
      </c>
      <c r="F133" s="353">
        <v>1.1399999999999999</v>
      </c>
      <c r="G133" s="353">
        <v>1.29</v>
      </c>
      <c r="H133" s="353">
        <v>1.43</v>
      </c>
      <c r="I133" s="353">
        <v>1.56</v>
      </c>
      <c r="J133" s="353">
        <v>1.69</v>
      </c>
      <c r="K133" s="353">
        <v>1.8</v>
      </c>
      <c r="L133" s="353">
        <v>1.91</v>
      </c>
      <c r="M133" s="353">
        <v>2</v>
      </c>
      <c r="N133" s="353">
        <v>2.08</v>
      </c>
      <c r="O133" s="353">
        <v>2.14</v>
      </c>
      <c r="P133" s="442">
        <v>2.2000000000000002</v>
      </c>
      <c r="Q133" s="353">
        <v>2.2400000000000002</v>
      </c>
      <c r="R133" s="353">
        <v>2.27</v>
      </c>
      <c r="S133" s="353">
        <v>2.31</v>
      </c>
      <c r="T133" s="353">
        <v>2.33</v>
      </c>
      <c r="U133" s="353">
        <v>2.36</v>
      </c>
      <c r="V133" s="353">
        <v>2.37</v>
      </c>
      <c r="W133" s="353">
        <v>2.38</v>
      </c>
      <c r="X133" s="353">
        <v>2.39</v>
      </c>
      <c r="Y133" s="353">
        <v>2.4</v>
      </c>
      <c r="Z133" s="353">
        <v>2.4</v>
      </c>
      <c r="AA133" s="353">
        <v>2.4</v>
      </c>
      <c r="AB133" s="353">
        <v>2.4</v>
      </c>
      <c r="AC133" s="353">
        <v>2.41</v>
      </c>
      <c r="AD133" s="353">
        <v>2.41</v>
      </c>
      <c r="AE133" s="353">
        <v>2.41</v>
      </c>
      <c r="AF133" s="353">
        <v>2.41</v>
      </c>
      <c r="AG133" s="353">
        <v>2.41</v>
      </c>
      <c r="AH133" s="353">
        <v>2.41</v>
      </c>
      <c r="AI133" s="353">
        <v>2.41</v>
      </c>
      <c r="AJ133" s="353">
        <v>2.41</v>
      </c>
      <c r="AK133" s="353">
        <v>2.41</v>
      </c>
      <c r="AL133" s="353">
        <v>2.41</v>
      </c>
      <c r="AM133" s="353">
        <v>2.41</v>
      </c>
      <c r="AN133" s="353">
        <v>2.41</v>
      </c>
      <c r="AO133" s="353">
        <v>2.41</v>
      </c>
      <c r="AP133" s="353">
        <v>2.41</v>
      </c>
      <c r="AQ133" s="353">
        <v>2.41</v>
      </c>
      <c r="AR133" s="353">
        <v>2.41</v>
      </c>
      <c r="AS133" s="353">
        <v>2.41</v>
      </c>
      <c r="AT133" s="353">
        <v>2.41</v>
      </c>
      <c r="AU133" s="353">
        <v>2.41</v>
      </c>
      <c r="AV133" s="353">
        <v>2.4</v>
      </c>
      <c r="AW133" s="353">
        <v>2.4</v>
      </c>
      <c r="AX133" s="353">
        <v>2.4</v>
      </c>
      <c r="AY133" s="353">
        <v>2.4</v>
      </c>
      <c r="AZ133" s="59">
        <v>8.9999999999999993E-3</v>
      </c>
      <c r="BA133" s="104">
        <f t="shared" si="2"/>
        <v>0.89999999999999991</v>
      </c>
      <c r="BC133" s="442">
        <v>3.03</v>
      </c>
      <c r="BD133" s="684">
        <f t="shared" si="11"/>
        <v>37721.75</v>
      </c>
      <c r="BE133" s="684">
        <f t="shared" si="10"/>
        <v>44011.25</v>
      </c>
      <c r="BF133" s="684">
        <f t="shared" si="10"/>
        <v>30464</v>
      </c>
      <c r="BG133" s="684">
        <f t="shared" si="10"/>
        <v>28340</v>
      </c>
      <c r="BH133" s="684">
        <v>3</v>
      </c>
    </row>
    <row r="134" spans="1:60">
      <c r="A134" s="107">
        <v>43616</v>
      </c>
      <c r="B134" s="353">
        <v>0.69</v>
      </c>
      <c r="C134" s="353">
        <v>0.75</v>
      </c>
      <c r="D134" s="353">
        <v>0.85</v>
      </c>
      <c r="E134" s="353">
        <v>0.98</v>
      </c>
      <c r="F134" s="353">
        <v>1.1200000000000001</v>
      </c>
      <c r="G134" s="353">
        <v>1.27</v>
      </c>
      <c r="H134" s="353">
        <v>1.4</v>
      </c>
      <c r="I134" s="353">
        <v>1.54</v>
      </c>
      <c r="J134" s="353">
        <v>1.66</v>
      </c>
      <c r="K134" s="353">
        <v>1.78</v>
      </c>
      <c r="L134" s="353">
        <v>1.89</v>
      </c>
      <c r="M134" s="353">
        <v>1.97</v>
      </c>
      <c r="N134" s="353">
        <v>2.0499999999999998</v>
      </c>
      <c r="O134" s="353">
        <v>2.12</v>
      </c>
      <c r="P134" s="442">
        <v>2.1800000000000002</v>
      </c>
      <c r="Q134" s="353">
        <v>2.2200000000000002</v>
      </c>
      <c r="R134" s="353">
        <v>2.25</v>
      </c>
      <c r="S134" s="353">
        <v>2.2799999999999998</v>
      </c>
      <c r="T134" s="353">
        <v>2.31</v>
      </c>
      <c r="U134" s="353">
        <v>2.34</v>
      </c>
      <c r="V134" s="353">
        <v>2.35</v>
      </c>
      <c r="W134" s="353">
        <v>2.36</v>
      </c>
      <c r="X134" s="353">
        <v>2.37</v>
      </c>
      <c r="Y134" s="353">
        <v>2.38</v>
      </c>
      <c r="Z134" s="353">
        <v>2.38</v>
      </c>
      <c r="AA134" s="353">
        <v>2.38</v>
      </c>
      <c r="AB134" s="353">
        <v>2.39</v>
      </c>
      <c r="AC134" s="353">
        <v>2.39</v>
      </c>
      <c r="AD134" s="353">
        <v>2.39</v>
      </c>
      <c r="AE134" s="353">
        <v>2.39</v>
      </c>
      <c r="AF134" s="353">
        <v>2.39</v>
      </c>
      <c r="AG134" s="353">
        <v>2.39</v>
      </c>
      <c r="AH134" s="353">
        <v>2.39</v>
      </c>
      <c r="AI134" s="353">
        <v>2.39</v>
      </c>
      <c r="AJ134" s="353">
        <v>2.39</v>
      </c>
      <c r="AK134" s="353">
        <v>2.39</v>
      </c>
      <c r="AL134" s="353">
        <v>2.39</v>
      </c>
      <c r="AM134" s="353">
        <v>2.39</v>
      </c>
      <c r="AN134" s="353">
        <v>2.39</v>
      </c>
      <c r="AO134" s="353">
        <v>2.39</v>
      </c>
      <c r="AP134" s="353">
        <v>2.39</v>
      </c>
      <c r="AQ134" s="353">
        <v>2.39</v>
      </c>
      <c r="AR134" s="353">
        <v>2.39</v>
      </c>
      <c r="AS134" s="353">
        <v>2.39</v>
      </c>
      <c r="AT134" s="353">
        <v>2.39</v>
      </c>
      <c r="AU134" s="353">
        <v>2.39</v>
      </c>
      <c r="AV134" s="353">
        <v>2.38</v>
      </c>
      <c r="AW134" s="353">
        <v>2.38</v>
      </c>
      <c r="AX134" s="353">
        <v>2.38</v>
      </c>
      <c r="AY134" s="353">
        <v>2.38</v>
      </c>
      <c r="AZ134" s="59">
        <v>8.9999999999999993E-3</v>
      </c>
      <c r="BA134" s="104">
        <f t="shared" si="2"/>
        <v>0.89999999999999991</v>
      </c>
      <c r="BC134" s="442">
        <v>2.98</v>
      </c>
      <c r="BD134" s="684">
        <f t="shared" si="11"/>
        <v>38031</v>
      </c>
      <c r="BE134" s="684">
        <f t="shared" si="10"/>
        <v>44737.666666666664</v>
      </c>
      <c r="BF134" s="684">
        <f t="shared" si="10"/>
        <v>30808.333333333332</v>
      </c>
      <c r="BG134" s="684">
        <f t="shared" si="10"/>
        <v>28999.333333333332</v>
      </c>
      <c r="BH134" s="684">
        <v>4</v>
      </c>
    </row>
    <row r="135" spans="1:60" s="113" customFormat="1" ht="12.75" customHeight="1">
      <c r="A135" s="107">
        <v>43646</v>
      </c>
      <c r="B135" s="353">
        <v>0.67</v>
      </c>
      <c r="C135" s="353">
        <v>0.73</v>
      </c>
      <c r="D135" s="353">
        <v>0.83</v>
      </c>
      <c r="E135" s="353">
        <v>0.96</v>
      </c>
      <c r="F135" s="353">
        <v>1.0900000000000001</v>
      </c>
      <c r="G135" s="353">
        <v>1.24</v>
      </c>
      <c r="H135" s="353">
        <v>1.37</v>
      </c>
      <c r="I135" s="353">
        <v>1.51</v>
      </c>
      <c r="J135" s="353">
        <v>1.63</v>
      </c>
      <c r="K135" s="353">
        <v>1.75</v>
      </c>
      <c r="L135" s="353">
        <v>1.86</v>
      </c>
      <c r="M135" s="353">
        <v>1.94</v>
      </c>
      <c r="N135" s="353">
        <v>2.02</v>
      </c>
      <c r="O135" s="353">
        <v>2.09</v>
      </c>
      <c r="P135" s="442">
        <v>2.15</v>
      </c>
      <c r="Q135" s="353">
        <v>2.19</v>
      </c>
      <c r="R135" s="353">
        <v>2.2200000000000002</v>
      </c>
      <c r="S135" s="353">
        <v>2.25</v>
      </c>
      <c r="T135" s="353">
        <v>2.2799999999999998</v>
      </c>
      <c r="U135" s="353">
        <v>2.31</v>
      </c>
      <c r="V135" s="353">
        <v>2.3199999999999998</v>
      </c>
      <c r="W135" s="353">
        <v>2.33</v>
      </c>
      <c r="X135" s="353">
        <v>2.34</v>
      </c>
      <c r="Y135" s="353">
        <v>2.35</v>
      </c>
      <c r="Z135" s="353">
        <v>2.35</v>
      </c>
      <c r="AA135" s="353">
        <v>2.36</v>
      </c>
      <c r="AB135" s="353">
        <v>2.36</v>
      </c>
      <c r="AC135" s="353">
        <v>2.36</v>
      </c>
      <c r="AD135" s="353">
        <v>2.36</v>
      </c>
      <c r="AE135" s="353">
        <v>2.36</v>
      </c>
      <c r="AF135" s="353">
        <v>2.36</v>
      </c>
      <c r="AG135" s="353">
        <v>2.36</v>
      </c>
      <c r="AH135" s="353">
        <v>2.36</v>
      </c>
      <c r="AI135" s="353">
        <v>2.36</v>
      </c>
      <c r="AJ135" s="353">
        <v>2.36</v>
      </c>
      <c r="AK135" s="353">
        <v>2.36</v>
      </c>
      <c r="AL135" s="353">
        <v>2.36</v>
      </c>
      <c r="AM135" s="353">
        <v>2.37</v>
      </c>
      <c r="AN135" s="353">
        <v>2.37</v>
      </c>
      <c r="AO135" s="353">
        <v>2.37</v>
      </c>
      <c r="AP135" s="353">
        <v>2.36</v>
      </c>
      <c r="AQ135" s="353">
        <v>2.36</v>
      </c>
      <c r="AR135" s="353">
        <v>2.36</v>
      </c>
      <c r="AS135" s="353">
        <v>2.36</v>
      </c>
      <c r="AT135" s="353">
        <v>2.36</v>
      </c>
      <c r="AU135" s="353">
        <v>2.36</v>
      </c>
      <c r="AV135" s="353">
        <v>2.36</v>
      </c>
      <c r="AW135" s="353">
        <v>2.35</v>
      </c>
      <c r="AX135" s="353">
        <v>2.35</v>
      </c>
      <c r="AY135" s="353">
        <v>2.35</v>
      </c>
      <c r="AZ135" s="59">
        <v>8.9999999999999993E-3</v>
      </c>
      <c r="BA135" s="104">
        <f t="shared" si="2"/>
        <v>0.89999999999999991</v>
      </c>
      <c r="BC135" s="442">
        <v>2.94</v>
      </c>
      <c r="BD135" s="684">
        <f t="shared" si="11"/>
        <v>38340.25</v>
      </c>
      <c r="BE135" s="684">
        <f t="shared" si="10"/>
        <v>45464.083333333336</v>
      </c>
      <c r="BF135" s="684">
        <f t="shared" si="10"/>
        <v>31152.666666666668</v>
      </c>
      <c r="BG135" s="684">
        <f t="shared" si="10"/>
        <v>29658.666666666668</v>
      </c>
      <c r="BH135" s="684">
        <v>5</v>
      </c>
    </row>
    <row r="136" spans="1:60" ht="12.75" customHeight="1">
      <c r="A136" s="107">
        <v>43677</v>
      </c>
      <c r="B136" s="353">
        <v>0.65</v>
      </c>
      <c r="C136" s="353">
        <v>0.71</v>
      </c>
      <c r="D136" s="353">
        <v>0.81</v>
      </c>
      <c r="E136" s="353">
        <v>0.93</v>
      </c>
      <c r="F136" s="353">
        <v>1.07</v>
      </c>
      <c r="G136" s="353">
        <v>1.21</v>
      </c>
      <c r="H136" s="353">
        <v>1.35</v>
      </c>
      <c r="I136" s="353">
        <v>1.48</v>
      </c>
      <c r="J136" s="353">
        <v>1.6</v>
      </c>
      <c r="K136" s="353">
        <v>1.72</v>
      </c>
      <c r="L136" s="353">
        <v>1.83</v>
      </c>
      <c r="M136" s="353">
        <v>1.91</v>
      </c>
      <c r="N136" s="353">
        <v>1.99</v>
      </c>
      <c r="O136" s="353">
        <v>2.06</v>
      </c>
      <c r="P136" s="442">
        <v>2.12</v>
      </c>
      <c r="Q136" s="353">
        <v>2.16</v>
      </c>
      <c r="R136" s="353">
        <v>2.19</v>
      </c>
      <c r="S136" s="353">
        <v>2.23</v>
      </c>
      <c r="T136" s="353">
        <v>2.25</v>
      </c>
      <c r="U136" s="353">
        <v>2.2799999999999998</v>
      </c>
      <c r="V136" s="353">
        <v>2.29</v>
      </c>
      <c r="W136" s="353">
        <v>2.2999999999999998</v>
      </c>
      <c r="X136" s="353">
        <v>2.31</v>
      </c>
      <c r="Y136" s="353">
        <v>2.3199999999999998</v>
      </c>
      <c r="Z136" s="353">
        <v>2.33</v>
      </c>
      <c r="AA136" s="353">
        <v>2.33</v>
      </c>
      <c r="AB136" s="353">
        <v>2.33</v>
      </c>
      <c r="AC136" s="353">
        <v>2.33</v>
      </c>
      <c r="AD136" s="353">
        <v>2.33</v>
      </c>
      <c r="AE136" s="353">
        <v>2.33</v>
      </c>
      <c r="AF136" s="353">
        <v>2.33</v>
      </c>
      <c r="AG136" s="353">
        <v>2.33</v>
      </c>
      <c r="AH136" s="353">
        <v>2.33</v>
      </c>
      <c r="AI136" s="353">
        <v>2.34</v>
      </c>
      <c r="AJ136" s="353">
        <v>2.34</v>
      </c>
      <c r="AK136" s="353">
        <v>2.34</v>
      </c>
      <c r="AL136" s="353">
        <v>2.34</v>
      </c>
      <c r="AM136" s="353">
        <v>2.34</v>
      </c>
      <c r="AN136" s="353">
        <v>2.34</v>
      </c>
      <c r="AO136" s="353">
        <v>2.34</v>
      </c>
      <c r="AP136" s="353">
        <v>2.33</v>
      </c>
      <c r="AQ136" s="353">
        <v>2.33</v>
      </c>
      <c r="AR136" s="353">
        <v>2.33</v>
      </c>
      <c r="AS136" s="353">
        <v>2.33</v>
      </c>
      <c r="AT136" s="353">
        <v>2.33</v>
      </c>
      <c r="AU136" s="353">
        <v>2.33</v>
      </c>
      <c r="AV136" s="353">
        <v>2.3199999999999998</v>
      </c>
      <c r="AW136" s="353">
        <v>2.3199999999999998</v>
      </c>
      <c r="AX136" s="353">
        <v>2.3199999999999998</v>
      </c>
      <c r="AY136" s="353">
        <v>2.3199999999999998</v>
      </c>
      <c r="AZ136" s="59">
        <v>8.9999999999999993E-3</v>
      </c>
      <c r="BA136" s="104">
        <f t="shared" si="2"/>
        <v>0.89999999999999991</v>
      </c>
      <c r="BC136" s="442">
        <v>2.9</v>
      </c>
      <c r="BD136" s="684">
        <f t="shared" si="11"/>
        <v>38649.5</v>
      </c>
      <c r="BE136" s="684">
        <f t="shared" si="10"/>
        <v>46190.5</v>
      </c>
      <c r="BF136" s="684">
        <f t="shared" si="10"/>
        <v>31497</v>
      </c>
      <c r="BG136" s="684">
        <f t="shared" si="10"/>
        <v>30318</v>
      </c>
      <c r="BH136" s="684">
        <v>6</v>
      </c>
    </row>
    <row r="137" spans="1:60" ht="12.75" customHeight="1">
      <c r="A137" s="107">
        <v>43708</v>
      </c>
      <c r="B137" s="353">
        <v>0.63</v>
      </c>
      <c r="C137" s="353">
        <v>0.69</v>
      </c>
      <c r="D137" s="353">
        <v>0.79</v>
      </c>
      <c r="E137" s="353">
        <v>0.91</v>
      </c>
      <c r="F137" s="353">
        <v>1.04</v>
      </c>
      <c r="G137" s="353">
        <v>1.19</v>
      </c>
      <c r="H137" s="353">
        <v>1.32</v>
      </c>
      <c r="I137" s="353">
        <v>1.45</v>
      </c>
      <c r="J137" s="353">
        <v>1.57</v>
      </c>
      <c r="K137" s="353">
        <v>1.69</v>
      </c>
      <c r="L137" s="353">
        <v>1.8</v>
      </c>
      <c r="M137" s="353">
        <v>1.88</v>
      </c>
      <c r="N137" s="353">
        <v>1.96</v>
      </c>
      <c r="O137" s="353">
        <v>2.0299999999999998</v>
      </c>
      <c r="P137" s="442">
        <v>2.08</v>
      </c>
      <c r="Q137" s="353">
        <v>2.13</v>
      </c>
      <c r="R137" s="353">
        <v>2.16</v>
      </c>
      <c r="S137" s="353">
        <v>2.19</v>
      </c>
      <c r="T137" s="353">
        <v>2.2200000000000002</v>
      </c>
      <c r="U137" s="353">
        <v>2.25</v>
      </c>
      <c r="V137" s="353">
        <v>2.2599999999999998</v>
      </c>
      <c r="W137" s="353">
        <v>2.27</v>
      </c>
      <c r="X137" s="353">
        <v>2.2799999999999998</v>
      </c>
      <c r="Y137" s="353">
        <v>2.29</v>
      </c>
      <c r="Z137" s="353">
        <v>2.2999999999999998</v>
      </c>
      <c r="AA137" s="353">
        <v>2.2999999999999998</v>
      </c>
      <c r="AB137" s="353">
        <v>2.2999999999999998</v>
      </c>
      <c r="AC137" s="353">
        <v>2.2999999999999998</v>
      </c>
      <c r="AD137" s="353">
        <v>2.2999999999999998</v>
      </c>
      <c r="AE137" s="353">
        <v>2.2999999999999998</v>
      </c>
      <c r="AF137" s="353">
        <v>2.2999999999999998</v>
      </c>
      <c r="AG137" s="353">
        <v>2.2999999999999998</v>
      </c>
      <c r="AH137" s="353">
        <v>2.2999999999999998</v>
      </c>
      <c r="AI137" s="353">
        <v>2.2999999999999998</v>
      </c>
      <c r="AJ137" s="353">
        <v>2.2999999999999998</v>
      </c>
      <c r="AK137" s="353">
        <v>2.2999999999999998</v>
      </c>
      <c r="AL137" s="353">
        <v>2.2999999999999998</v>
      </c>
      <c r="AM137" s="353">
        <v>2.2999999999999998</v>
      </c>
      <c r="AN137" s="353">
        <v>2.2999999999999998</v>
      </c>
      <c r="AO137" s="353">
        <v>2.2999999999999998</v>
      </c>
      <c r="AP137" s="353">
        <v>2.2999999999999998</v>
      </c>
      <c r="AQ137" s="353">
        <v>2.2999999999999998</v>
      </c>
      <c r="AR137" s="353">
        <v>2.2999999999999998</v>
      </c>
      <c r="AS137" s="353">
        <v>2.29</v>
      </c>
      <c r="AT137" s="353">
        <v>2.29</v>
      </c>
      <c r="AU137" s="353">
        <v>2.29</v>
      </c>
      <c r="AV137" s="353">
        <v>2.29</v>
      </c>
      <c r="AW137" s="353">
        <v>2.29</v>
      </c>
      <c r="AX137" s="353">
        <v>2.29</v>
      </c>
      <c r="AY137" s="353">
        <v>2.29</v>
      </c>
      <c r="AZ137" s="59">
        <v>8.9999999999999993E-3</v>
      </c>
      <c r="BA137" s="104">
        <f t="shared" si="2"/>
        <v>0.89999999999999991</v>
      </c>
      <c r="BC137" s="442">
        <v>2.86</v>
      </c>
      <c r="BD137" s="684">
        <f t="shared" si="11"/>
        <v>38958.75</v>
      </c>
      <c r="BE137" s="684">
        <f t="shared" si="10"/>
        <v>46916.916666666664</v>
      </c>
      <c r="BF137" s="684">
        <f t="shared" si="10"/>
        <v>31841.333333333332</v>
      </c>
      <c r="BG137" s="684">
        <f t="shared" si="10"/>
        <v>30977.333333333336</v>
      </c>
      <c r="BH137" s="684">
        <v>7</v>
      </c>
    </row>
    <row r="138" spans="1:60" ht="12.75" customHeight="1">
      <c r="A138" s="107">
        <v>43738</v>
      </c>
      <c r="B138" s="353">
        <v>0.62</v>
      </c>
      <c r="C138" s="353">
        <v>0.68</v>
      </c>
      <c r="D138" s="353">
        <v>0.77</v>
      </c>
      <c r="E138" s="353">
        <v>0.89</v>
      </c>
      <c r="F138" s="353">
        <v>1.02</v>
      </c>
      <c r="G138" s="353">
        <v>1.1599999999999999</v>
      </c>
      <c r="H138" s="353">
        <v>1.29</v>
      </c>
      <c r="I138" s="353">
        <v>1.42</v>
      </c>
      <c r="J138" s="353">
        <v>1.55</v>
      </c>
      <c r="K138" s="353">
        <v>1.66</v>
      </c>
      <c r="L138" s="353">
        <v>1.77</v>
      </c>
      <c r="M138" s="353">
        <v>1.85</v>
      </c>
      <c r="N138" s="353">
        <v>1.93</v>
      </c>
      <c r="O138" s="353">
        <v>2</v>
      </c>
      <c r="P138" s="442">
        <v>2.0499999999999998</v>
      </c>
      <c r="Q138" s="353">
        <v>2.09</v>
      </c>
      <c r="R138" s="353">
        <v>2.13</v>
      </c>
      <c r="S138" s="353">
        <v>2.16</v>
      </c>
      <c r="T138" s="353">
        <v>2.19</v>
      </c>
      <c r="U138" s="353">
        <v>2.2200000000000002</v>
      </c>
      <c r="V138" s="353">
        <v>2.23</v>
      </c>
      <c r="W138" s="353">
        <v>2.2400000000000002</v>
      </c>
      <c r="X138" s="353">
        <v>2.25</v>
      </c>
      <c r="Y138" s="353">
        <v>2.2599999999999998</v>
      </c>
      <c r="Z138" s="353">
        <v>2.2599999999999998</v>
      </c>
      <c r="AA138" s="353">
        <v>2.27</v>
      </c>
      <c r="AB138" s="353">
        <v>2.27</v>
      </c>
      <c r="AC138" s="353">
        <v>2.27</v>
      </c>
      <c r="AD138" s="353">
        <v>2.27</v>
      </c>
      <c r="AE138" s="353">
        <v>2.27</v>
      </c>
      <c r="AF138" s="353">
        <v>2.27</v>
      </c>
      <c r="AG138" s="353">
        <v>2.27</v>
      </c>
      <c r="AH138" s="353">
        <v>2.27</v>
      </c>
      <c r="AI138" s="353">
        <v>2.27</v>
      </c>
      <c r="AJ138" s="353">
        <v>2.27</v>
      </c>
      <c r="AK138" s="353">
        <v>2.27</v>
      </c>
      <c r="AL138" s="353">
        <v>2.27</v>
      </c>
      <c r="AM138" s="353">
        <v>2.27</v>
      </c>
      <c r="AN138" s="353">
        <v>2.27</v>
      </c>
      <c r="AO138" s="353">
        <v>2.27</v>
      </c>
      <c r="AP138" s="353">
        <v>2.27</v>
      </c>
      <c r="AQ138" s="353">
        <v>2.2599999999999998</v>
      </c>
      <c r="AR138" s="353">
        <v>2.2599999999999998</v>
      </c>
      <c r="AS138" s="353">
        <v>2.2599999999999998</v>
      </c>
      <c r="AT138" s="353">
        <v>2.2599999999999998</v>
      </c>
      <c r="AU138" s="353">
        <v>2.2599999999999998</v>
      </c>
      <c r="AV138" s="353">
        <v>2.25</v>
      </c>
      <c r="AW138" s="353">
        <v>2.25</v>
      </c>
      <c r="AX138" s="353">
        <v>2.25</v>
      </c>
      <c r="AY138" s="353">
        <v>2.25</v>
      </c>
      <c r="AZ138" s="59">
        <v>8.9999999999999993E-3</v>
      </c>
      <c r="BA138" s="104">
        <f t="shared" ref="BA138:BA147" si="12">+AZ138*100</f>
        <v>0.89999999999999991</v>
      </c>
      <c r="BC138" s="442">
        <v>2.82</v>
      </c>
      <c r="BD138" s="684">
        <f t="shared" si="11"/>
        <v>39268</v>
      </c>
      <c r="BE138" s="684">
        <f t="shared" si="10"/>
        <v>47643.333333333336</v>
      </c>
      <c r="BF138" s="684">
        <f t="shared" si="10"/>
        <v>32185.666666666668</v>
      </c>
      <c r="BG138" s="684">
        <f t="shared" si="10"/>
        <v>31636.666666666668</v>
      </c>
      <c r="BH138" s="684">
        <v>8</v>
      </c>
    </row>
    <row r="139" spans="1:60" ht="12.75" customHeight="1">
      <c r="A139" s="107">
        <v>43769</v>
      </c>
      <c r="B139" s="353">
        <v>0.6</v>
      </c>
      <c r="C139" s="353">
        <v>0.66</v>
      </c>
      <c r="D139" s="353">
        <v>0.75</v>
      </c>
      <c r="E139" s="353">
        <v>0.87</v>
      </c>
      <c r="F139" s="353">
        <v>1</v>
      </c>
      <c r="G139" s="353">
        <v>1.1399999999999999</v>
      </c>
      <c r="H139" s="353">
        <v>1.27</v>
      </c>
      <c r="I139" s="353">
        <v>1.4</v>
      </c>
      <c r="J139" s="353">
        <v>1.52</v>
      </c>
      <c r="K139" s="353">
        <v>1.64</v>
      </c>
      <c r="L139" s="353">
        <v>1.74</v>
      </c>
      <c r="M139" s="353">
        <v>1.82</v>
      </c>
      <c r="N139" s="353">
        <v>1.9</v>
      </c>
      <c r="O139" s="353">
        <v>1.97</v>
      </c>
      <c r="P139" s="442">
        <v>2.02</v>
      </c>
      <c r="Q139" s="353">
        <v>2.06</v>
      </c>
      <c r="R139" s="353">
        <v>2.1</v>
      </c>
      <c r="S139" s="353">
        <v>2.13</v>
      </c>
      <c r="T139" s="353">
        <v>2.16</v>
      </c>
      <c r="U139" s="353">
        <v>2.19</v>
      </c>
      <c r="V139" s="353">
        <v>2.2000000000000002</v>
      </c>
      <c r="W139" s="353">
        <v>2.21</v>
      </c>
      <c r="X139" s="353">
        <v>2.2200000000000002</v>
      </c>
      <c r="Y139" s="353">
        <v>2.23</v>
      </c>
      <c r="Z139" s="353">
        <v>2.23</v>
      </c>
      <c r="AA139" s="353">
        <v>2.2400000000000002</v>
      </c>
      <c r="AB139" s="353">
        <v>2.2400000000000002</v>
      </c>
      <c r="AC139" s="353">
        <v>2.2400000000000002</v>
      </c>
      <c r="AD139" s="353">
        <v>2.2400000000000002</v>
      </c>
      <c r="AE139" s="353">
        <v>2.2400000000000002</v>
      </c>
      <c r="AF139" s="353">
        <v>2.2400000000000002</v>
      </c>
      <c r="AG139" s="353">
        <v>2.2400000000000002</v>
      </c>
      <c r="AH139" s="353">
        <v>2.2400000000000002</v>
      </c>
      <c r="AI139" s="353">
        <v>2.2400000000000002</v>
      </c>
      <c r="AJ139" s="353">
        <v>2.2400000000000002</v>
      </c>
      <c r="AK139" s="353">
        <v>2.2400000000000002</v>
      </c>
      <c r="AL139" s="353">
        <v>2.2400000000000002</v>
      </c>
      <c r="AM139" s="353">
        <v>2.2400000000000002</v>
      </c>
      <c r="AN139" s="353">
        <v>2.2400000000000002</v>
      </c>
      <c r="AO139" s="353">
        <v>2.2400000000000002</v>
      </c>
      <c r="AP139" s="353">
        <v>2.2400000000000002</v>
      </c>
      <c r="AQ139" s="353">
        <v>2.23</v>
      </c>
      <c r="AR139" s="353">
        <v>2.23</v>
      </c>
      <c r="AS139" s="353">
        <v>2.23</v>
      </c>
      <c r="AT139" s="353">
        <v>2.23</v>
      </c>
      <c r="AU139" s="353">
        <v>2.2200000000000002</v>
      </c>
      <c r="AV139" s="353">
        <v>2.2200000000000002</v>
      </c>
      <c r="AW139" s="353">
        <v>2.2200000000000002</v>
      </c>
      <c r="AX139" s="353">
        <v>2.2200000000000002</v>
      </c>
      <c r="AY139" s="353">
        <v>2.2200000000000002</v>
      </c>
      <c r="AZ139" s="59">
        <v>8.9999999999999993E-3</v>
      </c>
      <c r="BA139" s="104">
        <f t="shared" si="12"/>
        <v>0.89999999999999991</v>
      </c>
      <c r="BC139" s="442">
        <v>2.79</v>
      </c>
      <c r="BD139" s="684">
        <f t="shared" si="11"/>
        <v>39577.25</v>
      </c>
      <c r="BE139" s="684">
        <f t="shared" si="10"/>
        <v>48369.75</v>
      </c>
      <c r="BF139" s="684">
        <f t="shared" si="10"/>
        <v>32530</v>
      </c>
      <c r="BG139" s="684">
        <f t="shared" si="10"/>
        <v>32296</v>
      </c>
      <c r="BH139" s="684">
        <v>9</v>
      </c>
    </row>
    <row r="140" spans="1:60" ht="12.75" customHeight="1">
      <c r="A140" s="107">
        <v>43799</v>
      </c>
      <c r="B140" s="353">
        <v>0.59</v>
      </c>
      <c r="C140" s="353">
        <v>0.65</v>
      </c>
      <c r="D140" s="353">
        <v>0.74</v>
      </c>
      <c r="E140" s="353">
        <v>0.86</v>
      </c>
      <c r="F140" s="353">
        <v>0.98</v>
      </c>
      <c r="G140" s="353">
        <v>1.1200000000000001</v>
      </c>
      <c r="H140" s="353">
        <v>1.25</v>
      </c>
      <c r="I140" s="353">
        <v>1.38</v>
      </c>
      <c r="J140" s="353">
        <v>1.5</v>
      </c>
      <c r="K140" s="353">
        <v>1.61</v>
      </c>
      <c r="L140" s="353">
        <v>1.71</v>
      </c>
      <c r="M140" s="353">
        <v>1.8</v>
      </c>
      <c r="N140" s="353">
        <v>1.87</v>
      </c>
      <c r="O140" s="353">
        <v>1.94</v>
      </c>
      <c r="P140" s="442">
        <v>2</v>
      </c>
      <c r="Q140" s="353">
        <v>2.04</v>
      </c>
      <c r="R140" s="353">
        <v>2.0699999999999998</v>
      </c>
      <c r="S140" s="353">
        <v>2.1</v>
      </c>
      <c r="T140" s="353">
        <v>2.13</v>
      </c>
      <c r="U140" s="353">
        <v>2.16</v>
      </c>
      <c r="V140" s="353">
        <v>2.17</v>
      </c>
      <c r="W140" s="353">
        <v>2.1800000000000002</v>
      </c>
      <c r="X140" s="353">
        <v>2.19</v>
      </c>
      <c r="Y140" s="353">
        <v>2.2000000000000002</v>
      </c>
      <c r="Z140" s="353">
        <v>2.21</v>
      </c>
      <c r="AA140" s="353">
        <v>2.21</v>
      </c>
      <c r="AB140" s="353">
        <v>2.21</v>
      </c>
      <c r="AC140" s="353">
        <v>2.21</v>
      </c>
      <c r="AD140" s="353">
        <v>2.21</v>
      </c>
      <c r="AE140" s="353">
        <v>2.21</v>
      </c>
      <c r="AF140" s="353">
        <v>2.21</v>
      </c>
      <c r="AG140" s="353">
        <v>2.21</v>
      </c>
      <c r="AH140" s="353">
        <v>2.21</v>
      </c>
      <c r="AI140" s="353">
        <v>2.21</v>
      </c>
      <c r="AJ140" s="353">
        <v>2.21</v>
      </c>
      <c r="AK140" s="353">
        <v>2.21</v>
      </c>
      <c r="AL140" s="353">
        <v>2.21</v>
      </c>
      <c r="AM140" s="353">
        <v>2.21</v>
      </c>
      <c r="AN140" s="353">
        <v>2.21</v>
      </c>
      <c r="AO140" s="353">
        <v>2.21</v>
      </c>
      <c r="AP140" s="353">
        <v>2.21</v>
      </c>
      <c r="AQ140" s="353">
        <v>2.2000000000000002</v>
      </c>
      <c r="AR140" s="353">
        <v>2.2000000000000002</v>
      </c>
      <c r="AS140" s="353">
        <v>2.2000000000000002</v>
      </c>
      <c r="AT140" s="353">
        <v>2.19</v>
      </c>
      <c r="AU140" s="353">
        <v>2.19</v>
      </c>
      <c r="AV140" s="353">
        <v>2.19</v>
      </c>
      <c r="AW140" s="353">
        <v>2.19</v>
      </c>
      <c r="AX140" s="353">
        <v>2.19</v>
      </c>
      <c r="AY140" s="353">
        <v>2.1800000000000002</v>
      </c>
      <c r="AZ140" s="59">
        <v>8.9999999999999993E-3</v>
      </c>
      <c r="BA140" s="104">
        <f t="shared" si="12"/>
        <v>0.89999999999999991</v>
      </c>
      <c r="BC140" s="442">
        <v>2.75</v>
      </c>
      <c r="BD140" s="684">
        <f t="shared" si="11"/>
        <v>39886.5</v>
      </c>
      <c r="BE140" s="684">
        <f t="shared" si="10"/>
        <v>49096.166666666664</v>
      </c>
      <c r="BF140" s="684">
        <f t="shared" si="10"/>
        <v>32874.333333333336</v>
      </c>
      <c r="BG140" s="684">
        <f t="shared" si="10"/>
        <v>32955.333333333336</v>
      </c>
      <c r="BH140" s="684">
        <v>10</v>
      </c>
    </row>
    <row r="141" spans="1:60" s="113" customFormat="1" ht="12.75" customHeight="1">
      <c r="A141" s="107">
        <v>43830</v>
      </c>
      <c r="B141" s="353">
        <v>0.57999999999999996</v>
      </c>
      <c r="C141" s="353">
        <v>0.63</v>
      </c>
      <c r="D141" s="353">
        <v>0.72</v>
      </c>
      <c r="E141" s="353">
        <v>0.84</v>
      </c>
      <c r="F141" s="353">
        <v>0.97</v>
      </c>
      <c r="G141" s="353">
        <v>1.1000000000000001</v>
      </c>
      <c r="H141" s="353">
        <v>1.23</v>
      </c>
      <c r="I141" s="353">
        <v>1.36</v>
      </c>
      <c r="J141" s="353">
        <v>1.48</v>
      </c>
      <c r="K141" s="353">
        <v>1.59</v>
      </c>
      <c r="L141" s="353">
        <v>1.69</v>
      </c>
      <c r="M141" s="353">
        <v>1.77</v>
      </c>
      <c r="N141" s="353">
        <v>1.85</v>
      </c>
      <c r="O141" s="353">
        <v>1.91</v>
      </c>
      <c r="P141" s="442">
        <v>1.97</v>
      </c>
      <c r="Q141" s="353">
        <v>2.0099999999999998</v>
      </c>
      <c r="R141" s="353">
        <v>2.0499999999999998</v>
      </c>
      <c r="S141" s="353">
        <v>2.08</v>
      </c>
      <c r="T141" s="353">
        <v>2.11</v>
      </c>
      <c r="U141" s="353">
        <v>2.13</v>
      </c>
      <c r="V141" s="353">
        <v>2.15</v>
      </c>
      <c r="W141" s="353">
        <v>2.16</v>
      </c>
      <c r="X141" s="353">
        <v>2.16</v>
      </c>
      <c r="Y141" s="353">
        <v>2.17</v>
      </c>
      <c r="Z141" s="353">
        <v>2.1800000000000002</v>
      </c>
      <c r="AA141" s="353">
        <v>2.1800000000000002</v>
      </c>
      <c r="AB141" s="353">
        <v>2.1800000000000002</v>
      </c>
      <c r="AC141" s="353">
        <v>2.19</v>
      </c>
      <c r="AD141" s="353">
        <v>2.19</v>
      </c>
      <c r="AE141" s="353">
        <v>2.19</v>
      </c>
      <c r="AF141" s="353">
        <v>2.19</v>
      </c>
      <c r="AG141" s="353">
        <v>2.19</v>
      </c>
      <c r="AH141" s="353">
        <v>2.19</v>
      </c>
      <c r="AI141" s="353">
        <v>2.1800000000000002</v>
      </c>
      <c r="AJ141" s="353">
        <v>2.1800000000000002</v>
      </c>
      <c r="AK141" s="353">
        <v>2.1800000000000002</v>
      </c>
      <c r="AL141" s="353">
        <v>2.1800000000000002</v>
      </c>
      <c r="AM141" s="353">
        <v>2.1800000000000002</v>
      </c>
      <c r="AN141" s="353">
        <v>2.1800000000000002</v>
      </c>
      <c r="AO141" s="353">
        <v>2.1800000000000002</v>
      </c>
      <c r="AP141" s="353">
        <v>2.1800000000000002</v>
      </c>
      <c r="AQ141" s="353">
        <v>2.17</v>
      </c>
      <c r="AR141" s="353">
        <v>2.17</v>
      </c>
      <c r="AS141" s="353">
        <v>2.17</v>
      </c>
      <c r="AT141" s="353">
        <v>2.17</v>
      </c>
      <c r="AU141" s="353">
        <v>2.16</v>
      </c>
      <c r="AV141" s="353">
        <v>2.16</v>
      </c>
      <c r="AW141" s="353">
        <v>2.16</v>
      </c>
      <c r="AX141" s="353">
        <v>2.16</v>
      </c>
      <c r="AY141" s="353">
        <v>2.15</v>
      </c>
      <c r="AZ141" s="59">
        <v>8.9999999999999993E-3</v>
      </c>
      <c r="BA141" s="104">
        <f t="shared" si="12"/>
        <v>0.89999999999999991</v>
      </c>
      <c r="BC141" s="442">
        <v>2.71</v>
      </c>
      <c r="BD141" s="684">
        <f t="shared" si="11"/>
        <v>40195.75</v>
      </c>
      <c r="BE141" s="684">
        <f t="shared" si="10"/>
        <v>49822.583333333336</v>
      </c>
      <c r="BF141" s="684">
        <f t="shared" si="10"/>
        <v>33218.666666666664</v>
      </c>
      <c r="BG141" s="684">
        <f t="shared" si="10"/>
        <v>33614.666666666664</v>
      </c>
      <c r="BH141" s="684">
        <v>11</v>
      </c>
    </row>
    <row r="142" spans="1:60">
      <c r="A142" s="107">
        <v>43861</v>
      </c>
      <c r="B142" s="353">
        <v>0.56000000000000005</v>
      </c>
      <c r="C142" s="353">
        <v>0.61</v>
      </c>
      <c r="D142" s="353">
        <v>0.7</v>
      </c>
      <c r="E142" s="353">
        <v>0.82</v>
      </c>
      <c r="F142" s="353">
        <v>0.95</v>
      </c>
      <c r="G142" s="353">
        <v>1.08</v>
      </c>
      <c r="H142" s="353">
        <v>1.2</v>
      </c>
      <c r="I142" s="353">
        <v>1.33</v>
      </c>
      <c r="J142" s="353">
        <v>1.45</v>
      </c>
      <c r="K142" s="353">
        <v>1.56</v>
      </c>
      <c r="L142" s="353">
        <v>1.66</v>
      </c>
      <c r="M142" s="353">
        <v>1.74</v>
      </c>
      <c r="N142" s="353">
        <v>1.82</v>
      </c>
      <c r="O142" s="353">
        <v>1.88</v>
      </c>
      <c r="P142" s="442">
        <v>1.94</v>
      </c>
      <c r="Q142" s="353">
        <v>1.98</v>
      </c>
      <c r="R142" s="353">
        <v>2.02</v>
      </c>
      <c r="S142" s="353">
        <v>2.0499999999999998</v>
      </c>
      <c r="T142" s="353">
        <v>2.08</v>
      </c>
      <c r="U142" s="353">
        <v>2.1</v>
      </c>
      <c r="V142" s="353">
        <v>2.11</v>
      </c>
      <c r="W142" s="353">
        <v>2.12</v>
      </c>
      <c r="X142" s="353">
        <v>2.13</v>
      </c>
      <c r="Y142" s="353">
        <v>2.14</v>
      </c>
      <c r="Z142" s="353">
        <v>2.15</v>
      </c>
      <c r="AA142" s="353">
        <v>2.15</v>
      </c>
      <c r="AB142" s="353">
        <v>2.15</v>
      </c>
      <c r="AC142" s="353">
        <v>2.15</v>
      </c>
      <c r="AD142" s="353">
        <v>2.16</v>
      </c>
      <c r="AE142" s="353">
        <v>2.16</v>
      </c>
      <c r="AF142" s="353">
        <v>2.16</v>
      </c>
      <c r="AG142" s="353">
        <v>2.15</v>
      </c>
      <c r="AH142" s="353">
        <v>2.15</v>
      </c>
      <c r="AI142" s="353">
        <v>2.15</v>
      </c>
      <c r="AJ142" s="353">
        <v>2.15</v>
      </c>
      <c r="AK142" s="353">
        <v>2.15</v>
      </c>
      <c r="AL142" s="353">
        <v>2.15</v>
      </c>
      <c r="AM142" s="353">
        <v>2.15</v>
      </c>
      <c r="AN142" s="353">
        <v>2.15</v>
      </c>
      <c r="AO142" s="353">
        <v>2.15</v>
      </c>
      <c r="AP142" s="353">
        <v>2.14</v>
      </c>
      <c r="AQ142" s="353">
        <v>2.14</v>
      </c>
      <c r="AR142" s="353">
        <v>2.14</v>
      </c>
      <c r="AS142" s="353">
        <v>2.14</v>
      </c>
      <c r="AT142" s="353">
        <v>2.13</v>
      </c>
      <c r="AU142" s="353">
        <v>2.13</v>
      </c>
      <c r="AV142" s="353">
        <v>2.13</v>
      </c>
      <c r="AW142" s="353">
        <v>2.12</v>
      </c>
      <c r="AX142" s="353">
        <v>2.12</v>
      </c>
      <c r="AY142" s="353">
        <v>2.12</v>
      </c>
      <c r="AZ142" s="59">
        <v>8.9999999999999993E-3</v>
      </c>
      <c r="BA142" s="104">
        <f t="shared" si="12"/>
        <v>0.89999999999999991</v>
      </c>
      <c r="BC142" s="442">
        <v>2.68</v>
      </c>
      <c r="BD142" s="685">
        <v>40505</v>
      </c>
      <c r="BE142" s="685">
        <v>50549</v>
      </c>
      <c r="BF142" s="685">
        <v>33563</v>
      </c>
      <c r="BG142" s="685">
        <v>34274</v>
      </c>
      <c r="BH142" s="25"/>
    </row>
    <row r="143" spans="1:60">
      <c r="A143" s="107">
        <v>43890</v>
      </c>
      <c r="B143" s="353">
        <v>0.55000000000000004</v>
      </c>
      <c r="C143" s="353">
        <v>0.6</v>
      </c>
      <c r="D143" s="353">
        <v>0.69</v>
      </c>
      <c r="E143" s="353">
        <v>0.8</v>
      </c>
      <c r="F143" s="353">
        <v>0.93</v>
      </c>
      <c r="G143" s="353">
        <v>1.06</v>
      </c>
      <c r="H143" s="353">
        <v>1.18</v>
      </c>
      <c r="I143" s="353">
        <v>1.3</v>
      </c>
      <c r="J143" s="353">
        <v>1.42</v>
      </c>
      <c r="K143" s="353">
        <v>1.53</v>
      </c>
      <c r="L143" s="353">
        <v>1.63</v>
      </c>
      <c r="M143" s="353">
        <v>1.71</v>
      </c>
      <c r="N143" s="353">
        <v>1.79</v>
      </c>
      <c r="O143" s="353">
        <v>1.85</v>
      </c>
      <c r="P143" s="442">
        <v>1.91</v>
      </c>
      <c r="Q143" s="353">
        <v>1.95</v>
      </c>
      <c r="R143" s="353">
        <v>1.98</v>
      </c>
      <c r="S143" s="353">
        <v>2.02</v>
      </c>
      <c r="T143" s="353">
        <v>2.04</v>
      </c>
      <c r="U143" s="353">
        <v>2.0699999999999998</v>
      </c>
      <c r="V143" s="353">
        <v>2.08</v>
      </c>
      <c r="W143" s="353">
        <v>2.09</v>
      </c>
      <c r="X143" s="353">
        <v>2.1</v>
      </c>
      <c r="Y143" s="353">
        <v>2.11</v>
      </c>
      <c r="Z143" s="353">
        <v>2.12</v>
      </c>
      <c r="AA143" s="353">
        <v>2.12</v>
      </c>
      <c r="AB143" s="353">
        <v>2.12</v>
      </c>
      <c r="AC143" s="353">
        <v>2.12</v>
      </c>
      <c r="AD143" s="353">
        <v>2.12</v>
      </c>
      <c r="AE143" s="353">
        <v>2.12</v>
      </c>
      <c r="AF143" s="353">
        <v>2.12</v>
      </c>
      <c r="AG143" s="353">
        <v>2.12</v>
      </c>
      <c r="AH143" s="353">
        <v>2.12</v>
      </c>
      <c r="AI143" s="353">
        <v>2.12</v>
      </c>
      <c r="AJ143" s="353">
        <v>2.12</v>
      </c>
      <c r="AK143" s="353">
        <v>2.12</v>
      </c>
      <c r="AL143" s="353">
        <v>2.12</v>
      </c>
      <c r="AM143" s="353">
        <v>2.12</v>
      </c>
      <c r="AN143" s="353">
        <v>2.11</v>
      </c>
      <c r="AO143" s="353">
        <v>2.11</v>
      </c>
      <c r="AP143" s="353">
        <v>2.11</v>
      </c>
      <c r="AQ143" s="353">
        <v>2.11</v>
      </c>
      <c r="AR143" s="353">
        <v>2.1</v>
      </c>
      <c r="AS143" s="353">
        <v>2.1</v>
      </c>
      <c r="AT143" s="353">
        <v>2.1</v>
      </c>
      <c r="AU143" s="353">
        <v>2.09</v>
      </c>
      <c r="AV143" s="353">
        <v>2.09</v>
      </c>
      <c r="AW143" s="353">
        <v>2.09</v>
      </c>
      <c r="AX143" s="353">
        <v>2.09</v>
      </c>
      <c r="AY143" s="353">
        <v>2.08</v>
      </c>
      <c r="AZ143" s="59">
        <v>8.9999999999999993E-3</v>
      </c>
      <c r="BA143" s="104">
        <f t="shared" si="12"/>
        <v>0.89999999999999991</v>
      </c>
      <c r="BC143" s="442">
        <v>2.64</v>
      </c>
      <c r="BD143" s="684">
        <f>BD$142+(BD$154-BD$142)/12*$BH143</f>
        <v>40870.166666666664</v>
      </c>
      <c r="BE143" s="684">
        <f t="shared" ref="BE143:BG153" si="13">BE$142+(BE$154-BE$142)/12*$BH143</f>
        <v>51598.083333333336</v>
      </c>
      <c r="BF143" s="684">
        <f t="shared" si="13"/>
        <v>33890.5</v>
      </c>
      <c r="BG143" s="684">
        <f t="shared" si="13"/>
        <v>35045.666666666664</v>
      </c>
      <c r="BH143" s="684">
        <v>1</v>
      </c>
    </row>
    <row r="144" spans="1:60">
      <c r="A144" s="107">
        <v>43921</v>
      </c>
      <c r="B144" s="353">
        <v>0.54</v>
      </c>
      <c r="C144" s="353">
        <v>0.6</v>
      </c>
      <c r="D144" s="353">
        <v>0.68</v>
      </c>
      <c r="E144" s="353">
        <v>0.8</v>
      </c>
      <c r="F144" s="353">
        <v>0.92</v>
      </c>
      <c r="G144" s="353">
        <v>1.05</v>
      </c>
      <c r="H144" s="353">
        <v>1.17</v>
      </c>
      <c r="I144" s="353">
        <v>1.29</v>
      </c>
      <c r="J144" s="353">
        <v>1.41</v>
      </c>
      <c r="K144" s="353">
        <v>1.52</v>
      </c>
      <c r="L144" s="353">
        <v>1.62</v>
      </c>
      <c r="M144" s="353">
        <v>1.7</v>
      </c>
      <c r="N144" s="353">
        <v>1.77</v>
      </c>
      <c r="O144" s="353">
        <v>1.84</v>
      </c>
      <c r="P144" s="442">
        <v>1.89</v>
      </c>
      <c r="Q144" s="353">
        <v>1.93</v>
      </c>
      <c r="R144" s="353">
        <v>1.97</v>
      </c>
      <c r="S144" s="353">
        <v>2</v>
      </c>
      <c r="T144" s="353">
        <v>2.0299999999999998</v>
      </c>
      <c r="U144" s="353">
        <v>2.0499999999999998</v>
      </c>
      <c r="V144" s="353">
        <v>2.06</v>
      </c>
      <c r="W144" s="353">
        <v>2.0699999999999998</v>
      </c>
      <c r="X144" s="353">
        <v>2.08</v>
      </c>
      <c r="Y144" s="353">
        <v>2.09</v>
      </c>
      <c r="Z144" s="353">
        <v>2.1</v>
      </c>
      <c r="AA144" s="353">
        <v>2.1</v>
      </c>
      <c r="AB144" s="353">
        <v>2.1</v>
      </c>
      <c r="AC144" s="353">
        <v>2.1</v>
      </c>
      <c r="AD144" s="353">
        <v>2.1</v>
      </c>
      <c r="AE144" s="353">
        <v>2.1</v>
      </c>
      <c r="AF144" s="353">
        <v>2.1</v>
      </c>
      <c r="AG144" s="353">
        <v>2.1</v>
      </c>
      <c r="AH144" s="353">
        <v>2.1</v>
      </c>
      <c r="AI144" s="353">
        <v>2.1</v>
      </c>
      <c r="AJ144" s="353">
        <v>2.1</v>
      </c>
      <c r="AK144" s="353">
        <v>2.1</v>
      </c>
      <c r="AL144" s="353">
        <v>2.1</v>
      </c>
      <c r="AM144" s="353">
        <v>2.09</v>
      </c>
      <c r="AN144" s="353">
        <v>2.09</v>
      </c>
      <c r="AO144" s="353">
        <v>2.09</v>
      </c>
      <c r="AP144" s="353">
        <v>2.09</v>
      </c>
      <c r="AQ144" s="353">
        <v>2.08</v>
      </c>
      <c r="AR144" s="353">
        <v>2.08</v>
      </c>
      <c r="AS144" s="353">
        <v>2.08</v>
      </c>
      <c r="AT144" s="353">
        <v>2.0699999999999998</v>
      </c>
      <c r="AU144" s="353">
        <v>2.0699999999999998</v>
      </c>
      <c r="AV144" s="353">
        <v>2.0699999999999998</v>
      </c>
      <c r="AW144" s="353">
        <v>2.0699999999999998</v>
      </c>
      <c r="AX144" s="353">
        <v>2.06</v>
      </c>
      <c r="AY144" s="353">
        <v>2.06</v>
      </c>
      <c r="AZ144" s="59">
        <v>8.9999999999999993E-3</v>
      </c>
      <c r="BA144" s="104">
        <f t="shared" si="12"/>
        <v>0.89999999999999991</v>
      </c>
      <c r="BC144" s="442">
        <v>2.61</v>
      </c>
      <c r="BD144" s="684">
        <f t="shared" ref="BD144:BD153" si="14">BD$142+(BD$154-BD$142)/12*$BH144</f>
        <v>41235.333333333336</v>
      </c>
      <c r="BE144" s="684">
        <f t="shared" si="13"/>
        <v>52647.166666666664</v>
      </c>
      <c r="BF144" s="684">
        <f t="shared" si="13"/>
        <v>34218</v>
      </c>
      <c r="BG144" s="684">
        <f t="shared" si="13"/>
        <v>35817.333333333336</v>
      </c>
      <c r="BH144" s="684">
        <v>2</v>
      </c>
    </row>
    <row r="145" spans="1:60">
      <c r="A145" s="107">
        <v>43951</v>
      </c>
      <c r="B145" s="353">
        <v>0.54</v>
      </c>
      <c r="C145" s="353">
        <v>0.59</v>
      </c>
      <c r="D145" s="353">
        <v>0.67</v>
      </c>
      <c r="E145" s="353">
        <v>0.79</v>
      </c>
      <c r="F145" s="353">
        <v>0.91</v>
      </c>
      <c r="G145" s="353">
        <v>1.03</v>
      </c>
      <c r="H145" s="353">
        <v>1.1499999999999999</v>
      </c>
      <c r="I145" s="353">
        <v>1.28</v>
      </c>
      <c r="J145" s="353">
        <v>1.39</v>
      </c>
      <c r="K145" s="353">
        <v>1.5</v>
      </c>
      <c r="L145" s="353">
        <v>1.59</v>
      </c>
      <c r="M145" s="353">
        <v>1.68</v>
      </c>
      <c r="N145" s="353">
        <v>1.75</v>
      </c>
      <c r="O145" s="353">
        <v>1.81</v>
      </c>
      <c r="P145" s="442">
        <v>1.87</v>
      </c>
      <c r="Q145" s="353">
        <v>1.91</v>
      </c>
      <c r="R145" s="353">
        <v>1.94</v>
      </c>
      <c r="S145" s="353">
        <v>1.97</v>
      </c>
      <c r="T145" s="353">
        <v>2</v>
      </c>
      <c r="U145" s="353">
        <v>2.0299999999999998</v>
      </c>
      <c r="V145" s="353">
        <v>2.04</v>
      </c>
      <c r="W145" s="353">
        <v>2.0499999999999998</v>
      </c>
      <c r="X145" s="353">
        <v>2.06</v>
      </c>
      <c r="Y145" s="353">
        <v>2.06</v>
      </c>
      <c r="Z145" s="353">
        <v>2.0699999999999998</v>
      </c>
      <c r="AA145" s="353">
        <v>2.0699999999999998</v>
      </c>
      <c r="AB145" s="353">
        <v>2.0699999999999998</v>
      </c>
      <c r="AC145" s="353">
        <v>2.0699999999999998</v>
      </c>
      <c r="AD145" s="353">
        <v>2.08</v>
      </c>
      <c r="AE145" s="353">
        <v>2.08</v>
      </c>
      <c r="AF145" s="353">
        <v>2.0699999999999998</v>
      </c>
      <c r="AG145" s="353">
        <v>2.0699999999999998</v>
      </c>
      <c r="AH145" s="353">
        <v>2.0699999999999998</v>
      </c>
      <c r="AI145" s="353">
        <v>2.0699999999999998</v>
      </c>
      <c r="AJ145" s="353">
        <v>2.0699999999999998</v>
      </c>
      <c r="AK145" s="353">
        <v>2.0699999999999998</v>
      </c>
      <c r="AL145" s="353">
        <v>2.0699999999999998</v>
      </c>
      <c r="AM145" s="353">
        <v>2.06</v>
      </c>
      <c r="AN145" s="353">
        <v>2.06</v>
      </c>
      <c r="AO145" s="353">
        <v>2.06</v>
      </c>
      <c r="AP145" s="353">
        <v>2.06</v>
      </c>
      <c r="AQ145" s="353">
        <v>2.0499999999999998</v>
      </c>
      <c r="AR145" s="353">
        <v>2.0499999999999998</v>
      </c>
      <c r="AS145" s="353">
        <v>2.0499999999999998</v>
      </c>
      <c r="AT145" s="353">
        <v>2.04</v>
      </c>
      <c r="AU145" s="353">
        <v>2.04</v>
      </c>
      <c r="AV145" s="353">
        <v>2.04</v>
      </c>
      <c r="AW145" s="353">
        <v>2.0299999999999998</v>
      </c>
      <c r="AX145" s="353">
        <v>2.0299999999999998</v>
      </c>
      <c r="AY145" s="353">
        <v>2.0299999999999998</v>
      </c>
      <c r="AZ145" s="59">
        <v>8.9999999999999993E-3</v>
      </c>
      <c r="BA145" s="104">
        <f t="shared" si="12"/>
        <v>0.89999999999999991</v>
      </c>
      <c r="BC145" s="442">
        <v>2.58</v>
      </c>
      <c r="BD145" s="684">
        <f t="shared" si="14"/>
        <v>41600.5</v>
      </c>
      <c r="BE145" s="684">
        <f t="shared" si="13"/>
        <v>53696.25</v>
      </c>
      <c r="BF145" s="684">
        <f t="shared" si="13"/>
        <v>34545.5</v>
      </c>
      <c r="BG145" s="684">
        <f t="shared" si="13"/>
        <v>36589</v>
      </c>
      <c r="BH145" s="684">
        <v>3</v>
      </c>
    </row>
    <row r="146" spans="1:60">
      <c r="A146" s="107">
        <v>43982</v>
      </c>
      <c r="B146" s="353">
        <v>0.53</v>
      </c>
      <c r="C146" s="353">
        <v>0.57999999999999996</v>
      </c>
      <c r="D146" s="353">
        <v>0.66</v>
      </c>
      <c r="E146" s="353">
        <v>0.77</v>
      </c>
      <c r="F146" s="353">
        <v>0.89</v>
      </c>
      <c r="G146" s="353">
        <v>1.02</v>
      </c>
      <c r="H146" s="353">
        <v>1.1399999999999999</v>
      </c>
      <c r="I146" s="353">
        <v>1.25</v>
      </c>
      <c r="J146" s="353">
        <v>1.37</v>
      </c>
      <c r="K146" s="353">
        <v>1.47</v>
      </c>
      <c r="L146" s="353">
        <v>1.57</v>
      </c>
      <c r="M146" s="353">
        <v>1.65</v>
      </c>
      <c r="N146" s="353">
        <v>1.72</v>
      </c>
      <c r="O146" s="353">
        <v>1.79</v>
      </c>
      <c r="P146" s="442">
        <v>1.84</v>
      </c>
      <c r="Q146" s="353">
        <v>1.88</v>
      </c>
      <c r="R146" s="353">
        <v>1.91</v>
      </c>
      <c r="S146" s="353">
        <v>1.95</v>
      </c>
      <c r="T146" s="353">
        <v>1.97</v>
      </c>
      <c r="U146" s="353">
        <v>2</v>
      </c>
      <c r="V146" s="353">
        <v>2.0099999999999998</v>
      </c>
      <c r="W146" s="353">
        <v>2.02</v>
      </c>
      <c r="X146" s="353">
        <v>2.0299999999999998</v>
      </c>
      <c r="Y146" s="353">
        <v>2.04</v>
      </c>
      <c r="Z146" s="353">
        <v>2.04</v>
      </c>
      <c r="AA146" s="353">
        <v>2.04</v>
      </c>
      <c r="AB146" s="353">
        <v>2.04</v>
      </c>
      <c r="AC146" s="353">
        <v>2.0499999999999998</v>
      </c>
      <c r="AD146" s="353">
        <v>2.0499999999999998</v>
      </c>
      <c r="AE146" s="353">
        <v>2.0499999999999998</v>
      </c>
      <c r="AF146" s="353">
        <v>2.04</v>
      </c>
      <c r="AG146" s="353">
        <v>2.04</v>
      </c>
      <c r="AH146" s="353">
        <v>2.04</v>
      </c>
      <c r="AI146" s="353">
        <v>2.04</v>
      </c>
      <c r="AJ146" s="353">
        <v>2.04</v>
      </c>
      <c r="AK146" s="353">
        <v>2.04</v>
      </c>
      <c r="AL146" s="353">
        <v>2.04</v>
      </c>
      <c r="AM146" s="353">
        <v>2.0299999999999998</v>
      </c>
      <c r="AN146" s="353">
        <v>2.0299999999999998</v>
      </c>
      <c r="AO146" s="353">
        <v>2.0299999999999998</v>
      </c>
      <c r="AP146" s="353">
        <v>2.0299999999999998</v>
      </c>
      <c r="AQ146" s="353">
        <v>2.02</v>
      </c>
      <c r="AR146" s="353">
        <v>2.02</v>
      </c>
      <c r="AS146" s="353">
        <v>2.0099999999999998</v>
      </c>
      <c r="AT146" s="353">
        <v>2.0099999999999998</v>
      </c>
      <c r="AU146" s="353">
        <v>2.0099999999999998</v>
      </c>
      <c r="AV146" s="353">
        <v>2</v>
      </c>
      <c r="AW146" s="353">
        <v>2</v>
      </c>
      <c r="AX146" s="353">
        <v>2</v>
      </c>
      <c r="AY146" s="353">
        <v>1.99</v>
      </c>
      <c r="AZ146" s="59">
        <v>8.9999999999999993E-3</v>
      </c>
      <c r="BA146" s="104">
        <f t="shared" si="12"/>
        <v>0.89999999999999991</v>
      </c>
      <c r="BC146" s="442">
        <v>2.54</v>
      </c>
      <c r="BD146" s="684">
        <f t="shared" si="14"/>
        <v>41965.666666666664</v>
      </c>
      <c r="BE146" s="684">
        <f t="shared" si="13"/>
        <v>54745.333333333336</v>
      </c>
      <c r="BF146" s="684">
        <f t="shared" si="13"/>
        <v>34873</v>
      </c>
      <c r="BG146" s="684">
        <f t="shared" si="13"/>
        <v>37360.666666666664</v>
      </c>
      <c r="BH146" s="684">
        <v>4</v>
      </c>
    </row>
    <row r="147" spans="1:60">
      <c r="A147" s="107">
        <v>44012</v>
      </c>
      <c r="B147" s="353">
        <v>0.52</v>
      </c>
      <c r="C147" s="353">
        <v>0.56999999999999995</v>
      </c>
      <c r="D147" s="353">
        <v>0.65</v>
      </c>
      <c r="E147" s="353">
        <v>0.76</v>
      </c>
      <c r="F147" s="353">
        <v>0.87</v>
      </c>
      <c r="G147" s="353">
        <v>0.99</v>
      </c>
      <c r="H147" s="353">
        <v>1.1100000000000001</v>
      </c>
      <c r="I147" s="353">
        <v>1.23</v>
      </c>
      <c r="J147" s="353">
        <v>1.34</v>
      </c>
      <c r="K147" s="353">
        <v>1.45</v>
      </c>
      <c r="L147" s="353">
        <v>1.54</v>
      </c>
      <c r="M147" s="353">
        <v>1.62</v>
      </c>
      <c r="N147" s="353">
        <v>1.69</v>
      </c>
      <c r="O147" s="353">
        <v>1.76</v>
      </c>
      <c r="P147" s="442">
        <v>1.81</v>
      </c>
      <c r="Q147" s="353">
        <v>1.85</v>
      </c>
      <c r="R147" s="353">
        <v>1.88</v>
      </c>
      <c r="S147" s="353">
        <v>1.91</v>
      </c>
      <c r="T147" s="353">
        <v>1.94</v>
      </c>
      <c r="U147" s="353">
        <v>1.97</v>
      </c>
      <c r="V147" s="353">
        <v>1.98</v>
      </c>
      <c r="W147" s="353">
        <v>1.99</v>
      </c>
      <c r="X147" s="353">
        <v>2</v>
      </c>
      <c r="Y147" s="353">
        <v>2</v>
      </c>
      <c r="Z147" s="353">
        <v>2.0099999999999998</v>
      </c>
      <c r="AA147" s="353">
        <v>2.0099999999999998</v>
      </c>
      <c r="AB147" s="353">
        <v>2.0099999999999998</v>
      </c>
      <c r="AC147" s="353">
        <v>2.0099999999999998</v>
      </c>
      <c r="AD147" s="353">
        <v>2.0099999999999998</v>
      </c>
      <c r="AE147" s="353">
        <v>2.0099999999999998</v>
      </c>
      <c r="AF147" s="353">
        <v>2.0099999999999998</v>
      </c>
      <c r="AG147" s="353">
        <v>2.0099999999999998</v>
      </c>
      <c r="AH147" s="353">
        <v>2.0099999999999998</v>
      </c>
      <c r="AI147" s="353">
        <v>2.0099999999999998</v>
      </c>
      <c r="AJ147" s="353">
        <v>2.0099999999999998</v>
      </c>
      <c r="AK147" s="353">
        <v>2</v>
      </c>
      <c r="AL147" s="353">
        <v>2</v>
      </c>
      <c r="AM147" s="353">
        <v>2</v>
      </c>
      <c r="AN147" s="353">
        <v>2</v>
      </c>
      <c r="AO147" s="353">
        <v>2</v>
      </c>
      <c r="AP147" s="353">
        <v>1.99</v>
      </c>
      <c r="AQ147" s="353">
        <v>1.99</v>
      </c>
      <c r="AR147" s="353">
        <v>1.98</v>
      </c>
      <c r="AS147" s="353">
        <v>1.98</v>
      </c>
      <c r="AT147" s="353">
        <v>1.98</v>
      </c>
      <c r="AU147" s="353">
        <v>1.97</v>
      </c>
      <c r="AV147" s="353">
        <v>1.97</v>
      </c>
      <c r="AW147" s="353">
        <v>1.97</v>
      </c>
      <c r="AX147" s="353">
        <v>1.96</v>
      </c>
      <c r="AY147" s="353">
        <v>1.96</v>
      </c>
      <c r="AZ147" s="59">
        <v>8.9999999999999993E-3</v>
      </c>
      <c r="BA147" s="104">
        <f t="shared" si="12"/>
        <v>0.89999999999999991</v>
      </c>
      <c r="BC147" s="442">
        <v>2.5099999999999998</v>
      </c>
      <c r="BD147" s="684">
        <f t="shared" si="14"/>
        <v>42330.833333333336</v>
      </c>
      <c r="BE147" s="684">
        <f t="shared" si="13"/>
        <v>55794.416666666664</v>
      </c>
      <c r="BF147" s="684">
        <f t="shared" si="13"/>
        <v>35200.5</v>
      </c>
      <c r="BG147" s="684">
        <f t="shared" si="13"/>
        <v>38132.333333333336</v>
      </c>
      <c r="BH147" s="684">
        <v>5</v>
      </c>
    </row>
    <row r="148" spans="1:60" s="113" customFormat="1" ht="12.75" customHeight="1">
      <c r="A148" s="107">
        <v>44043</v>
      </c>
      <c r="B148" s="353">
        <v>0.51</v>
      </c>
      <c r="C148" s="353">
        <v>0.55000000000000004</v>
      </c>
      <c r="D148" s="353">
        <v>0.63</v>
      </c>
      <c r="E148" s="353">
        <v>0.74</v>
      </c>
      <c r="F148" s="353">
        <v>0.85</v>
      </c>
      <c r="G148" s="353">
        <v>0.97</v>
      </c>
      <c r="H148" s="353">
        <v>1.0900000000000001</v>
      </c>
      <c r="I148" s="353">
        <v>1.2</v>
      </c>
      <c r="J148" s="353">
        <v>1.31</v>
      </c>
      <c r="K148" s="353">
        <v>1.42</v>
      </c>
      <c r="L148" s="353">
        <v>1.51</v>
      </c>
      <c r="M148" s="353">
        <v>1.59</v>
      </c>
      <c r="N148" s="353">
        <v>1.66</v>
      </c>
      <c r="O148" s="353">
        <v>1.72</v>
      </c>
      <c r="P148" s="442">
        <v>1.78</v>
      </c>
      <c r="Q148" s="353">
        <v>1.82</v>
      </c>
      <c r="R148" s="353">
        <v>1.85</v>
      </c>
      <c r="S148" s="353">
        <v>1.88</v>
      </c>
      <c r="T148" s="353">
        <v>1.91</v>
      </c>
      <c r="U148" s="353">
        <v>1.93</v>
      </c>
      <c r="V148" s="353">
        <v>1.94</v>
      </c>
      <c r="W148" s="353">
        <v>1.95</v>
      </c>
      <c r="X148" s="353">
        <v>1.96</v>
      </c>
      <c r="Y148" s="353">
        <v>1.97</v>
      </c>
      <c r="Z148" s="353">
        <v>1.98</v>
      </c>
      <c r="AA148" s="353">
        <v>1.98</v>
      </c>
      <c r="AB148" s="353">
        <v>1.98</v>
      </c>
      <c r="AC148" s="353">
        <v>1.98</v>
      </c>
      <c r="AD148" s="353">
        <v>1.98</v>
      </c>
      <c r="AE148" s="353">
        <v>1.98</v>
      </c>
      <c r="AF148" s="353">
        <v>1.98</v>
      </c>
      <c r="AG148" s="353">
        <v>1.98</v>
      </c>
      <c r="AH148" s="353">
        <v>1.97</v>
      </c>
      <c r="AI148" s="353">
        <v>1.97</v>
      </c>
      <c r="AJ148" s="353">
        <v>1.97</v>
      </c>
      <c r="AK148" s="353">
        <v>1.97</v>
      </c>
      <c r="AL148" s="353">
        <v>1.97</v>
      </c>
      <c r="AM148" s="353">
        <v>1.97</v>
      </c>
      <c r="AN148" s="353">
        <v>1.96</v>
      </c>
      <c r="AO148" s="353">
        <v>1.96</v>
      </c>
      <c r="AP148" s="353">
        <v>1.96</v>
      </c>
      <c r="AQ148" s="353">
        <v>1.95</v>
      </c>
      <c r="AR148" s="353">
        <v>1.95</v>
      </c>
      <c r="AS148" s="353">
        <v>1.94</v>
      </c>
      <c r="AT148" s="353">
        <v>1.94</v>
      </c>
      <c r="AU148" s="353">
        <v>1.94</v>
      </c>
      <c r="AV148" s="353">
        <v>1.93</v>
      </c>
      <c r="AW148" s="353">
        <v>1.93</v>
      </c>
      <c r="AX148" s="353">
        <v>1.93</v>
      </c>
      <c r="AY148" s="353">
        <v>1.92</v>
      </c>
      <c r="BC148" s="442">
        <v>2.4700000000000002</v>
      </c>
      <c r="BD148" s="684">
        <f t="shared" si="14"/>
        <v>42696</v>
      </c>
      <c r="BE148" s="684">
        <f t="shared" si="13"/>
        <v>56843.5</v>
      </c>
      <c r="BF148" s="684">
        <f t="shared" si="13"/>
        <v>35528</v>
      </c>
      <c r="BG148" s="684">
        <f t="shared" si="13"/>
        <v>38904</v>
      </c>
      <c r="BH148" s="684">
        <v>6</v>
      </c>
    </row>
    <row r="149" spans="1:60">
      <c r="A149" s="107">
        <v>44074</v>
      </c>
      <c r="B149" s="353">
        <v>0.49</v>
      </c>
      <c r="C149" s="353">
        <v>0.54</v>
      </c>
      <c r="D149" s="353">
        <v>0.61</v>
      </c>
      <c r="E149" s="353">
        <v>0.72</v>
      </c>
      <c r="F149" s="353">
        <v>0.83</v>
      </c>
      <c r="G149" s="353">
        <v>0.95</v>
      </c>
      <c r="H149" s="353">
        <v>1.06</v>
      </c>
      <c r="I149" s="353">
        <v>1.17</v>
      </c>
      <c r="J149" s="353">
        <v>1.28</v>
      </c>
      <c r="K149" s="353">
        <v>1.39</v>
      </c>
      <c r="L149" s="353">
        <v>1.48</v>
      </c>
      <c r="M149" s="353">
        <v>1.56</v>
      </c>
      <c r="N149" s="353">
        <v>1.63</v>
      </c>
      <c r="O149" s="353">
        <v>1.69</v>
      </c>
      <c r="P149" s="442">
        <v>1.74</v>
      </c>
      <c r="Q149" s="353">
        <v>1.78</v>
      </c>
      <c r="R149" s="353">
        <v>1.82</v>
      </c>
      <c r="S149" s="353">
        <v>1.85</v>
      </c>
      <c r="T149" s="353">
        <v>1.87</v>
      </c>
      <c r="U149" s="353">
        <v>1.9</v>
      </c>
      <c r="V149" s="353">
        <v>1.91</v>
      </c>
      <c r="W149" s="353">
        <v>1.92</v>
      </c>
      <c r="X149" s="353">
        <v>1.93</v>
      </c>
      <c r="Y149" s="353">
        <v>1.94</v>
      </c>
      <c r="Z149" s="353">
        <v>1.94</v>
      </c>
      <c r="AA149" s="353">
        <v>1.95</v>
      </c>
      <c r="AB149" s="353">
        <v>1.95</v>
      </c>
      <c r="AC149" s="353">
        <v>1.95</v>
      </c>
      <c r="AD149" s="353">
        <v>1.95</v>
      </c>
      <c r="AE149" s="353">
        <v>1.95</v>
      </c>
      <c r="AF149" s="353">
        <v>1.94</v>
      </c>
      <c r="AG149" s="353">
        <v>1.94</v>
      </c>
      <c r="AH149" s="353">
        <v>1.94</v>
      </c>
      <c r="AI149" s="353">
        <v>1.94</v>
      </c>
      <c r="AJ149" s="353">
        <v>1.94</v>
      </c>
      <c r="AK149" s="353">
        <v>1.94</v>
      </c>
      <c r="AL149" s="353">
        <v>1.93</v>
      </c>
      <c r="AM149" s="353">
        <v>1.93</v>
      </c>
      <c r="AN149" s="353">
        <v>1.93</v>
      </c>
      <c r="AO149" s="353">
        <v>1.93</v>
      </c>
      <c r="AP149" s="353">
        <v>1.92</v>
      </c>
      <c r="AQ149" s="353">
        <v>1.92</v>
      </c>
      <c r="AR149" s="353">
        <v>1.91</v>
      </c>
      <c r="AS149" s="353">
        <v>1.91</v>
      </c>
      <c r="AT149" s="353">
        <v>1.91</v>
      </c>
      <c r="AU149" s="353">
        <v>1.9</v>
      </c>
      <c r="AV149" s="353">
        <v>1.9</v>
      </c>
      <c r="AW149" s="353">
        <v>1.89</v>
      </c>
      <c r="AX149" s="353">
        <v>1.89</v>
      </c>
      <c r="AY149" s="353">
        <v>1.89</v>
      </c>
      <c r="BC149" s="442">
        <v>2.4500000000000002</v>
      </c>
      <c r="BD149" s="684">
        <f t="shared" si="14"/>
        <v>43061.166666666664</v>
      </c>
      <c r="BE149" s="684">
        <f t="shared" si="13"/>
        <v>57892.583333333336</v>
      </c>
      <c r="BF149" s="684">
        <f t="shared" si="13"/>
        <v>35855.5</v>
      </c>
      <c r="BG149" s="684">
        <f t="shared" si="13"/>
        <v>39675.666666666664</v>
      </c>
      <c r="BH149" s="684">
        <v>7</v>
      </c>
    </row>
    <row r="150" spans="1:60">
      <c r="A150" s="107">
        <v>44104</v>
      </c>
      <c r="B150" s="353">
        <v>0.48</v>
      </c>
      <c r="C150" s="353">
        <v>0.52</v>
      </c>
      <c r="D150" s="353">
        <v>0.6</v>
      </c>
      <c r="E150" s="353">
        <v>0.7</v>
      </c>
      <c r="F150" s="353">
        <v>0.8</v>
      </c>
      <c r="G150" s="353">
        <v>0.92</v>
      </c>
      <c r="H150" s="353">
        <v>1.03</v>
      </c>
      <c r="I150" s="353">
        <v>1.1499999999999999</v>
      </c>
      <c r="J150" s="353">
        <v>1.25</v>
      </c>
      <c r="K150" s="353">
        <v>1.36</v>
      </c>
      <c r="L150" s="353">
        <v>1.45</v>
      </c>
      <c r="M150" s="353">
        <v>1.53</v>
      </c>
      <c r="N150" s="353">
        <v>1.6</v>
      </c>
      <c r="O150" s="353">
        <v>1.66</v>
      </c>
      <c r="P150" s="442">
        <v>1.71</v>
      </c>
      <c r="Q150" s="353">
        <v>1.75</v>
      </c>
      <c r="R150" s="353">
        <v>1.78</v>
      </c>
      <c r="S150" s="353">
        <v>1.81</v>
      </c>
      <c r="T150" s="353">
        <v>1.84</v>
      </c>
      <c r="U150" s="353">
        <v>1.86</v>
      </c>
      <c r="V150" s="353">
        <v>1.88</v>
      </c>
      <c r="W150" s="353">
        <v>1.89</v>
      </c>
      <c r="X150" s="353">
        <v>1.89</v>
      </c>
      <c r="Y150" s="353">
        <v>1.9</v>
      </c>
      <c r="Z150" s="353">
        <v>1.91</v>
      </c>
      <c r="AA150" s="353">
        <v>1.91</v>
      </c>
      <c r="AB150" s="353">
        <v>1.91</v>
      </c>
      <c r="AC150" s="353">
        <v>1.91</v>
      </c>
      <c r="AD150" s="353">
        <v>1.91</v>
      </c>
      <c r="AE150" s="353">
        <v>1.91</v>
      </c>
      <c r="AF150" s="353">
        <v>1.91</v>
      </c>
      <c r="AG150" s="353">
        <v>1.91</v>
      </c>
      <c r="AH150" s="353">
        <v>1.91</v>
      </c>
      <c r="AI150" s="353">
        <v>1.9</v>
      </c>
      <c r="AJ150" s="353">
        <v>1.9</v>
      </c>
      <c r="AK150" s="353">
        <v>1.9</v>
      </c>
      <c r="AL150" s="353">
        <v>1.9</v>
      </c>
      <c r="AM150" s="353">
        <v>1.9</v>
      </c>
      <c r="AN150" s="353">
        <v>1.9</v>
      </c>
      <c r="AO150" s="353">
        <v>1.89</v>
      </c>
      <c r="AP150" s="353">
        <v>1.89</v>
      </c>
      <c r="AQ150" s="353">
        <v>1.88</v>
      </c>
      <c r="AR150" s="353">
        <v>1.88</v>
      </c>
      <c r="AS150" s="353">
        <v>1.87</v>
      </c>
      <c r="AT150" s="353">
        <v>1.87</v>
      </c>
      <c r="AU150" s="353">
        <v>1.87</v>
      </c>
      <c r="AV150" s="353">
        <v>1.86</v>
      </c>
      <c r="AW150" s="353">
        <v>1.86</v>
      </c>
      <c r="AX150" s="353">
        <v>1.85</v>
      </c>
      <c r="AY150" s="353">
        <v>1.85</v>
      </c>
      <c r="BC150" s="442">
        <v>2.41</v>
      </c>
      <c r="BD150" s="684">
        <f t="shared" si="14"/>
        <v>43426.333333333336</v>
      </c>
      <c r="BE150" s="684">
        <f t="shared" si="13"/>
        <v>58941.666666666664</v>
      </c>
      <c r="BF150" s="684">
        <f t="shared" si="13"/>
        <v>36183</v>
      </c>
      <c r="BG150" s="684">
        <f t="shared" si="13"/>
        <v>40447.333333333336</v>
      </c>
      <c r="BH150" s="684">
        <v>8</v>
      </c>
    </row>
    <row r="151" spans="1:60">
      <c r="A151" s="107">
        <v>44135</v>
      </c>
      <c r="B151" s="353">
        <v>0.47</v>
      </c>
      <c r="C151" s="353">
        <v>0.51</v>
      </c>
      <c r="D151" s="353">
        <v>0.57999999999999996</v>
      </c>
      <c r="E151" s="353">
        <v>0.68</v>
      </c>
      <c r="F151" s="353">
        <v>0.78</v>
      </c>
      <c r="G151" s="353">
        <v>0.9</v>
      </c>
      <c r="H151" s="353">
        <v>1.01</v>
      </c>
      <c r="I151" s="353">
        <v>1.1200000000000001</v>
      </c>
      <c r="J151" s="353">
        <v>1.22</v>
      </c>
      <c r="K151" s="353">
        <v>1.33</v>
      </c>
      <c r="L151" s="353">
        <v>1.42</v>
      </c>
      <c r="M151" s="353">
        <v>1.49</v>
      </c>
      <c r="N151" s="353">
        <v>1.56</v>
      </c>
      <c r="O151" s="353">
        <v>1.62</v>
      </c>
      <c r="P151" s="442">
        <v>1.68</v>
      </c>
      <c r="Q151" s="353">
        <v>1.71</v>
      </c>
      <c r="R151" s="353">
        <v>1.75</v>
      </c>
      <c r="S151" s="353">
        <v>1.78</v>
      </c>
      <c r="T151" s="353">
        <v>1.81</v>
      </c>
      <c r="U151" s="353">
        <v>1.83</v>
      </c>
      <c r="V151" s="353">
        <v>1.84</v>
      </c>
      <c r="W151" s="353">
        <v>1.85</v>
      </c>
      <c r="X151" s="353">
        <v>1.86</v>
      </c>
      <c r="Y151" s="353">
        <v>1.87</v>
      </c>
      <c r="Z151" s="353">
        <v>1.87</v>
      </c>
      <c r="AA151" s="353">
        <v>1.88</v>
      </c>
      <c r="AB151" s="353">
        <v>1.88</v>
      </c>
      <c r="AC151" s="353">
        <v>1.88</v>
      </c>
      <c r="AD151" s="353">
        <v>1.88</v>
      </c>
      <c r="AE151" s="353">
        <v>1.88</v>
      </c>
      <c r="AF151" s="353">
        <v>1.87</v>
      </c>
      <c r="AG151" s="353">
        <v>1.87</v>
      </c>
      <c r="AH151" s="353">
        <v>1.87</v>
      </c>
      <c r="AI151" s="353">
        <v>1.87</v>
      </c>
      <c r="AJ151" s="353">
        <v>1.87</v>
      </c>
      <c r="AK151" s="353">
        <v>1.86</v>
      </c>
      <c r="AL151" s="353">
        <v>1.86</v>
      </c>
      <c r="AM151" s="353">
        <v>1.86</v>
      </c>
      <c r="AN151" s="353">
        <v>1.86</v>
      </c>
      <c r="AO151" s="353">
        <v>1.86</v>
      </c>
      <c r="AP151" s="353">
        <v>1.85</v>
      </c>
      <c r="AQ151" s="353">
        <v>1.85</v>
      </c>
      <c r="AR151" s="353">
        <v>1.84</v>
      </c>
      <c r="AS151" s="353">
        <v>1.84</v>
      </c>
      <c r="AT151" s="353">
        <v>1.83</v>
      </c>
      <c r="AU151" s="353">
        <v>1.83</v>
      </c>
      <c r="AV151" s="353">
        <v>1.82</v>
      </c>
      <c r="AW151" s="353">
        <v>1.82</v>
      </c>
      <c r="AX151" s="353">
        <v>1.82</v>
      </c>
      <c r="AY151" s="353">
        <v>1.81</v>
      </c>
      <c r="BC151" s="442">
        <v>2.38</v>
      </c>
      <c r="BD151" s="684">
        <f t="shared" si="14"/>
        <v>43791.5</v>
      </c>
      <c r="BE151" s="684">
        <f t="shared" si="13"/>
        <v>59990.75</v>
      </c>
      <c r="BF151" s="684">
        <f t="shared" si="13"/>
        <v>36510.5</v>
      </c>
      <c r="BG151" s="684">
        <f t="shared" si="13"/>
        <v>41219</v>
      </c>
      <c r="BH151" s="684">
        <v>9</v>
      </c>
    </row>
    <row r="152" spans="1:60">
      <c r="A152" s="107">
        <v>44165</v>
      </c>
      <c r="B152" s="353">
        <v>0.45</v>
      </c>
      <c r="C152" s="353">
        <v>0.49</v>
      </c>
      <c r="D152" s="353">
        <v>0.56000000000000005</v>
      </c>
      <c r="E152" s="353">
        <v>0.66</v>
      </c>
      <c r="F152" s="353">
        <v>0.76</v>
      </c>
      <c r="G152" s="353">
        <v>0.87</v>
      </c>
      <c r="H152" s="353">
        <v>0.98</v>
      </c>
      <c r="I152" s="353">
        <v>1.0900000000000001</v>
      </c>
      <c r="J152" s="353">
        <v>1.19</v>
      </c>
      <c r="K152" s="353">
        <v>1.29</v>
      </c>
      <c r="L152" s="353">
        <v>1.38</v>
      </c>
      <c r="M152" s="353">
        <v>1.46</v>
      </c>
      <c r="N152" s="353">
        <v>1.53</v>
      </c>
      <c r="O152" s="353">
        <v>1.59</v>
      </c>
      <c r="P152" s="442">
        <v>1.64</v>
      </c>
      <c r="Q152" s="353">
        <v>1.68</v>
      </c>
      <c r="R152" s="353">
        <v>1.71</v>
      </c>
      <c r="S152" s="353">
        <v>1.74</v>
      </c>
      <c r="T152" s="353">
        <v>1.77</v>
      </c>
      <c r="U152" s="353">
        <v>1.79</v>
      </c>
      <c r="V152" s="353">
        <v>1.8</v>
      </c>
      <c r="W152" s="353">
        <v>1.81</v>
      </c>
      <c r="X152" s="353">
        <v>1.82</v>
      </c>
      <c r="Y152" s="353">
        <v>1.83</v>
      </c>
      <c r="Z152" s="353">
        <v>1.84</v>
      </c>
      <c r="AA152" s="353">
        <v>1.84</v>
      </c>
      <c r="AB152" s="353">
        <v>1.84</v>
      </c>
      <c r="AC152" s="353">
        <v>1.84</v>
      </c>
      <c r="AD152" s="353">
        <v>1.84</v>
      </c>
      <c r="AE152" s="353">
        <v>1.84</v>
      </c>
      <c r="AF152" s="353">
        <v>1.84</v>
      </c>
      <c r="AG152" s="353">
        <v>1.83</v>
      </c>
      <c r="AH152" s="353">
        <v>1.83</v>
      </c>
      <c r="AI152" s="353">
        <v>1.83</v>
      </c>
      <c r="AJ152" s="353">
        <v>1.83</v>
      </c>
      <c r="AK152" s="353">
        <v>1.83</v>
      </c>
      <c r="AL152" s="353">
        <v>1.82</v>
      </c>
      <c r="AM152" s="353">
        <v>1.82</v>
      </c>
      <c r="AN152" s="353">
        <v>1.82</v>
      </c>
      <c r="AO152" s="353">
        <v>1.82</v>
      </c>
      <c r="AP152" s="353">
        <v>1.81</v>
      </c>
      <c r="AQ152" s="353">
        <v>1.81</v>
      </c>
      <c r="AR152" s="353">
        <v>1.8</v>
      </c>
      <c r="AS152" s="353">
        <v>1.8</v>
      </c>
      <c r="AT152" s="353">
        <v>1.79</v>
      </c>
      <c r="AU152" s="353">
        <v>1.79</v>
      </c>
      <c r="AV152" s="353">
        <v>1.79</v>
      </c>
      <c r="AW152" s="353">
        <v>1.78</v>
      </c>
      <c r="AX152" s="353">
        <v>1.78</v>
      </c>
      <c r="AY152" s="353">
        <v>1.77</v>
      </c>
      <c r="BC152" s="442">
        <v>2.34</v>
      </c>
      <c r="BD152" s="684">
        <f t="shared" si="14"/>
        <v>44156.666666666664</v>
      </c>
      <c r="BE152" s="684">
        <f t="shared" si="13"/>
        <v>61039.833333333328</v>
      </c>
      <c r="BF152" s="684">
        <f t="shared" si="13"/>
        <v>36838</v>
      </c>
      <c r="BG152" s="684">
        <f t="shared" si="13"/>
        <v>41990.666666666664</v>
      </c>
      <c r="BH152" s="684">
        <v>10</v>
      </c>
    </row>
    <row r="153" spans="1:60">
      <c r="A153" s="107">
        <v>44196</v>
      </c>
      <c r="B153" s="353">
        <v>0.44</v>
      </c>
      <c r="C153" s="353">
        <v>0.47</v>
      </c>
      <c r="D153" s="353">
        <v>0.54</v>
      </c>
      <c r="E153" s="353">
        <v>0.64</v>
      </c>
      <c r="F153" s="353">
        <v>0.74</v>
      </c>
      <c r="G153" s="353">
        <v>0.84</v>
      </c>
      <c r="H153" s="353">
        <v>0.95</v>
      </c>
      <c r="I153" s="353">
        <v>1.06</v>
      </c>
      <c r="J153" s="353">
        <v>1.1599999999999999</v>
      </c>
      <c r="K153" s="353">
        <v>1.26</v>
      </c>
      <c r="L153" s="353">
        <v>1.35</v>
      </c>
      <c r="M153" s="353">
        <v>1.42</v>
      </c>
      <c r="N153" s="353">
        <v>1.49</v>
      </c>
      <c r="O153" s="353">
        <v>1.55</v>
      </c>
      <c r="P153" s="442">
        <v>1.6</v>
      </c>
      <c r="Q153" s="353">
        <v>1.64</v>
      </c>
      <c r="R153" s="353">
        <v>1.67</v>
      </c>
      <c r="S153" s="353">
        <v>1.7</v>
      </c>
      <c r="T153" s="353">
        <v>1.73</v>
      </c>
      <c r="U153" s="353">
        <v>1.75</v>
      </c>
      <c r="V153" s="353">
        <v>1.77</v>
      </c>
      <c r="W153" s="353">
        <v>1.77</v>
      </c>
      <c r="X153" s="353">
        <v>1.78</v>
      </c>
      <c r="Y153" s="353">
        <v>1.79</v>
      </c>
      <c r="Z153" s="353">
        <v>1.8</v>
      </c>
      <c r="AA153" s="353">
        <v>1.8</v>
      </c>
      <c r="AB153" s="353">
        <v>1.8</v>
      </c>
      <c r="AC153" s="353">
        <v>1.8</v>
      </c>
      <c r="AD153" s="353">
        <v>1.8</v>
      </c>
      <c r="AE153" s="353">
        <v>1.8</v>
      </c>
      <c r="AF153" s="353">
        <v>1.8</v>
      </c>
      <c r="AG153" s="353">
        <v>1.8</v>
      </c>
      <c r="AH153" s="353">
        <v>1.79</v>
      </c>
      <c r="AI153" s="353">
        <v>1.79</v>
      </c>
      <c r="AJ153" s="353">
        <v>1.79</v>
      </c>
      <c r="AK153" s="353">
        <v>1.79</v>
      </c>
      <c r="AL153" s="353">
        <v>1.79</v>
      </c>
      <c r="AM153" s="353">
        <v>1.78</v>
      </c>
      <c r="AN153" s="353">
        <v>1.78</v>
      </c>
      <c r="AO153" s="353">
        <v>1.78</v>
      </c>
      <c r="AP153" s="353">
        <v>1.77</v>
      </c>
      <c r="AQ153" s="353">
        <v>1.77</v>
      </c>
      <c r="AR153" s="353">
        <v>1.76</v>
      </c>
      <c r="AS153" s="353">
        <v>1.76</v>
      </c>
      <c r="AT153" s="353">
        <v>1.75</v>
      </c>
      <c r="AU153" s="353">
        <v>1.75</v>
      </c>
      <c r="AV153" s="353">
        <v>1.75</v>
      </c>
      <c r="AW153" s="353">
        <v>1.74</v>
      </c>
      <c r="AX153" s="353">
        <v>1.74</v>
      </c>
      <c r="AY153" s="353">
        <v>1.73</v>
      </c>
      <c r="BC153" s="442">
        <v>2.2999999999999998</v>
      </c>
      <c r="BD153" s="684">
        <f t="shared" si="14"/>
        <v>44521.833333333336</v>
      </c>
      <c r="BE153" s="684">
        <f t="shared" si="13"/>
        <v>62088.916666666664</v>
      </c>
      <c r="BF153" s="684">
        <f t="shared" si="13"/>
        <v>37165.5</v>
      </c>
      <c r="BG153" s="684">
        <f t="shared" si="13"/>
        <v>42762.333333333328</v>
      </c>
      <c r="BH153" s="684">
        <v>11</v>
      </c>
    </row>
    <row r="154" spans="1:60" s="113" customFormat="1" ht="12.75" customHeight="1">
      <c r="A154" s="107">
        <v>44227</v>
      </c>
      <c r="B154" s="353">
        <v>0.42</v>
      </c>
      <c r="C154" s="353">
        <v>0.46</v>
      </c>
      <c r="D154" s="353">
        <v>0.52</v>
      </c>
      <c r="E154" s="353">
        <v>0.62</v>
      </c>
      <c r="F154" s="353">
        <v>0.71</v>
      </c>
      <c r="G154" s="353">
        <v>0.82</v>
      </c>
      <c r="H154" s="353">
        <v>0.93</v>
      </c>
      <c r="I154" s="353">
        <v>1.03</v>
      </c>
      <c r="J154" s="353">
        <v>1.1299999999999999</v>
      </c>
      <c r="K154" s="353">
        <v>1.23</v>
      </c>
      <c r="L154" s="353">
        <v>1.32</v>
      </c>
      <c r="M154" s="353">
        <v>1.39</v>
      </c>
      <c r="N154" s="353">
        <v>1.46</v>
      </c>
      <c r="O154" s="353">
        <v>1.52</v>
      </c>
      <c r="P154" s="442">
        <v>1.57</v>
      </c>
      <c r="Q154" s="353">
        <v>1.61</v>
      </c>
      <c r="R154" s="353">
        <v>1.64</v>
      </c>
      <c r="S154" s="353">
        <v>1.67</v>
      </c>
      <c r="T154" s="353">
        <v>1.7</v>
      </c>
      <c r="U154" s="353">
        <v>1.72</v>
      </c>
      <c r="V154" s="353">
        <v>1.73</v>
      </c>
      <c r="W154" s="353">
        <v>1.74</v>
      </c>
      <c r="X154" s="353">
        <v>1.75</v>
      </c>
      <c r="Y154" s="353">
        <v>1.76</v>
      </c>
      <c r="Z154" s="353">
        <v>1.77</v>
      </c>
      <c r="AA154" s="353">
        <v>1.77</v>
      </c>
      <c r="AB154" s="353">
        <v>1.77</v>
      </c>
      <c r="AC154" s="353">
        <v>1.77</v>
      </c>
      <c r="AD154" s="353">
        <v>1.77</v>
      </c>
      <c r="AE154" s="353">
        <v>1.77</v>
      </c>
      <c r="AF154" s="353">
        <v>1.77</v>
      </c>
      <c r="AG154" s="353">
        <v>1.76</v>
      </c>
      <c r="AH154" s="353">
        <v>1.76</v>
      </c>
      <c r="AI154" s="353">
        <v>1.76</v>
      </c>
      <c r="AJ154" s="353">
        <v>1.76</v>
      </c>
      <c r="AK154" s="353">
        <v>1.75</v>
      </c>
      <c r="AL154" s="353">
        <v>1.75</v>
      </c>
      <c r="AM154" s="353">
        <v>1.75</v>
      </c>
      <c r="AN154" s="353">
        <v>1.75</v>
      </c>
      <c r="AO154" s="353">
        <v>1.75</v>
      </c>
      <c r="AP154" s="353">
        <v>1.74</v>
      </c>
      <c r="AQ154" s="353">
        <v>1.74</v>
      </c>
      <c r="AR154" s="353">
        <v>1.73</v>
      </c>
      <c r="AS154" s="353">
        <v>1.72</v>
      </c>
      <c r="AT154" s="353">
        <v>1.72</v>
      </c>
      <c r="AU154" s="353">
        <v>1.72</v>
      </c>
      <c r="AV154" s="353">
        <v>1.71</v>
      </c>
      <c r="AW154" s="353">
        <v>1.71</v>
      </c>
      <c r="AX154" s="353">
        <v>1.7</v>
      </c>
      <c r="AY154" s="353">
        <v>1.7</v>
      </c>
      <c r="BC154" s="442">
        <v>2.2599999999999998</v>
      </c>
      <c r="BD154" s="685">
        <v>44887</v>
      </c>
      <c r="BE154" s="685">
        <v>63138</v>
      </c>
      <c r="BF154" s="685">
        <v>37493</v>
      </c>
      <c r="BG154" s="685">
        <v>43534</v>
      </c>
    </row>
    <row r="155" spans="1:60">
      <c r="A155" s="107">
        <v>44255</v>
      </c>
      <c r="B155" s="353">
        <v>0.41</v>
      </c>
      <c r="C155" s="353">
        <v>0.44</v>
      </c>
      <c r="D155" s="353">
        <v>0.51</v>
      </c>
      <c r="E155" s="353">
        <v>0.6</v>
      </c>
      <c r="F155" s="353">
        <v>0.69</v>
      </c>
      <c r="G155" s="353">
        <v>0.8</v>
      </c>
      <c r="H155" s="353">
        <v>0.9</v>
      </c>
      <c r="I155" s="353">
        <v>1.01</v>
      </c>
      <c r="J155" s="353">
        <v>1.1100000000000001</v>
      </c>
      <c r="K155" s="353">
        <v>1.21</v>
      </c>
      <c r="L155" s="353">
        <v>1.29</v>
      </c>
      <c r="M155" s="353">
        <v>1.37</v>
      </c>
      <c r="N155" s="353">
        <v>1.43</v>
      </c>
      <c r="O155" s="353">
        <v>1.49</v>
      </c>
      <c r="P155" s="442">
        <v>1.54</v>
      </c>
      <c r="Q155" s="353">
        <v>1.58</v>
      </c>
      <c r="R155" s="353">
        <v>1.61</v>
      </c>
      <c r="S155" s="353">
        <v>1.64</v>
      </c>
      <c r="T155" s="353">
        <v>1.67</v>
      </c>
      <c r="U155" s="353">
        <v>1.69</v>
      </c>
      <c r="V155" s="353">
        <v>1.7</v>
      </c>
      <c r="W155" s="353">
        <v>1.71</v>
      </c>
      <c r="X155" s="353">
        <v>1.72</v>
      </c>
      <c r="Y155" s="353">
        <v>1.73</v>
      </c>
      <c r="Z155" s="353">
        <v>1.74</v>
      </c>
      <c r="AA155" s="353">
        <v>1.74</v>
      </c>
      <c r="AB155" s="353">
        <v>1.74</v>
      </c>
      <c r="AC155" s="353">
        <v>1.74</v>
      </c>
      <c r="AD155" s="353">
        <v>1.74</v>
      </c>
      <c r="AE155" s="353">
        <v>1.74</v>
      </c>
      <c r="AF155" s="353">
        <v>1.74</v>
      </c>
      <c r="AG155" s="353">
        <v>1.73</v>
      </c>
      <c r="AH155" s="353">
        <v>1.73</v>
      </c>
      <c r="AI155" s="353">
        <v>1.73</v>
      </c>
      <c r="AJ155" s="353">
        <v>1.73</v>
      </c>
      <c r="AK155" s="353">
        <v>1.72</v>
      </c>
      <c r="AL155" s="353">
        <v>1.72</v>
      </c>
      <c r="AM155" s="353">
        <v>1.72</v>
      </c>
      <c r="AN155" s="353">
        <v>1.72</v>
      </c>
      <c r="AO155" s="353">
        <v>1.72</v>
      </c>
      <c r="AP155" s="353">
        <v>1.71</v>
      </c>
      <c r="AQ155" s="353">
        <v>1.7</v>
      </c>
      <c r="AR155" s="353">
        <v>1.7</v>
      </c>
      <c r="AS155" s="353">
        <v>1.69</v>
      </c>
      <c r="AT155" s="353">
        <v>1.69</v>
      </c>
      <c r="AU155" s="353">
        <v>1.68</v>
      </c>
      <c r="AV155" s="353">
        <v>1.68</v>
      </c>
      <c r="AW155" s="353">
        <v>1.68</v>
      </c>
      <c r="AX155" s="353">
        <v>1.67</v>
      </c>
      <c r="AY155" s="353">
        <v>1.67</v>
      </c>
      <c r="BC155" s="442">
        <v>2.23</v>
      </c>
      <c r="BD155" s="684">
        <f>BD$154+(BD$166-BD$154)/12*$BH155</f>
        <v>45168.25</v>
      </c>
      <c r="BE155" s="684">
        <f t="shared" ref="BE155:BG165" si="15">BE$154+(BE$166-BE$154)/12*$BH155</f>
        <v>64405.916666666664</v>
      </c>
      <c r="BF155" s="684">
        <f t="shared" si="15"/>
        <v>37881.833333333336</v>
      </c>
      <c r="BG155" s="684">
        <f t="shared" si="15"/>
        <v>44845.5</v>
      </c>
      <c r="BH155" s="684">
        <v>1</v>
      </c>
    </row>
    <row r="156" spans="1:60">
      <c r="A156" s="107">
        <v>44286</v>
      </c>
      <c r="B156" s="353">
        <v>0.4</v>
      </c>
      <c r="C156" s="353">
        <v>0.43</v>
      </c>
      <c r="D156" s="353">
        <v>0.49</v>
      </c>
      <c r="E156" s="353">
        <v>0.57999999999999996</v>
      </c>
      <c r="F156" s="353">
        <v>0.68</v>
      </c>
      <c r="G156" s="353">
        <v>0.78</v>
      </c>
      <c r="H156" s="353">
        <v>0.88</v>
      </c>
      <c r="I156" s="353">
        <v>0.99</v>
      </c>
      <c r="J156" s="353">
        <v>1.08</v>
      </c>
      <c r="K156" s="353">
        <v>1.18</v>
      </c>
      <c r="L156" s="353">
        <v>1.27</v>
      </c>
      <c r="M156" s="353">
        <v>1.34</v>
      </c>
      <c r="N156" s="353">
        <v>1.41</v>
      </c>
      <c r="O156" s="353">
        <v>1.46</v>
      </c>
      <c r="P156" s="442">
        <v>1.51</v>
      </c>
      <c r="Q156" s="353">
        <v>1.55</v>
      </c>
      <c r="R156" s="353">
        <v>1.58</v>
      </c>
      <c r="S156" s="353">
        <v>1.61</v>
      </c>
      <c r="T156" s="353">
        <v>1.64</v>
      </c>
      <c r="U156" s="353">
        <v>1.66</v>
      </c>
      <c r="V156" s="353">
        <v>1.67</v>
      </c>
      <c r="W156" s="353">
        <v>1.68</v>
      </c>
      <c r="X156" s="353">
        <v>1.69</v>
      </c>
      <c r="Y156" s="353">
        <v>1.7</v>
      </c>
      <c r="Z156" s="353">
        <v>1.71</v>
      </c>
      <c r="AA156" s="353">
        <v>1.71</v>
      </c>
      <c r="AB156" s="353">
        <v>1.71</v>
      </c>
      <c r="AC156" s="353">
        <v>1.71</v>
      </c>
      <c r="AD156" s="353">
        <v>1.71</v>
      </c>
      <c r="AE156" s="353">
        <v>1.71</v>
      </c>
      <c r="AF156" s="353">
        <v>1.71</v>
      </c>
      <c r="AG156" s="353">
        <v>1.7</v>
      </c>
      <c r="AH156" s="353">
        <v>1.7</v>
      </c>
      <c r="AI156" s="353">
        <v>1.7</v>
      </c>
      <c r="AJ156" s="353">
        <v>1.7</v>
      </c>
      <c r="AK156" s="353">
        <v>1.7</v>
      </c>
      <c r="AL156" s="353">
        <v>1.69</v>
      </c>
      <c r="AM156" s="353">
        <v>1.69</v>
      </c>
      <c r="AN156" s="353">
        <v>1.69</v>
      </c>
      <c r="AO156" s="353">
        <v>1.69</v>
      </c>
      <c r="AP156" s="353">
        <v>1.68</v>
      </c>
      <c r="AQ156" s="353">
        <v>1.68</v>
      </c>
      <c r="AR156" s="353">
        <v>1.67</v>
      </c>
      <c r="AS156" s="353">
        <v>1.67</v>
      </c>
      <c r="AT156" s="353">
        <v>1.66</v>
      </c>
      <c r="AU156" s="353">
        <v>1.66</v>
      </c>
      <c r="AV156" s="353">
        <v>1.65</v>
      </c>
      <c r="AW156" s="353">
        <v>1.65</v>
      </c>
      <c r="AX156" s="353">
        <v>1.64</v>
      </c>
      <c r="AY156" s="353">
        <v>1.64</v>
      </c>
      <c r="BC156" s="442">
        <v>2.19</v>
      </c>
      <c r="BD156" s="684">
        <f t="shared" ref="BD156:BD165" si="16">BD$154+(BD$166-BD$154)/12*$BH156</f>
        <v>45449.5</v>
      </c>
      <c r="BE156" s="684">
        <f t="shared" si="15"/>
        <v>65673.833333333328</v>
      </c>
      <c r="BF156" s="684">
        <f t="shared" si="15"/>
        <v>38270.666666666664</v>
      </c>
      <c r="BG156" s="684">
        <f t="shared" si="15"/>
        <v>46157</v>
      </c>
      <c r="BH156" s="684">
        <v>2</v>
      </c>
    </row>
    <row r="157" spans="1:60">
      <c r="A157" s="107">
        <v>44316</v>
      </c>
      <c r="B157" s="353">
        <v>0.38</v>
      </c>
      <c r="C157" s="353">
        <v>0.42</v>
      </c>
      <c r="D157" s="353">
        <v>0.48</v>
      </c>
      <c r="E157" s="353">
        <v>0.56999999999999995</v>
      </c>
      <c r="F157" s="353">
        <v>0.66</v>
      </c>
      <c r="G157" s="353">
        <v>0.76</v>
      </c>
      <c r="H157" s="353">
        <v>0.86</v>
      </c>
      <c r="I157" s="353">
        <v>0.97</v>
      </c>
      <c r="J157" s="353">
        <v>1.06</v>
      </c>
      <c r="K157" s="353">
        <v>1.1599999999999999</v>
      </c>
      <c r="L157" s="353">
        <v>1.25</v>
      </c>
      <c r="M157" s="353">
        <v>1.32</v>
      </c>
      <c r="N157" s="353">
        <v>1.38</v>
      </c>
      <c r="O157" s="353">
        <v>1.44</v>
      </c>
      <c r="P157" s="442">
        <v>1.49</v>
      </c>
      <c r="Q157" s="353">
        <v>1.53</v>
      </c>
      <c r="R157" s="353">
        <v>1.56</v>
      </c>
      <c r="S157" s="353">
        <v>1.59</v>
      </c>
      <c r="T157" s="353">
        <v>1.62</v>
      </c>
      <c r="U157" s="353">
        <v>1.64</v>
      </c>
      <c r="V157" s="353">
        <v>1.65</v>
      </c>
      <c r="W157" s="353">
        <v>1.66</v>
      </c>
      <c r="X157" s="353">
        <v>1.67</v>
      </c>
      <c r="Y157" s="353">
        <v>1.68</v>
      </c>
      <c r="Z157" s="353">
        <v>1.68</v>
      </c>
      <c r="AA157" s="353">
        <v>1.68</v>
      </c>
      <c r="AB157" s="353">
        <v>1.68</v>
      </c>
      <c r="AC157" s="353">
        <v>1.68</v>
      </c>
      <c r="AD157" s="353">
        <v>1.68</v>
      </c>
      <c r="AE157" s="353">
        <v>1.69</v>
      </c>
      <c r="AF157" s="353">
        <v>1.68</v>
      </c>
      <c r="AG157" s="353">
        <v>1.68</v>
      </c>
      <c r="AH157" s="353">
        <v>1.68</v>
      </c>
      <c r="AI157" s="353">
        <v>1.67</v>
      </c>
      <c r="AJ157" s="353">
        <v>1.67</v>
      </c>
      <c r="AK157" s="353">
        <v>1.67</v>
      </c>
      <c r="AL157" s="353">
        <v>1.67</v>
      </c>
      <c r="AM157" s="353">
        <v>1.67</v>
      </c>
      <c r="AN157" s="353">
        <v>1.66</v>
      </c>
      <c r="AO157" s="353">
        <v>1.66</v>
      </c>
      <c r="AP157" s="353">
        <v>1.66</v>
      </c>
      <c r="AQ157" s="353">
        <v>1.65</v>
      </c>
      <c r="AR157" s="353">
        <v>1.64</v>
      </c>
      <c r="AS157" s="353">
        <v>1.64</v>
      </c>
      <c r="AT157" s="353">
        <v>1.63</v>
      </c>
      <c r="AU157" s="353">
        <v>1.63</v>
      </c>
      <c r="AV157" s="353">
        <v>1.62</v>
      </c>
      <c r="AW157" s="353">
        <v>1.62</v>
      </c>
      <c r="AX157" s="353">
        <v>1.62</v>
      </c>
      <c r="AY157" s="353">
        <v>1.61</v>
      </c>
      <c r="BC157" s="442">
        <v>2.16</v>
      </c>
      <c r="BD157" s="684">
        <f t="shared" si="16"/>
        <v>45730.75</v>
      </c>
      <c r="BE157" s="684">
        <f t="shared" si="15"/>
        <v>66941.75</v>
      </c>
      <c r="BF157" s="684">
        <f t="shared" si="15"/>
        <v>38659.5</v>
      </c>
      <c r="BG157" s="684">
        <f t="shared" si="15"/>
        <v>47468.5</v>
      </c>
      <c r="BH157" s="684">
        <v>3</v>
      </c>
    </row>
    <row r="158" spans="1:60">
      <c r="A158" s="107">
        <v>44347</v>
      </c>
      <c r="B158" s="353">
        <v>0.37</v>
      </c>
      <c r="C158" s="353">
        <v>0.4</v>
      </c>
      <c r="D158" s="353">
        <v>0.47</v>
      </c>
      <c r="E158" s="353">
        <v>0.55000000000000004</v>
      </c>
      <c r="F158" s="353">
        <v>0.65</v>
      </c>
      <c r="G158" s="353">
        <v>0.75</v>
      </c>
      <c r="H158" s="353">
        <v>0.85</v>
      </c>
      <c r="I158" s="353">
        <v>0.95</v>
      </c>
      <c r="J158" s="353">
        <v>1.05</v>
      </c>
      <c r="K158" s="353">
        <v>1.1399999999999999</v>
      </c>
      <c r="L158" s="353">
        <v>1.22</v>
      </c>
      <c r="M158" s="353">
        <v>1.3</v>
      </c>
      <c r="N158" s="353">
        <v>1.36</v>
      </c>
      <c r="O158" s="353">
        <v>1.42</v>
      </c>
      <c r="P158" s="442">
        <v>1.47</v>
      </c>
      <c r="Q158" s="353">
        <v>1.5</v>
      </c>
      <c r="R158" s="353">
        <v>1.54</v>
      </c>
      <c r="S158" s="353">
        <v>1.57</v>
      </c>
      <c r="T158" s="353">
        <v>1.59</v>
      </c>
      <c r="U158" s="353">
        <v>1.62</v>
      </c>
      <c r="V158" s="353">
        <v>1.63</v>
      </c>
      <c r="W158" s="353">
        <v>1.64</v>
      </c>
      <c r="X158" s="353">
        <v>1.64</v>
      </c>
      <c r="Y158" s="353">
        <v>1.65</v>
      </c>
      <c r="Z158" s="353">
        <v>1.66</v>
      </c>
      <c r="AA158" s="353">
        <v>1.66</v>
      </c>
      <c r="AB158" s="353">
        <v>1.66</v>
      </c>
      <c r="AC158" s="353">
        <v>1.66</v>
      </c>
      <c r="AD158" s="353">
        <v>1.66</v>
      </c>
      <c r="AE158" s="353">
        <v>1.66</v>
      </c>
      <c r="AF158" s="353">
        <v>1.66</v>
      </c>
      <c r="AG158" s="353">
        <v>1.66</v>
      </c>
      <c r="AH158" s="353">
        <v>1.65</v>
      </c>
      <c r="AI158" s="353">
        <v>1.65</v>
      </c>
      <c r="AJ158" s="353">
        <v>1.65</v>
      </c>
      <c r="AK158" s="353">
        <v>1.65</v>
      </c>
      <c r="AL158" s="353">
        <v>1.64</v>
      </c>
      <c r="AM158" s="353">
        <v>1.64</v>
      </c>
      <c r="AN158" s="353">
        <v>1.64</v>
      </c>
      <c r="AO158" s="353">
        <v>1.64</v>
      </c>
      <c r="AP158" s="353">
        <v>1.63</v>
      </c>
      <c r="AQ158" s="353">
        <v>1.62</v>
      </c>
      <c r="AR158" s="353">
        <v>1.62</v>
      </c>
      <c r="AS158" s="353">
        <v>1.61</v>
      </c>
      <c r="AT158" s="353">
        <v>1.61</v>
      </c>
      <c r="AU158" s="353">
        <v>1.6</v>
      </c>
      <c r="AV158" s="353">
        <v>1.6</v>
      </c>
      <c r="AW158" s="353">
        <v>1.6</v>
      </c>
      <c r="AX158" s="353">
        <v>1.59</v>
      </c>
      <c r="AY158" s="353">
        <v>1.59</v>
      </c>
      <c r="BC158" s="442">
        <v>2.12</v>
      </c>
      <c r="BD158" s="684">
        <f t="shared" si="16"/>
        <v>46012</v>
      </c>
      <c r="BE158" s="684">
        <f t="shared" si="15"/>
        <v>68209.666666666672</v>
      </c>
      <c r="BF158" s="684">
        <f t="shared" si="15"/>
        <v>39048.333333333336</v>
      </c>
      <c r="BG158" s="684">
        <f t="shared" si="15"/>
        <v>48780</v>
      </c>
      <c r="BH158" s="684">
        <v>4</v>
      </c>
    </row>
    <row r="159" spans="1:60" s="113" customFormat="1" ht="12.75" customHeight="1">
      <c r="A159" s="107">
        <v>44377</v>
      </c>
      <c r="B159" s="353">
        <v>0.36</v>
      </c>
      <c r="C159" s="353">
        <v>0.39</v>
      </c>
      <c r="D159" s="353">
        <v>0.45</v>
      </c>
      <c r="E159" s="353">
        <v>0.54</v>
      </c>
      <c r="F159" s="353">
        <v>0.63</v>
      </c>
      <c r="G159" s="353">
        <v>0.73</v>
      </c>
      <c r="H159" s="353">
        <v>0.83</v>
      </c>
      <c r="I159" s="353">
        <v>0.93</v>
      </c>
      <c r="J159" s="353">
        <v>1.03</v>
      </c>
      <c r="K159" s="353">
        <v>1.1200000000000001</v>
      </c>
      <c r="L159" s="353">
        <v>1.2</v>
      </c>
      <c r="M159" s="353">
        <v>1.28</v>
      </c>
      <c r="N159" s="353">
        <v>1.34</v>
      </c>
      <c r="O159" s="353">
        <v>1.4</v>
      </c>
      <c r="P159" s="442">
        <v>1.45</v>
      </c>
      <c r="Q159" s="353">
        <v>1.48</v>
      </c>
      <c r="R159" s="353">
        <v>1.51</v>
      </c>
      <c r="S159" s="353">
        <v>1.54</v>
      </c>
      <c r="T159" s="353">
        <v>1.57</v>
      </c>
      <c r="U159" s="353">
        <v>1.59</v>
      </c>
      <c r="V159" s="353">
        <v>1.6</v>
      </c>
      <c r="W159" s="353">
        <v>1.61</v>
      </c>
      <c r="X159" s="353">
        <v>1.62</v>
      </c>
      <c r="Y159" s="353">
        <v>1.63</v>
      </c>
      <c r="Z159" s="353">
        <v>1.64</v>
      </c>
      <c r="AA159" s="353">
        <v>1.64</v>
      </c>
      <c r="AB159" s="353">
        <v>1.64</v>
      </c>
      <c r="AC159" s="353">
        <v>1.64</v>
      </c>
      <c r="AD159" s="353">
        <v>1.64</v>
      </c>
      <c r="AE159" s="353">
        <v>1.64</v>
      </c>
      <c r="AF159" s="353">
        <v>1.63</v>
      </c>
      <c r="AG159" s="353">
        <v>1.63</v>
      </c>
      <c r="AH159" s="353">
        <v>1.63</v>
      </c>
      <c r="AI159" s="353">
        <v>1.63</v>
      </c>
      <c r="AJ159" s="353">
        <v>1.62</v>
      </c>
      <c r="AK159" s="353">
        <v>1.62</v>
      </c>
      <c r="AL159" s="353">
        <v>1.62</v>
      </c>
      <c r="AM159" s="353">
        <v>1.62</v>
      </c>
      <c r="AN159" s="353">
        <v>1.61</v>
      </c>
      <c r="AO159" s="353">
        <v>1.61</v>
      </c>
      <c r="AP159" s="353">
        <v>1.61</v>
      </c>
      <c r="AQ159" s="353">
        <v>1.6</v>
      </c>
      <c r="AR159" s="353">
        <v>1.59</v>
      </c>
      <c r="AS159" s="353">
        <v>1.59</v>
      </c>
      <c r="AT159" s="353">
        <v>1.58</v>
      </c>
      <c r="AU159" s="353">
        <v>1.58</v>
      </c>
      <c r="AV159" s="353">
        <v>1.57</v>
      </c>
      <c r="AW159" s="353">
        <v>1.57</v>
      </c>
      <c r="AX159" s="353">
        <v>1.57</v>
      </c>
      <c r="AY159" s="353">
        <v>1.56</v>
      </c>
      <c r="BC159" s="442">
        <v>2.09</v>
      </c>
      <c r="BD159" s="684">
        <f t="shared" si="16"/>
        <v>46293.25</v>
      </c>
      <c r="BE159" s="684">
        <f t="shared" si="15"/>
        <v>69477.583333333328</v>
      </c>
      <c r="BF159" s="684">
        <f t="shared" si="15"/>
        <v>39437.166666666664</v>
      </c>
      <c r="BG159" s="684">
        <f t="shared" si="15"/>
        <v>50091.5</v>
      </c>
      <c r="BH159" s="684">
        <v>5</v>
      </c>
    </row>
    <row r="160" spans="1:60">
      <c r="A160" s="107">
        <v>44408</v>
      </c>
      <c r="B160" s="353">
        <v>0.34</v>
      </c>
      <c r="C160" s="353">
        <v>0.38</v>
      </c>
      <c r="D160" s="353">
        <v>0.44</v>
      </c>
      <c r="E160" s="353">
        <v>0.53</v>
      </c>
      <c r="F160" s="353">
        <v>0.62</v>
      </c>
      <c r="G160" s="353">
        <v>0.72</v>
      </c>
      <c r="H160" s="353">
        <v>0.81</v>
      </c>
      <c r="I160" s="353">
        <v>0.91</v>
      </c>
      <c r="J160" s="353">
        <v>1.01</v>
      </c>
      <c r="K160" s="353">
        <v>1.1000000000000001</v>
      </c>
      <c r="L160" s="353">
        <v>1.18</v>
      </c>
      <c r="M160" s="353">
        <v>1.25</v>
      </c>
      <c r="N160" s="353">
        <v>1.32</v>
      </c>
      <c r="O160" s="353">
        <v>1.37</v>
      </c>
      <c r="P160" s="442">
        <v>1.42</v>
      </c>
      <c r="Q160" s="353">
        <v>1.46</v>
      </c>
      <c r="R160" s="353">
        <v>1.49</v>
      </c>
      <c r="S160" s="353">
        <v>1.52</v>
      </c>
      <c r="T160" s="353">
        <v>1.55</v>
      </c>
      <c r="U160" s="353">
        <v>1.57</v>
      </c>
      <c r="V160" s="353">
        <v>1.58</v>
      </c>
      <c r="W160" s="353">
        <v>1.59</v>
      </c>
      <c r="X160" s="353">
        <v>1.6</v>
      </c>
      <c r="Y160" s="353">
        <v>1.6</v>
      </c>
      <c r="Z160" s="353">
        <v>1.61</v>
      </c>
      <c r="AA160" s="353">
        <v>1.61</v>
      </c>
      <c r="AB160" s="353">
        <v>1.61</v>
      </c>
      <c r="AC160" s="353">
        <v>1.61</v>
      </c>
      <c r="AD160" s="353">
        <v>1.61</v>
      </c>
      <c r="AE160" s="353">
        <v>1.61</v>
      </c>
      <c r="AF160" s="353">
        <v>1.61</v>
      </c>
      <c r="AG160" s="353">
        <v>1.6</v>
      </c>
      <c r="AH160" s="353">
        <v>1.6</v>
      </c>
      <c r="AI160" s="353">
        <v>1.6</v>
      </c>
      <c r="AJ160" s="353">
        <v>1.6</v>
      </c>
      <c r="AK160" s="353">
        <v>1.59</v>
      </c>
      <c r="AL160" s="353">
        <v>1.59</v>
      </c>
      <c r="AM160" s="353">
        <v>1.59</v>
      </c>
      <c r="AN160" s="353">
        <v>1.59</v>
      </c>
      <c r="AO160" s="353">
        <v>1.59</v>
      </c>
      <c r="AP160" s="353">
        <v>1.58</v>
      </c>
      <c r="AQ160" s="353">
        <v>1.57</v>
      </c>
      <c r="AR160" s="353">
        <v>1.57</v>
      </c>
      <c r="AS160" s="353">
        <v>1.56</v>
      </c>
      <c r="AT160" s="353">
        <v>1.56</v>
      </c>
      <c r="AU160" s="353">
        <v>1.55</v>
      </c>
      <c r="AV160" s="353">
        <v>1.55</v>
      </c>
      <c r="AW160" s="353">
        <v>1.54</v>
      </c>
      <c r="AX160" s="353">
        <v>1.54</v>
      </c>
      <c r="AY160" s="353">
        <v>1.53</v>
      </c>
      <c r="BC160" s="442">
        <v>2.0499999999999998</v>
      </c>
      <c r="BD160" s="684">
        <f t="shared" si="16"/>
        <v>46574.5</v>
      </c>
      <c r="BE160" s="684">
        <f t="shared" si="15"/>
        <v>70745.5</v>
      </c>
      <c r="BF160" s="684">
        <f t="shared" si="15"/>
        <v>39826</v>
      </c>
      <c r="BG160" s="684">
        <f t="shared" si="15"/>
        <v>51403</v>
      </c>
      <c r="BH160" s="684">
        <v>6</v>
      </c>
    </row>
    <row r="161" spans="1:60">
      <c r="A161" s="107">
        <v>44439</v>
      </c>
      <c r="B161" s="353">
        <v>0.33</v>
      </c>
      <c r="C161" s="353">
        <v>0.37</v>
      </c>
      <c r="D161" s="353">
        <v>0.43</v>
      </c>
      <c r="E161" s="353">
        <v>0.52</v>
      </c>
      <c r="F161" s="353">
        <v>0.61</v>
      </c>
      <c r="G161" s="353">
        <v>0.7</v>
      </c>
      <c r="H161" s="353">
        <v>0.8</v>
      </c>
      <c r="I161" s="353">
        <v>0.9</v>
      </c>
      <c r="J161" s="353">
        <v>0.99</v>
      </c>
      <c r="K161" s="353">
        <v>1.0900000000000001</v>
      </c>
      <c r="L161" s="353">
        <v>1.17</v>
      </c>
      <c r="M161" s="353">
        <v>1.24</v>
      </c>
      <c r="N161" s="353">
        <v>1.3</v>
      </c>
      <c r="O161" s="353">
        <v>1.36</v>
      </c>
      <c r="P161" s="442">
        <v>1.41</v>
      </c>
      <c r="Q161" s="353">
        <v>1.44</v>
      </c>
      <c r="R161" s="353">
        <v>1.47</v>
      </c>
      <c r="S161" s="353">
        <v>1.5</v>
      </c>
      <c r="T161" s="353">
        <v>1.53</v>
      </c>
      <c r="U161" s="353">
        <v>1.55</v>
      </c>
      <c r="V161" s="353">
        <v>1.56</v>
      </c>
      <c r="W161" s="353">
        <v>1.57</v>
      </c>
      <c r="X161" s="353">
        <v>1.58</v>
      </c>
      <c r="Y161" s="353">
        <v>1.59</v>
      </c>
      <c r="Z161" s="353">
        <v>1.59</v>
      </c>
      <c r="AA161" s="353">
        <v>1.59</v>
      </c>
      <c r="AB161" s="353">
        <v>1.59</v>
      </c>
      <c r="AC161" s="353">
        <v>1.59</v>
      </c>
      <c r="AD161" s="353">
        <v>1.59</v>
      </c>
      <c r="AE161" s="353">
        <v>1.59</v>
      </c>
      <c r="AF161" s="353">
        <v>1.59</v>
      </c>
      <c r="AG161" s="353">
        <v>1.58</v>
      </c>
      <c r="AH161" s="353">
        <v>1.58</v>
      </c>
      <c r="AI161" s="353">
        <v>1.58</v>
      </c>
      <c r="AJ161" s="353">
        <v>1.58</v>
      </c>
      <c r="AK161" s="353">
        <v>1.57</v>
      </c>
      <c r="AL161" s="353">
        <v>1.57</v>
      </c>
      <c r="AM161" s="353">
        <v>1.57</v>
      </c>
      <c r="AN161" s="353">
        <v>1.57</v>
      </c>
      <c r="AO161" s="353">
        <v>1.56</v>
      </c>
      <c r="AP161" s="353">
        <v>1.56</v>
      </c>
      <c r="AQ161" s="353">
        <v>1.55</v>
      </c>
      <c r="AR161" s="353">
        <v>1.55</v>
      </c>
      <c r="AS161" s="353">
        <v>1.54</v>
      </c>
      <c r="AT161" s="353">
        <v>1.54</v>
      </c>
      <c r="AU161" s="353">
        <v>1.53</v>
      </c>
      <c r="AV161" s="353">
        <v>1.53</v>
      </c>
      <c r="AW161" s="353">
        <v>1.52</v>
      </c>
      <c r="AX161" s="353">
        <v>1.52</v>
      </c>
      <c r="AY161" s="353">
        <v>1.51</v>
      </c>
      <c r="BC161" s="442">
        <v>2.0099999999999998</v>
      </c>
      <c r="BD161" s="684">
        <f t="shared" si="16"/>
        <v>46855.75</v>
      </c>
      <c r="BE161" s="684">
        <f t="shared" si="15"/>
        <v>72013.416666666672</v>
      </c>
      <c r="BF161" s="684">
        <f t="shared" si="15"/>
        <v>40214.833333333336</v>
      </c>
      <c r="BG161" s="684">
        <f t="shared" si="15"/>
        <v>52714.5</v>
      </c>
      <c r="BH161" s="684">
        <v>7</v>
      </c>
    </row>
    <row r="162" spans="1:60">
      <c r="A162" s="107">
        <v>44469</v>
      </c>
      <c r="B162" s="353">
        <v>0.32</v>
      </c>
      <c r="C162" s="353">
        <v>0.36</v>
      </c>
      <c r="D162" s="353">
        <v>0.42</v>
      </c>
      <c r="E162" s="353">
        <v>0.51</v>
      </c>
      <c r="F162" s="353">
        <v>0.6</v>
      </c>
      <c r="G162" s="353">
        <v>0.69</v>
      </c>
      <c r="H162" s="353">
        <v>0.79</v>
      </c>
      <c r="I162" s="353">
        <v>0.89</v>
      </c>
      <c r="J162" s="353">
        <v>0.98</v>
      </c>
      <c r="K162" s="353">
        <v>1.07</v>
      </c>
      <c r="L162" s="353">
        <v>1.1499999999999999</v>
      </c>
      <c r="M162" s="353">
        <v>1.22</v>
      </c>
      <c r="N162" s="353">
        <v>1.29</v>
      </c>
      <c r="O162" s="353">
        <v>1.34</v>
      </c>
      <c r="P162" s="442">
        <v>1.39</v>
      </c>
      <c r="Q162" s="353">
        <v>1.42</v>
      </c>
      <c r="R162" s="353">
        <v>1.46</v>
      </c>
      <c r="S162" s="353">
        <v>1.48</v>
      </c>
      <c r="T162" s="353">
        <v>1.51</v>
      </c>
      <c r="U162" s="353">
        <v>1.53</v>
      </c>
      <c r="V162" s="353">
        <v>1.54</v>
      </c>
      <c r="W162" s="353">
        <v>1.55</v>
      </c>
      <c r="X162" s="353">
        <v>1.56</v>
      </c>
      <c r="Y162" s="353">
        <v>1.57</v>
      </c>
      <c r="Z162" s="353">
        <v>1.57</v>
      </c>
      <c r="AA162" s="353">
        <v>1.57</v>
      </c>
      <c r="AB162" s="353">
        <v>1.57</v>
      </c>
      <c r="AC162" s="353">
        <v>1.57</v>
      </c>
      <c r="AD162" s="353">
        <v>1.57</v>
      </c>
      <c r="AE162" s="353">
        <v>1.57</v>
      </c>
      <c r="AF162" s="353">
        <v>1.57</v>
      </c>
      <c r="AG162" s="353">
        <v>1.56</v>
      </c>
      <c r="AH162" s="353">
        <v>1.56</v>
      </c>
      <c r="AI162" s="353">
        <v>1.56</v>
      </c>
      <c r="AJ162" s="353">
        <v>1.56</v>
      </c>
      <c r="AK162" s="353">
        <v>1.55</v>
      </c>
      <c r="AL162" s="353">
        <v>1.55</v>
      </c>
      <c r="AM162" s="353">
        <v>1.55</v>
      </c>
      <c r="AN162" s="353">
        <v>1.55</v>
      </c>
      <c r="AO162" s="353">
        <v>1.54</v>
      </c>
      <c r="AP162" s="353">
        <v>1.54</v>
      </c>
      <c r="AQ162" s="353">
        <v>1.53</v>
      </c>
      <c r="AR162" s="353">
        <v>1.52</v>
      </c>
      <c r="AS162" s="353">
        <v>1.52</v>
      </c>
      <c r="AT162" s="353">
        <v>1.51</v>
      </c>
      <c r="AU162" s="353">
        <v>1.51</v>
      </c>
      <c r="AV162" s="353">
        <v>1.5</v>
      </c>
      <c r="AW162" s="353">
        <v>1.5</v>
      </c>
      <c r="AX162" s="353">
        <v>1.49</v>
      </c>
      <c r="AY162" s="353">
        <v>1.49</v>
      </c>
      <c r="BC162" s="442">
        <v>1.98</v>
      </c>
      <c r="BD162" s="684">
        <f t="shared" si="16"/>
        <v>47137</v>
      </c>
      <c r="BE162" s="684">
        <f t="shared" si="15"/>
        <v>73281.333333333328</v>
      </c>
      <c r="BF162" s="684">
        <f t="shared" si="15"/>
        <v>40603.666666666664</v>
      </c>
      <c r="BG162" s="684">
        <f t="shared" si="15"/>
        <v>54026</v>
      </c>
      <c r="BH162" s="684">
        <v>8</v>
      </c>
    </row>
    <row r="163" spans="1:60">
      <c r="A163" s="107">
        <v>44500</v>
      </c>
      <c r="B163" s="353">
        <v>0.31</v>
      </c>
      <c r="C163" s="353">
        <v>0.35</v>
      </c>
      <c r="D163" s="353">
        <v>0.42</v>
      </c>
      <c r="E163" s="353">
        <v>0.5</v>
      </c>
      <c r="F163" s="353">
        <v>0.59</v>
      </c>
      <c r="G163" s="353">
        <v>0.68</v>
      </c>
      <c r="H163" s="353">
        <v>0.78</v>
      </c>
      <c r="I163" s="353">
        <v>0.88</v>
      </c>
      <c r="J163" s="353">
        <v>0.97</v>
      </c>
      <c r="K163" s="353">
        <v>1.06</v>
      </c>
      <c r="L163" s="353">
        <v>1.1399999999999999</v>
      </c>
      <c r="M163" s="353">
        <v>1.21</v>
      </c>
      <c r="N163" s="353">
        <v>1.27</v>
      </c>
      <c r="O163" s="353">
        <v>1.33</v>
      </c>
      <c r="P163" s="442">
        <v>1.37</v>
      </c>
      <c r="Q163" s="353">
        <v>1.41</v>
      </c>
      <c r="R163" s="353">
        <v>1.44</v>
      </c>
      <c r="S163" s="353">
        <v>1.47</v>
      </c>
      <c r="T163" s="353">
        <v>1.49</v>
      </c>
      <c r="U163" s="353">
        <v>1.51</v>
      </c>
      <c r="V163" s="353">
        <v>1.52</v>
      </c>
      <c r="W163" s="353">
        <v>1.53</v>
      </c>
      <c r="X163" s="353">
        <v>1.54</v>
      </c>
      <c r="Y163" s="353">
        <v>1.55</v>
      </c>
      <c r="Z163" s="353">
        <v>1.55</v>
      </c>
      <c r="AA163" s="353">
        <v>1.55</v>
      </c>
      <c r="AB163" s="353">
        <v>1.55</v>
      </c>
      <c r="AC163" s="353">
        <v>1.55</v>
      </c>
      <c r="AD163" s="353">
        <v>1.55</v>
      </c>
      <c r="AE163" s="353">
        <v>1.55</v>
      </c>
      <c r="AF163" s="353">
        <v>1.55</v>
      </c>
      <c r="AG163" s="353">
        <v>1.54</v>
      </c>
      <c r="AH163" s="353">
        <v>1.54</v>
      </c>
      <c r="AI163" s="353">
        <v>1.54</v>
      </c>
      <c r="AJ163" s="353">
        <v>1.53</v>
      </c>
      <c r="AK163" s="353">
        <v>1.53</v>
      </c>
      <c r="AL163" s="353">
        <v>1.53</v>
      </c>
      <c r="AM163" s="353">
        <v>1.52</v>
      </c>
      <c r="AN163" s="353">
        <v>1.52</v>
      </c>
      <c r="AO163" s="353">
        <v>1.52</v>
      </c>
      <c r="AP163" s="353">
        <v>1.51</v>
      </c>
      <c r="AQ163" s="353">
        <v>1.51</v>
      </c>
      <c r="AR163" s="353">
        <v>1.5</v>
      </c>
      <c r="AS163" s="353">
        <v>1.49</v>
      </c>
      <c r="AT163" s="353">
        <v>1.49</v>
      </c>
      <c r="AU163" s="353">
        <v>1.48</v>
      </c>
      <c r="AV163" s="353">
        <v>1.48</v>
      </c>
      <c r="AW163" s="353">
        <v>1.47</v>
      </c>
      <c r="AX163" s="353">
        <v>1.47</v>
      </c>
      <c r="AY163" s="353">
        <v>1.47</v>
      </c>
      <c r="BC163" s="442">
        <v>1.94</v>
      </c>
      <c r="BD163" s="684">
        <f t="shared" si="16"/>
        <v>47418.25</v>
      </c>
      <c r="BE163" s="684">
        <f t="shared" si="15"/>
        <v>74549.25</v>
      </c>
      <c r="BF163" s="684">
        <f t="shared" si="15"/>
        <v>40992.5</v>
      </c>
      <c r="BG163" s="684">
        <f t="shared" si="15"/>
        <v>55337.5</v>
      </c>
      <c r="BH163" s="684">
        <v>9</v>
      </c>
    </row>
    <row r="164" spans="1:60">
      <c r="A164" s="107">
        <v>44530</v>
      </c>
      <c r="B164" s="353">
        <v>0.3</v>
      </c>
      <c r="C164" s="353">
        <v>0.34</v>
      </c>
      <c r="D164" s="353">
        <v>0.41</v>
      </c>
      <c r="E164" s="353">
        <v>0.49</v>
      </c>
      <c r="F164" s="353">
        <v>0.57999999999999996</v>
      </c>
      <c r="G164" s="353">
        <v>0.68</v>
      </c>
      <c r="H164" s="353">
        <v>0.77</v>
      </c>
      <c r="I164" s="353">
        <v>0.87</v>
      </c>
      <c r="J164" s="353">
        <v>0.96</v>
      </c>
      <c r="K164" s="353">
        <v>1.05</v>
      </c>
      <c r="L164" s="353">
        <v>1.1299999999999999</v>
      </c>
      <c r="M164" s="353">
        <v>1.2</v>
      </c>
      <c r="N164" s="353">
        <v>1.26</v>
      </c>
      <c r="O164" s="353">
        <v>1.31</v>
      </c>
      <c r="P164" s="442">
        <v>1.36</v>
      </c>
      <c r="Q164" s="353">
        <v>1.39</v>
      </c>
      <c r="R164" s="353">
        <v>1.42</v>
      </c>
      <c r="S164" s="353">
        <v>1.45</v>
      </c>
      <c r="T164" s="353">
        <v>1.48</v>
      </c>
      <c r="U164" s="353">
        <v>1.5</v>
      </c>
      <c r="V164" s="353">
        <v>1.51</v>
      </c>
      <c r="W164" s="353">
        <v>1.51</v>
      </c>
      <c r="X164" s="353">
        <v>1.52</v>
      </c>
      <c r="Y164" s="353">
        <v>1.53</v>
      </c>
      <c r="Z164" s="353">
        <v>1.53</v>
      </c>
      <c r="AA164" s="353">
        <v>1.53</v>
      </c>
      <c r="AB164" s="353">
        <v>1.53</v>
      </c>
      <c r="AC164" s="353">
        <v>1.53</v>
      </c>
      <c r="AD164" s="353">
        <v>1.53</v>
      </c>
      <c r="AE164" s="353">
        <v>1.53</v>
      </c>
      <c r="AF164" s="353">
        <v>1.53</v>
      </c>
      <c r="AG164" s="353">
        <v>1.52</v>
      </c>
      <c r="AH164" s="353">
        <v>1.52</v>
      </c>
      <c r="AI164" s="353">
        <v>1.52</v>
      </c>
      <c r="AJ164" s="353">
        <v>1.51</v>
      </c>
      <c r="AK164" s="353">
        <v>1.51</v>
      </c>
      <c r="AL164" s="353">
        <v>1.51</v>
      </c>
      <c r="AM164" s="353">
        <v>1.5</v>
      </c>
      <c r="AN164" s="353">
        <v>1.5</v>
      </c>
      <c r="AO164" s="353">
        <v>1.5</v>
      </c>
      <c r="AP164" s="353">
        <v>1.49</v>
      </c>
      <c r="AQ164" s="353">
        <v>1.49</v>
      </c>
      <c r="AR164" s="353">
        <v>1.48</v>
      </c>
      <c r="AS164" s="353">
        <v>1.47</v>
      </c>
      <c r="AT164" s="353">
        <v>1.47</v>
      </c>
      <c r="AU164" s="353">
        <v>1.46</v>
      </c>
      <c r="AV164" s="353">
        <v>1.46</v>
      </c>
      <c r="AW164" s="353">
        <v>1.45</v>
      </c>
      <c r="AX164" s="353">
        <v>1.45</v>
      </c>
      <c r="AY164" s="353">
        <v>1.44</v>
      </c>
      <c r="BC164" s="442">
        <v>1.9</v>
      </c>
      <c r="BD164" s="684">
        <f t="shared" si="16"/>
        <v>47699.5</v>
      </c>
      <c r="BE164" s="684">
        <f t="shared" si="15"/>
        <v>75817.166666666672</v>
      </c>
      <c r="BF164" s="684">
        <f t="shared" si="15"/>
        <v>41381.333333333336</v>
      </c>
      <c r="BG164" s="684">
        <f t="shared" si="15"/>
        <v>56649</v>
      </c>
      <c r="BH164" s="684">
        <v>10</v>
      </c>
    </row>
    <row r="165" spans="1:60">
      <c r="A165" s="107">
        <v>44561</v>
      </c>
      <c r="B165" s="353">
        <v>0.3</v>
      </c>
      <c r="C165" s="353">
        <v>0.34</v>
      </c>
      <c r="D165" s="353">
        <v>0.4</v>
      </c>
      <c r="E165" s="353">
        <v>0.49</v>
      </c>
      <c r="F165" s="353">
        <v>0.57999999999999996</v>
      </c>
      <c r="G165" s="353">
        <v>0.67</v>
      </c>
      <c r="H165" s="353">
        <v>0.77</v>
      </c>
      <c r="I165" s="353">
        <v>0.86</v>
      </c>
      <c r="J165" s="353">
        <v>0.95</v>
      </c>
      <c r="K165" s="353">
        <v>1.04</v>
      </c>
      <c r="L165" s="353">
        <v>1.1200000000000001</v>
      </c>
      <c r="M165" s="353">
        <v>1.19</v>
      </c>
      <c r="N165" s="353">
        <v>1.25</v>
      </c>
      <c r="O165" s="353">
        <v>1.3</v>
      </c>
      <c r="P165" s="442">
        <v>1.35</v>
      </c>
      <c r="Q165" s="353">
        <v>1.38</v>
      </c>
      <c r="R165" s="353">
        <v>1.41</v>
      </c>
      <c r="S165" s="353">
        <v>1.44</v>
      </c>
      <c r="T165" s="353">
        <v>1.47</v>
      </c>
      <c r="U165" s="353">
        <v>1.49</v>
      </c>
      <c r="V165" s="353">
        <v>1.5</v>
      </c>
      <c r="W165" s="353">
        <v>1.5</v>
      </c>
      <c r="X165" s="353">
        <v>1.51</v>
      </c>
      <c r="Y165" s="353">
        <v>1.52</v>
      </c>
      <c r="Z165" s="353">
        <v>1.52</v>
      </c>
      <c r="AA165" s="353">
        <v>1.52</v>
      </c>
      <c r="AB165" s="353">
        <v>1.52</v>
      </c>
      <c r="AC165" s="353">
        <v>1.52</v>
      </c>
      <c r="AD165" s="353">
        <v>1.52</v>
      </c>
      <c r="AE165" s="353">
        <v>1.52</v>
      </c>
      <c r="AF165" s="353">
        <v>1.51</v>
      </c>
      <c r="AG165" s="353">
        <v>1.51</v>
      </c>
      <c r="AH165" s="353">
        <v>1.5</v>
      </c>
      <c r="AI165" s="353">
        <v>1.5</v>
      </c>
      <c r="AJ165" s="353">
        <v>1.5</v>
      </c>
      <c r="AK165" s="353">
        <v>1.49</v>
      </c>
      <c r="AL165" s="353">
        <v>1.49</v>
      </c>
      <c r="AM165" s="353">
        <v>1.49</v>
      </c>
      <c r="AN165" s="353">
        <v>1.49</v>
      </c>
      <c r="AO165" s="353">
        <v>1.48</v>
      </c>
      <c r="AP165" s="353">
        <v>1.48</v>
      </c>
      <c r="AQ165" s="353">
        <v>1.47</v>
      </c>
      <c r="AR165" s="353">
        <v>1.46</v>
      </c>
      <c r="AS165" s="353">
        <v>1.46</v>
      </c>
      <c r="AT165" s="353">
        <v>1.45</v>
      </c>
      <c r="AU165" s="353">
        <v>1.45</v>
      </c>
      <c r="AV165" s="353">
        <v>1.44</v>
      </c>
      <c r="AW165" s="353">
        <v>1.44</v>
      </c>
      <c r="AX165" s="353">
        <v>1.43</v>
      </c>
      <c r="AY165" s="353">
        <v>1.43</v>
      </c>
      <c r="BC165" s="442">
        <v>1.87</v>
      </c>
      <c r="BD165" s="684">
        <f t="shared" si="16"/>
        <v>47980.75</v>
      </c>
      <c r="BE165" s="684">
        <f t="shared" si="15"/>
        <v>77085.083333333328</v>
      </c>
      <c r="BF165" s="684">
        <f t="shared" si="15"/>
        <v>41770.166666666664</v>
      </c>
      <c r="BG165" s="684">
        <f t="shared" si="15"/>
        <v>57960.5</v>
      </c>
      <c r="BH165" s="684">
        <v>11</v>
      </c>
    </row>
    <row r="166" spans="1:60">
      <c r="A166" s="107">
        <v>44592</v>
      </c>
      <c r="B166" s="353">
        <v>0.28999999999999998</v>
      </c>
      <c r="C166" s="353">
        <v>0.33</v>
      </c>
      <c r="D166" s="353">
        <v>0.4</v>
      </c>
      <c r="E166" s="353">
        <v>0.49</v>
      </c>
      <c r="F166" s="353">
        <v>0.56999999999999995</v>
      </c>
      <c r="G166" s="353">
        <v>0.67</v>
      </c>
      <c r="H166" s="353">
        <v>0.76</v>
      </c>
      <c r="I166" s="353">
        <v>0.86</v>
      </c>
      <c r="J166" s="353">
        <v>0.95</v>
      </c>
      <c r="K166" s="353">
        <v>1.04</v>
      </c>
      <c r="L166" s="353">
        <v>1.1200000000000001</v>
      </c>
      <c r="M166" s="353">
        <v>1.18</v>
      </c>
      <c r="N166" s="353">
        <v>1.24</v>
      </c>
      <c r="O166" s="353">
        <v>1.3</v>
      </c>
      <c r="P166" s="442">
        <v>1.34</v>
      </c>
      <c r="Q166" s="353">
        <v>1.38</v>
      </c>
      <c r="R166" s="353">
        <v>1.41</v>
      </c>
      <c r="S166" s="353">
        <v>1.43</v>
      </c>
      <c r="T166" s="353">
        <v>1.46</v>
      </c>
      <c r="U166" s="353">
        <v>1.48</v>
      </c>
      <c r="V166" s="353">
        <v>1.49</v>
      </c>
      <c r="W166" s="353">
        <v>1.5</v>
      </c>
      <c r="X166" s="353">
        <v>1.5</v>
      </c>
      <c r="Y166" s="353">
        <v>1.51</v>
      </c>
      <c r="Z166" s="353">
        <v>1.51</v>
      </c>
      <c r="AA166" s="353">
        <v>1.51</v>
      </c>
      <c r="AB166" s="353">
        <v>1.51</v>
      </c>
      <c r="AC166" s="353">
        <v>1.51</v>
      </c>
      <c r="AD166" s="353">
        <v>1.51</v>
      </c>
      <c r="AE166" s="353">
        <v>1.51</v>
      </c>
      <c r="AF166" s="353">
        <v>1.5</v>
      </c>
      <c r="AG166" s="353">
        <v>1.5</v>
      </c>
      <c r="AH166" s="353">
        <v>1.49</v>
      </c>
      <c r="AI166" s="353">
        <v>1.49</v>
      </c>
      <c r="AJ166" s="353">
        <v>1.49</v>
      </c>
      <c r="AK166" s="353">
        <v>1.48</v>
      </c>
      <c r="AL166" s="353">
        <v>1.48</v>
      </c>
      <c r="AM166" s="353">
        <v>1.48</v>
      </c>
      <c r="AN166" s="353">
        <v>1.47</v>
      </c>
      <c r="AO166" s="353">
        <v>1.47</v>
      </c>
      <c r="AP166" s="353">
        <v>1.47</v>
      </c>
      <c r="AQ166" s="353">
        <v>1.46</v>
      </c>
      <c r="AR166" s="353">
        <v>1.45</v>
      </c>
      <c r="AS166" s="353">
        <v>1.45</v>
      </c>
      <c r="AT166" s="353">
        <v>1.44</v>
      </c>
      <c r="AU166" s="353">
        <v>1.44</v>
      </c>
      <c r="AV166" s="353">
        <v>1.43</v>
      </c>
      <c r="AW166" s="353">
        <v>1.43</v>
      </c>
      <c r="AX166" s="353">
        <v>1.42</v>
      </c>
      <c r="AY166" s="353">
        <v>1.42</v>
      </c>
      <c r="AZ166" s="500"/>
      <c r="BC166" s="442">
        <v>1.85</v>
      </c>
      <c r="BD166" s="685">
        <v>48262</v>
      </c>
      <c r="BE166" s="685">
        <v>78353</v>
      </c>
      <c r="BF166" s="685">
        <v>42159</v>
      </c>
      <c r="BG166" s="685">
        <v>59272</v>
      </c>
    </row>
    <row r="167" spans="1:60">
      <c r="A167" s="107">
        <v>44620</v>
      </c>
      <c r="B167" s="353">
        <v>0.28000000000000003</v>
      </c>
      <c r="C167" s="353">
        <v>0.33</v>
      </c>
      <c r="D167" s="353">
        <v>0.4</v>
      </c>
      <c r="E167" s="353">
        <v>0.49</v>
      </c>
      <c r="F167" s="353">
        <v>0.57999999999999996</v>
      </c>
      <c r="G167" s="353">
        <v>0.67</v>
      </c>
      <c r="H167" s="353">
        <v>0.77</v>
      </c>
      <c r="I167" s="353">
        <v>0.86</v>
      </c>
      <c r="J167" s="353">
        <v>0.95</v>
      </c>
      <c r="K167" s="353">
        <v>1.04</v>
      </c>
      <c r="L167" s="353">
        <v>1.1200000000000001</v>
      </c>
      <c r="M167" s="353">
        <v>1.19</v>
      </c>
      <c r="N167" s="353">
        <v>1.25</v>
      </c>
      <c r="O167" s="353">
        <v>1.3</v>
      </c>
      <c r="P167" s="442">
        <v>1.35</v>
      </c>
      <c r="Q167" s="353">
        <v>1.38</v>
      </c>
      <c r="R167" s="353">
        <v>1.41</v>
      </c>
      <c r="S167" s="353">
        <v>1.43</v>
      </c>
      <c r="T167" s="353">
        <v>1.46</v>
      </c>
      <c r="U167" s="353">
        <v>1.48</v>
      </c>
      <c r="V167" s="353">
        <v>1.49</v>
      </c>
      <c r="W167" s="353">
        <v>1.49</v>
      </c>
      <c r="X167" s="353">
        <v>1.5</v>
      </c>
      <c r="Y167" s="353">
        <v>1.51</v>
      </c>
      <c r="Z167" s="353">
        <v>1.51</v>
      </c>
      <c r="AA167" s="353">
        <v>1.51</v>
      </c>
      <c r="AB167" s="353">
        <v>1.51</v>
      </c>
      <c r="AC167" s="353">
        <v>1.51</v>
      </c>
      <c r="AD167" s="353">
        <v>1.5</v>
      </c>
      <c r="AE167" s="353">
        <v>1.5</v>
      </c>
      <c r="AF167" s="353">
        <v>1.5</v>
      </c>
      <c r="AG167" s="353">
        <v>1.49</v>
      </c>
      <c r="AH167" s="353">
        <v>1.49</v>
      </c>
      <c r="AI167" s="353">
        <v>1.49</v>
      </c>
      <c r="AJ167" s="353">
        <v>1.48</v>
      </c>
      <c r="AK167" s="353">
        <v>1.48</v>
      </c>
      <c r="AL167" s="353">
        <v>1.48</v>
      </c>
      <c r="AM167" s="353">
        <v>1.47</v>
      </c>
      <c r="AN167" s="353">
        <v>1.47</v>
      </c>
      <c r="AO167" s="353">
        <v>1.47</v>
      </c>
      <c r="AP167" s="353">
        <v>1.46</v>
      </c>
      <c r="AQ167" s="353">
        <v>1.45</v>
      </c>
      <c r="AR167" s="353">
        <v>1.45</v>
      </c>
      <c r="AS167" s="353">
        <v>1.44</v>
      </c>
      <c r="AT167" s="353">
        <v>1.43</v>
      </c>
      <c r="AU167" s="353">
        <v>1.43</v>
      </c>
      <c r="AV167" s="353">
        <v>1.42</v>
      </c>
      <c r="AW167" s="353">
        <v>1.42</v>
      </c>
      <c r="AX167" s="353">
        <v>1.41</v>
      </c>
      <c r="AY167" s="353">
        <v>1.41</v>
      </c>
      <c r="BC167" s="442">
        <v>1.82</v>
      </c>
      <c r="BD167" s="684">
        <f>BD$166+(BD$172-BD$166)/7*$BH167</f>
        <v>48255.142857142855</v>
      </c>
      <c r="BE167" s="684">
        <f>BE$166+(BE$172-BE$166)/7*$BH167</f>
        <v>78807.571428571435</v>
      </c>
      <c r="BF167" s="684">
        <f t="shared" ref="BE167:BG171" si="17">BF$166+(BF$172-BF$166)/7*$BH167</f>
        <v>42355.428571428572</v>
      </c>
      <c r="BG167" s="684">
        <f t="shared" si="17"/>
        <v>60237.285714285717</v>
      </c>
      <c r="BH167" s="684">
        <v>1</v>
      </c>
    </row>
    <row r="168" spans="1:60">
      <c r="A168" s="107">
        <v>44651</v>
      </c>
      <c r="B168" s="353">
        <v>0.28000000000000003</v>
      </c>
      <c r="C168" s="353">
        <v>0.34</v>
      </c>
      <c r="D168" s="353">
        <v>0.41</v>
      </c>
      <c r="E168" s="353">
        <v>0.5</v>
      </c>
      <c r="F168" s="353">
        <v>0.57999999999999996</v>
      </c>
      <c r="G168" s="353">
        <v>0.68</v>
      </c>
      <c r="H168" s="353">
        <v>0.77</v>
      </c>
      <c r="I168" s="353">
        <v>0.87</v>
      </c>
      <c r="J168" s="353">
        <v>0.96</v>
      </c>
      <c r="K168" s="353">
        <v>1.05</v>
      </c>
      <c r="L168" s="353">
        <v>1.1200000000000001</v>
      </c>
      <c r="M168" s="353">
        <v>1.19</v>
      </c>
      <c r="N168" s="353">
        <v>1.25</v>
      </c>
      <c r="O168" s="353">
        <v>1.3</v>
      </c>
      <c r="P168" s="442">
        <v>1.35</v>
      </c>
      <c r="Q168" s="353">
        <v>1.38</v>
      </c>
      <c r="R168" s="353">
        <v>1.41</v>
      </c>
      <c r="S168" s="353">
        <v>1.44</v>
      </c>
      <c r="T168" s="353">
        <v>1.46</v>
      </c>
      <c r="U168" s="353">
        <v>1.48</v>
      </c>
      <c r="V168" s="353">
        <v>1.49</v>
      </c>
      <c r="W168" s="353">
        <v>1.5</v>
      </c>
      <c r="X168" s="353">
        <v>1.5</v>
      </c>
      <c r="Y168" s="353">
        <v>1.51</v>
      </c>
      <c r="Z168" s="353">
        <v>1.51</v>
      </c>
      <c r="AA168" s="353">
        <v>1.51</v>
      </c>
      <c r="AB168" s="353">
        <v>1.51</v>
      </c>
      <c r="AC168" s="353">
        <v>1.51</v>
      </c>
      <c r="AD168" s="353">
        <v>1.5</v>
      </c>
      <c r="AE168" s="353">
        <v>1.5</v>
      </c>
      <c r="AF168" s="353">
        <v>1.5</v>
      </c>
      <c r="AG168" s="353">
        <v>1.49</v>
      </c>
      <c r="AH168" s="353">
        <v>1.49</v>
      </c>
      <c r="AI168" s="353">
        <v>1.48</v>
      </c>
      <c r="AJ168" s="353">
        <v>1.48</v>
      </c>
      <c r="AK168" s="353">
        <v>1.48</v>
      </c>
      <c r="AL168" s="353">
        <v>1.47</v>
      </c>
      <c r="AM168" s="353">
        <v>1.47</v>
      </c>
      <c r="AN168" s="353">
        <v>1.47</v>
      </c>
      <c r="AO168" s="353">
        <v>1.46</v>
      </c>
      <c r="AP168" s="353">
        <v>1.46</v>
      </c>
      <c r="AQ168" s="353">
        <v>1.45</v>
      </c>
      <c r="AR168" s="353">
        <v>1.44</v>
      </c>
      <c r="AS168" s="353">
        <v>1.44</v>
      </c>
      <c r="AT168" s="353">
        <v>1.43</v>
      </c>
      <c r="AU168" s="353">
        <v>1.43</v>
      </c>
      <c r="AV168" s="353">
        <v>1.42</v>
      </c>
      <c r="AW168" s="353">
        <v>1.42</v>
      </c>
      <c r="AX168" s="353">
        <v>1.41</v>
      </c>
      <c r="AY168" s="353">
        <v>1.41</v>
      </c>
      <c r="BC168" s="442">
        <v>1.81</v>
      </c>
      <c r="BD168" s="684">
        <f>BD$166+(BD$172-BD$166)/7*$BH168</f>
        <v>48248.285714285717</v>
      </c>
      <c r="BE168" s="684">
        <f t="shared" si="17"/>
        <v>79262.142857142855</v>
      </c>
      <c r="BF168" s="684">
        <f t="shared" si="17"/>
        <v>42551.857142857145</v>
      </c>
      <c r="BG168" s="684">
        <f t="shared" si="17"/>
        <v>61202.571428571428</v>
      </c>
      <c r="BH168" s="684">
        <v>2</v>
      </c>
    </row>
    <row r="169" spans="1:60">
      <c r="A169" s="107">
        <v>44681</v>
      </c>
      <c r="B169" s="353">
        <v>0.28000000000000003</v>
      </c>
      <c r="C169" s="353">
        <v>0.34</v>
      </c>
      <c r="D169" s="353">
        <v>0.42</v>
      </c>
      <c r="E169" s="353">
        <v>0.51</v>
      </c>
      <c r="F169" s="353">
        <v>0.6</v>
      </c>
      <c r="G169" s="353">
        <v>0.69</v>
      </c>
      <c r="H169" s="353">
        <v>0.78</v>
      </c>
      <c r="I169" s="353">
        <v>0.88</v>
      </c>
      <c r="J169" s="353">
        <v>0.97</v>
      </c>
      <c r="K169" s="353">
        <v>1.06</v>
      </c>
      <c r="L169" s="353">
        <v>1.1299999999999999</v>
      </c>
      <c r="M169" s="353">
        <v>1.2</v>
      </c>
      <c r="N169" s="353">
        <v>1.26</v>
      </c>
      <c r="O169" s="353">
        <v>1.31</v>
      </c>
      <c r="P169" s="442">
        <v>1.36</v>
      </c>
      <c r="Q169" s="353">
        <v>1.39</v>
      </c>
      <c r="R169" s="353">
        <v>1.42</v>
      </c>
      <c r="S169" s="353">
        <v>1.45</v>
      </c>
      <c r="T169" s="353">
        <v>1.47</v>
      </c>
      <c r="U169" s="353">
        <v>1.49</v>
      </c>
      <c r="V169" s="353">
        <v>1.5</v>
      </c>
      <c r="W169" s="353">
        <v>1.5</v>
      </c>
      <c r="X169" s="353">
        <v>1.51</v>
      </c>
      <c r="Y169" s="353">
        <v>1.51</v>
      </c>
      <c r="Z169" s="353">
        <v>1.52</v>
      </c>
      <c r="AA169" s="353">
        <v>1.51</v>
      </c>
      <c r="AB169" s="353">
        <v>1.51</v>
      </c>
      <c r="AC169" s="353">
        <v>1.51</v>
      </c>
      <c r="AD169" s="353">
        <v>1.51</v>
      </c>
      <c r="AE169" s="353">
        <v>1.51</v>
      </c>
      <c r="AF169" s="353">
        <v>1.5</v>
      </c>
      <c r="AG169" s="353">
        <v>1.49</v>
      </c>
      <c r="AH169" s="353">
        <v>1.49</v>
      </c>
      <c r="AI169" s="353">
        <v>1.49</v>
      </c>
      <c r="AJ169" s="353">
        <v>1.48</v>
      </c>
      <c r="AK169" s="353">
        <v>1.48</v>
      </c>
      <c r="AL169" s="353">
        <v>1.47</v>
      </c>
      <c r="AM169" s="353">
        <v>1.47</v>
      </c>
      <c r="AN169" s="353">
        <v>1.47</v>
      </c>
      <c r="AO169" s="353">
        <v>1.46</v>
      </c>
      <c r="AP169" s="353">
        <v>1.46</v>
      </c>
      <c r="AQ169" s="353">
        <v>1.45</v>
      </c>
      <c r="AR169" s="353">
        <v>1.44</v>
      </c>
      <c r="AS169" s="353">
        <v>1.44</v>
      </c>
      <c r="AT169" s="353">
        <v>1.43</v>
      </c>
      <c r="AU169" s="353">
        <v>1.43</v>
      </c>
      <c r="AV169" s="353">
        <v>1.42</v>
      </c>
      <c r="AW169" s="353">
        <v>1.41</v>
      </c>
      <c r="AX169" s="353">
        <v>1.41</v>
      </c>
      <c r="AY169" s="353">
        <v>1.41</v>
      </c>
      <c r="BC169" s="442">
        <v>1.79</v>
      </c>
      <c r="BD169" s="684">
        <f>BD$166+(BD$172-BD$166)/7*$BH169</f>
        <v>48241.428571428572</v>
      </c>
      <c r="BE169" s="684">
        <f t="shared" si="17"/>
        <v>79716.71428571429</v>
      </c>
      <c r="BF169" s="684">
        <f t="shared" si="17"/>
        <v>42748.285714285717</v>
      </c>
      <c r="BG169" s="684">
        <f t="shared" si="17"/>
        <v>62167.857142857145</v>
      </c>
      <c r="BH169" s="684">
        <v>3</v>
      </c>
    </row>
    <row r="170" spans="1:60">
      <c r="A170" s="107">
        <v>44712</v>
      </c>
      <c r="B170" s="353">
        <v>0.28000000000000003</v>
      </c>
      <c r="C170" s="353">
        <v>0.35</v>
      </c>
      <c r="D170" s="353">
        <v>0.43</v>
      </c>
      <c r="E170" s="353">
        <v>0.52</v>
      </c>
      <c r="F170" s="353">
        <v>0.61</v>
      </c>
      <c r="G170" s="353">
        <v>0.7</v>
      </c>
      <c r="H170" s="353">
        <v>0.79</v>
      </c>
      <c r="I170" s="353">
        <v>0.89</v>
      </c>
      <c r="J170" s="353">
        <v>0.98</v>
      </c>
      <c r="K170" s="353">
        <v>1.07</v>
      </c>
      <c r="L170" s="353">
        <v>1.1399999999999999</v>
      </c>
      <c r="M170" s="353">
        <v>1.21</v>
      </c>
      <c r="N170" s="353">
        <v>1.27</v>
      </c>
      <c r="O170" s="353">
        <v>1.32</v>
      </c>
      <c r="P170" s="442">
        <v>1.37</v>
      </c>
      <c r="Q170" s="353">
        <v>1.4</v>
      </c>
      <c r="R170" s="353">
        <v>1.43</v>
      </c>
      <c r="S170" s="353">
        <v>1.45</v>
      </c>
      <c r="T170" s="353">
        <v>1.48</v>
      </c>
      <c r="U170" s="353">
        <v>1.5</v>
      </c>
      <c r="V170" s="353">
        <v>1.5</v>
      </c>
      <c r="W170" s="353">
        <v>1.51</v>
      </c>
      <c r="X170" s="353">
        <v>1.51</v>
      </c>
      <c r="Y170" s="353">
        <v>1.52</v>
      </c>
      <c r="Z170" s="353">
        <v>1.52</v>
      </c>
      <c r="AA170" s="353">
        <v>1.52</v>
      </c>
      <c r="AB170" s="353">
        <v>1.52</v>
      </c>
      <c r="AC170" s="353">
        <v>1.51</v>
      </c>
      <c r="AD170" s="353">
        <v>1.51</v>
      </c>
      <c r="AE170" s="353">
        <v>1.51</v>
      </c>
      <c r="AF170" s="353">
        <v>1.5</v>
      </c>
      <c r="AG170" s="353">
        <v>1.5</v>
      </c>
      <c r="AH170" s="353">
        <v>1.49</v>
      </c>
      <c r="AI170" s="353">
        <v>1.49</v>
      </c>
      <c r="AJ170" s="353">
        <v>1.48</v>
      </c>
      <c r="AK170" s="353">
        <v>1.48</v>
      </c>
      <c r="AL170" s="353">
        <v>1.47</v>
      </c>
      <c r="AM170" s="353">
        <v>1.47</v>
      </c>
      <c r="AN170" s="353">
        <v>1.47</v>
      </c>
      <c r="AO170" s="353">
        <v>1.46</v>
      </c>
      <c r="AP170" s="353">
        <v>1.46</v>
      </c>
      <c r="AQ170" s="353">
        <v>1.45</v>
      </c>
      <c r="AR170" s="353">
        <v>1.44</v>
      </c>
      <c r="AS170" s="353">
        <v>1.44</v>
      </c>
      <c r="AT170" s="353">
        <v>1.43</v>
      </c>
      <c r="AU170" s="353">
        <v>1.43</v>
      </c>
      <c r="AV170" s="353">
        <v>1.42</v>
      </c>
      <c r="AW170" s="353">
        <v>1.42</v>
      </c>
      <c r="AX170" s="353">
        <v>1.41</v>
      </c>
      <c r="AY170" s="353">
        <v>1.41</v>
      </c>
      <c r="BC170" s="442">
        <v>1.79</v>
      </c>
      <c r="BD170" s="684">
        <f>BD$166+(BD$172-BD$166)/7*$BH170</f>
        <v>48234.571428571428</v>
      </c>
      <c r="BE170" s="684">
        <f t="shared" si="17"/>
        <v>80171.28571428571</v>
      </c>
      <c r="BF170" s="684">
        <f t="shared" si="17"/>
        <v>42944.714285714283</v>
      </c>
      <c r="BG170" s="684">
        <f t="shared" si="17"/>
        <v>63133.142857142855</v>
      </c>
      <c r="BH170" s="684">
        <v>4</v>
      </c>
    </row>
    <row r="171" spans="1:60">
      <c r="A171" s="107">
        <v>44742</v>
      </c>
      <c r="B171" s="353">
        <v>0.28999999999999998</v>
      </c>
      <c r="C171" s="353">
        <v>0.37</v>
      </c>
      <c r="D171" s="353">
        <v>0.45</v>
      </c>
      <c r="E171" s="353">
        <v>0.53</v>
      </c>
      <c r="F171" s="353">
        <v>0.62</v>
      </c>
      <c r="G171" s="353">
        <v>0.72</v>
      </c>
      <c r="H171" s="353">
        <v>0.81</v>
      </c>
      <c r="I171" s="353">
        <v>0.9</v>
      </c>
      <c r="J171" s="353">
        <v>0.99</v>
      </c>
      <c r="K171" s="353">
        <v>1.08</v>
      </c>
      <c r="L171" s="353">
        <v>1.1599999999999999</v>
      </c>
      <c r="M171" s="353">
        <v>1.22</v>
      </c>
      <c r="N171" s="353">
        <v>1.28</v>
      </c>
      <c r="O171" s="353">
        <v>1.33</v>
      </c>
      <c r="P171" s="442">
        <v>1.38</v>
      </c>
      <c r="Q171" s="353">
        <v>1.41</v>
      </c>
      <c r="R171" s="353">
        <v>1.44</v>
      </c>
      <c r="S171" s="353">
        <v>1.46</v>
      </c>
      <c r="T171" s="353">
        <v>1.48</v>
      </c>
      <c r="U171" s="353">
        <v>1.5</v>
      </c>
      <c r="V171" s="353">
        <v>1.51</v>
      </c>
      <c r="W171" s="353">
        <v>1.51</v>
      </c>
      <c r="X171" s="353">
        <v>1.52</v>
      </c>
      <c r="Y171" s="353">
        <v>1.52</v>
      </c>
      <c r="Z171" s="353">
        <v>1.53</v>
      </c>
      <c r="AA171" s="353">
        <v>1.52</v>
      </c>
      <c r="AB171" s="353">
        <v>1.52</v>
      </c>
      <c r="AC171" s="353">
        <v>1.52</v>
      </c>
      <c r="AD171" s="353">
        <v>1.51</v>
      </c>
      <c r="AE171" s="353">
        <v>1.51</v>
      </c>
      <c r="AF171" s="353">
        <v>1.5</v>
      </c>
      <c r="AG171" s="353">
        <v>1.5</v>
      </c>
      <c r="AH171" s="353">
        <v>1.49</v>
      </c>
      <c r="AI171" s="353">
        <v>1.49</v>
      </c>
      <c r="AJ171" s="353">
        <v>1.48</v>
      </c>
      <c r="AK171" s="353">
        <v>1.48</v>
      </c>
      <c r="AL171" s="353">
        <v>1.47</v>
      </c>
      <c r="AM171" s="353">
        <v>1.47</v>
      </c>
      <c r="AN171" s="353">
        <v>1.47</v>
      </c>
      <c r="AO171" s="353">
        <v>1.46</v>
      </c>
      <c r="AP171" s="353">
        <v>1.46</v>
      </c>
      <c r="AQ171" s="353">
        <v>1.45</v>
      </c>
      <c r="AR171" s="353">
        <v>1.44</v>
      </c>
      <c r="AS171" s="353">
        <v>1.44</v>
      </c>
      <c r="AT171" s="353">
        <v>1.43</v>
      </c>
      <c r="AU171" s="353">
        <v>1.42</v>
      </c>
      <c r="AV171" s="353">
        <v>1.42</v>
      </c>
      <c r="AW171" s="353">
        <v>1.41</v>
      </c>
      <c r="AX171" s="353">
        <v>1.41</v>
      </c>
      <c r="AY171" s="353">
        <v>1.4</v>
      </c>
      <c r="BC171" s="442">
        <v>1.78</v>
      </c>
      <c r="BD171" s="684">
        <f>BD$166+(BD$172-BD$166)/7*$BH171</f>
        <v>48227.714285714283</v>
      </c>
      <c r="BE171" s="684">
        <f t="shared" si="17"/>
        <v>80625.857142857145</v>
      </c>
      <c r="BF171" s="684">
        <f t="shared" si="17"/>
        <v>43141.142857142855</v>
      </c>
      <c r="BG171" s="684">
        <f t="shared" si="17"/>
        <v>64098.428571428572</v>
      </c>
      <c r="BH171" s="684">
        <v>5</v>
      </c>
    </row>
    <row r="172" spans="1:60">
      <c r="A172" s="107">
        <v>44773</v>
      </c>
      <c r="B172" s="353">
        <v>0.3</v>
      </c>
      <c r="C172" s="353">
        <v>0.38</v>
      </c>
      <c r="D172" s="353">
        <v>0.45</v>
      </c>
      <c r="E172" s="353">
        <v>0.54</v>
      </c>
      <c r="F172" s="353">
        <v>0.63</v>
      </c>
      <c r="G172" s="353">
        <v>0.72</v>
      </c>
      <c r="H172" s="353">
        <v>0.82</v>
      </c>
      <c r="I172" s="353">
        <v>0.91</v>
      </c>
      <c r="J172" s="353">
        <v>1</v>
      </c>
      <c r="K172" s="353">
        <v>1.08</v>
      </c>
      <c r="L172" s="353">
        <v>1.1599999999999999</v>
      </c>
      <c r="M172" s="353">
        <v>1.22</v>
      </c>
      <c r="N172" s="353">
        <v>1.29</v>
      </c>
      <c r="O172" s="353">
        <v>1.34</v>
      </c>
      <c r="P172" s="442">
        <v>1.38</v>
      </c>
      <c r="Q172" s="353">
        <v>1.41</v>
      </c>
      <c r="R172" s="353">
        <v>1.44</v>
      </c>
      <c r="S172" s="353">
        <v>1.46</v>
      </c>
      <c r="T172" s="353">
        <v>1.48</v>
      </c>
      <c r="U172" s="353">
        <v>1.5</v>
      </c>
      <c r="V172" s="353">
        <v>1.51</v>
      </c>
      <c r="W172" s="353">
        <v>1.51</v>
      </c>
      <c r="X172" s="353">
        <v>1.52</v>
      </c>
      <c r="Y172" s="353">
        <v>1.52</v>
      </c>
      <c r="Z172" s="353">
        <v>1.52</v>
      </c>
      <c r="AA172" s="353">
        <v>1.52</v>
      </c>
      <c r="AB172" s="353">
        <v>1.52</v>
      </c>
      <c r="AC172" s="353">
        <v>1.51</v>
      </c>
      <c r="AD172" s="353">
        <v>1.51</v>
      </c>
      <c r="AE172" s="353">
        <v>1.51</v>
      </c>
      <c r="AF172" s="353">
        <v>1.5</v>
      </c>
      <c r="AG172" s="353">
        <v>1.49</v>
      </c>
      <c r="AH172" s="353">
        <v>1.49</v>
      </c>
      <c r="AI172" s="353">
        <v>1.48</v>
      </c>
      <c r="AJ172" s="353">
        <v>1.48</v>
      </c>
      <c r="AK172" s="353">
        <v>1.47</v>
      </c>
      <c r="AL172" s="353">
        <v>1.47</v>
      </c>
      <c r="AM172" s="353">
        <v>1.47</v>
      </c>
      <c r="AN172" s="353">
        <v>1.46</v>
      </c>
      <c r="AO172" s="353">
        <v>1.46</v>
      </c>
      <c r="AP172" s="353">
        <v>1.45</v>
      </c>
      <c r="AQ172" s="353">
        <v>1.44</v>
      </c>
      <c r="AR172" s="353">
        <v>1.44</v>
      </c>
      <c r="AS172" s="353">
        <v>1.43</v>
      </c>
      <c r="AT172" s="353">
        <v>1.42</v>
      </c>
      <c r="AU172" s="353">
        <v>1.42</v>
      </c>
      <c r="AV172" s="353">
        <v>1.41</v>
      </c>
      <c r="AW172" s="353">
        <v>1.41</v>
      </c>
      <c r="AX172" s="353">
        <v>1.4</v>
      </c>
      <c r="AY172" s="353">
        <v>1.4</v>
      </c>
      <c r="BC172" s="442">
        <v>1.78</v>
      </c>
      <c r="BD172" s="684">
        <v>48214</v>
      </c>
      <c r="BE172" s="684">
        <v>81535</v>
      </c>
      <c r="BF172" s="684">
        <v>43534</v>
      </c>
      <c r="BG172" s="684">
        <v>66029</v>
      </c>
      <c r="BH172" s="684">
        <v>6</v>
      </c>
    </row>
    <row r="173" spans="1:60">
      <c r="A173" s="766">
        <v>44804</v>
      </c>
      <c r="B173" s="353">
        <v>0.32</v>
      </c>
      <c r="C173" s="353">
        <v>0.4</v>
      </c>
      <c r="D173" s="353">
        <v>0.47</v>
      </c>
      <c r="E173" s="353">
        <v>0.56000000000000005</v>
      </c>
      <c r="F173" s="353">
        <v>0.65</v>
      </c>
      <c r="G173" s="353">
        <v>0.74</v>
      </c>
      <c r="H173" s="353">
        <v>0.83</v>
      </c>
      <c r="I173" s="353">
        <v>0.92</v>
      </c>
      <c r="J173" s="353">
        <v>1.01</v>
      </c>
      <c r="K173" s="353">
        <v>1.0900000000000001</v>
      </c>
      <c r="L173" s="353">
        <v>1.17</v>
      </c>
      <c r="M173" s="353">
        <v>1.23</v>
      </c>
      <c r="N173" s="353">
        <v>1.29</v>
      </c>
      <c r="O173" s="353">
        <v>1.34</v>
      </c>
      <c r="P173" s="442">
        <v>1.39</v>
      </c>
      <c r="Q173" s="353">
        <v>1.42</v>
      </c>
      <c r="R173" s="353">
        <v>1.44</v>
      </c>
      <c r="S173" s="353">
        <v>1.47</v>
      </c>
      <c r="T173" s="353">
        <v>1.49</v>
      </c>
      <c r="U173" s="353">
        <v>1.51</v>
      </c>
      <c r="V173" s="353">
        <v>1.51</v>
      </c>
      <c r="W173" s="353">
        <v>1.51</v>
      </c>
      <c r="X173" s="353">
        <v>1.52</v>
      </c>
      <c r="Y173" s="353">
        <v>1.52</v>
      </c>
      <c r="Z173" s="353">
        <v>1.52</v>
      </c>
      <c r="AA173" s="353">
        <v>1.52</v>
      </c>
      <c r="AB173" s="353">
        <v>1.52</v>
      </c>
      <c r="AC173" s="353">
        <v>1.51</v>
      </c>
      <c r="AD173" s="353">
        <v>1.51</v>
      </c>
      <c r="AE173" s="353">
        <v>1.51</v>
      </c>
      <c r="AF173" s="353">
        <v>1.5</v>
      </c>
      <c r="AG173" s="353">
        <v>1.49</v>
      </c>
      <c r="AH173" s="353">
        <v>1.49</v>
      </c>
      <c r="AI173" s="353">
        <v>1.48</v>
      </c>
      <c r="AJ173" s="353">
        <v>1.48</v>
      </c>
      <c r="AK173" s="353">
        <v>1.47</v>
      </c>
      <c r="AL173" s="353">
        <v>1.47</v>
      </c>
      <c r="AM173" s="353">
        <v>1.46</v>
      </c>
      <c r="AN173" s="353">
        <v>1.46</v>
      </c>
      <c r="AO173" s="353">
        <v>1.45</v>
      </c>
      <c r="AP173" s="353">
        <v>1.45</v>
      </c>
      <c r="AQ173" s="353">
        <v>1.44</v>
      </c>
      <c r="AR173" s="353">
        <v>1.43</v>
      </c>
      <c r="AS173" s="353">
        <v>1.43</v>
      </c>
      <c r="AT173" s="353">
        <v>1.42</v>
      </c>
      <c r="AU173" s="353">
        <v>1.41</v>
      </c>
      <c r="AV173" s="353">
        <v>1.41</v>
      </c>
      <c r="AW173" s="353">
        <v>1.4</v>
      </c>
      <c r="AX173" s="353">
        <v>1.4</v>
      </c>
      <c r="AY173" s="353">
        <v>1.39</v>
      </c>
      <c r="BH173" s="684">
        <v>7</v>
      </c>
    </row>
    <row r="174" spans="1:60">
      <c r="A174" s="766">
        <v>44834</v>
      </c>
      <c r="B174" s="353">
        <v>0.34</v>
      </c>
      <c r="C174" s="353">
        <v>0.43</v>
      </c>
      <c r="D174" s="353">
        <v>0.5</v>
      </c>
      <c r="E174" s="353">
        <v>0.59</v>
      </c>
      <c r="F174" s="353">
        <v>0.67</v>
      </c>
      <c r="G174" s="353">
        <v>0.76</v>
      </c>
      <c r="H174" s="353">
        <v>0.85</v>
      </c>
      <c r="I174" s="353">
        <v>0.94</v>
      </c>
      <c r="J174" s="353">
        <v>1.03</v>
      </c>
      <c r="K174" s="353">
        <v>1.1100000000000001</v>
      </c>
      <c r="L174" s="353">
        <v>1.19</v>
      </c>
      <c r="M174" s="353">
        <v>1.25</v>
      </c>
      <c r="N174" s="353">
        <v>1.31</v>
      </c>
      <c r="O174" s="353">
        <v>1.36</v>
      </c>
      <c r="P174" s="442">
        <v>1.4</v>
      </c>
      <c r="Q174" s="353">
        <v>1.43</v>
      </c>
      <c r="R174" s="353">
        <v>1.46</v>
      </c>
      <c r="S174" s="353">
        <v>1.48</v>
      </c>
      <c r="T174" s="353">
        <v>1.5</v>
      </c>
      <c r="U174" s="353">
        <v>1.52</v>
      </c>
      <c r="V174" s="353">
        <v>1.52</v>
      </c>
      <c r="W174" s="353">
        <v>1.52</v>
      </c>
      <c r="X174" s="353">
        <v>1.52</v>
      </c>
      <c r="Y174" s="353">
        <v>1.53</v>
      </c>
      <c r="Z174" s="353">
        <v>1.53</v>
      </c>
      <c r="AA174" s="353">
        <v>1.52</v>
      </c>
      <c r="AB174" s="353">
        <v>1.52</v>
      </c>
      <c r="AC174" s="353">
        <v>1.52</v>
      </c>
      <c r="AD174" s="353">
        <v>1.51</v>
      </c>
      <c r="AE174" s="353">
        <v>1.51</v>
      </c>
      <c r="AF174" s="353">
        <v>1.5</v>
      </c>
      <c r="AG174" s="353">
        <v>1.49</v>
      </c>
      <c r="AH174" s="353">
        <v>1.49</v>
      </c>
      <c r="AI174" s="353">
        <v>1.48</v>
      </c>
      <c r="AJ174" s="353">
        <v>1.48</v>
      </c>
      <c r="AK174" s="353">
        <v>1.47</v>
      </c>
      <c r="AL174" s="353">
        <v>1.47</v>
      </c>
      <c r="AM174" s="353">
        <v>1.46</v>
      </c>
      <c r="AN174" s="353">
        <v>1.46</v>
      </c>
      <c r="AO174" s="353">
        <v>1.45</v>
      </c>
      <c r="AP174" s="353">
        <v>1.45</v>
      </c>
      <c r="AQ174" s="353">
        <v>1.44</v>
      </c>
      <c r="AR174" s="353">
        <v>1.43</v>
      </c>
      <c r="AS174" s="353">
        <v>1.42</v>
      </c>
      <c r="AT174" s="353">
        <v>1.42</v>
      </c>
      <c r="AU174" s="353">
        <v>1.41</v>
      </c>
      <c r="AV174" s="353">
        <v>1.4</v>
      </c>
      <c r="AW174" s="353">
        <v>1.4</v>
      </c>
      <c r="AX174" s="353">
        <v>1.39</v>
      </c>
      <c r="AY174" s="353">
        <v>1.39</v>
      </c>
      <c r="BH174" s="684">
        <v>8</v>
      </c>
    </row>
    <row r="175" spans="1:60">
      <c r="A175" s="766">
        <v>44865</v>
      </c>
      <c r="B175" s="353">
        <v>0.37</v>
      </c>
      <c r="C175" s="353">
        <v>0.46</v>
      </c>
      <c r="D175" s="353">
        <v>0.53</v>
      </c>
      <c r="E175" s="353">
        <v>0.62</v>
      </c>
      <c r="F175" s="353">
        <v>0.7</v>
      </c>
      <c r="G175" s="353">
        <v>0.79</v>
      </c>
      <c r="H175" s="353">
        <v>0.88</v>
      </c>
      <c r="I175" s="353">
        <v>0.97</v>
      </c>
      <c r="J175" s="353">
        <v>1.05</v>
      </c>
      <c r="K175" s="353">
        <v>1.1299999999999999</v>
      </c>
      <c r="L175" s="353">
        <v>1.21</v>
      </c>
      <c r="M175" s="353">
        <v>1.27</v>
      </c>
      <c r="N175" s="353">
        <v>1.33</v>
      </c>
      <c r="O175" s="353">
        <v>1.38</v>
      </c>
      <c r="P175" s="442">
        <v>1.42</v>
      </c>
      <c r="Q175" s="353">
        <v>1.45</v>
      </c>
      <c r="R175" s="353">
        <v>1.47</v>
      </c>
      <c r="S175" s="353">
        <v>1.49</v>
      </c>
      <c r="T175" s="353">
        <v>1.51</v>
      </c>
      <c r="U175" s="353">
        <v>1.53</v>
      </c>
      <c r="V175" s="353">
        <v>1.53</v>
      </c>
      <c r="W175" s="353">
        <v>1.53</v>
      </c>
      <c r="X175" s="353">
        <v>1.53</v>
      </c>
      <c r="Y175" s="353">
        <v>1.54</v>
      </c>
      <c r="Z175" s="353">
        <v>1.54</v>
      </c>
      <c r="AA175" s="353">
        <v>1.53</v>
      </c>
      <c r="AB175" s="353">
        <v>1.53</v>
      </c>
      <c r="AC175" s="353">
        <v>1.52</v>
      </c>
      <c r="AD175" s="353">
        <v>1.52</v>
      </c>
      <c r="AE175" s="353">
        <v>1.51</v>
      </c>
      <c r="AF175" s="353">
        <v>1.51</v>
      </c>
      <c r="AG175" s="353">
        <v>1.5</v>
      </c>
      <c r="AH175" s="353">
        <v>1.49</v>
      </c>
      <c r="AI175" s="353">
        <v>1.49</v>
      </c>
      <c r="AJ175" s="353">
        <v>1.48</v>
      </c>
      <c r="AK175" s="353">
        <v>1.47</v>
      </c>
      <c r="AL175" s="353">
        <v>1.47</v>
      </c>
      <c r="AM175" s="353">
        <v>1.46</v>
      </c>
      <c r="AN175" s="353">
        <v>1.46</v>
      </c>
      <c r="AO175" s="353">
        <v>1.45</v>
      </c>
      <c r="AP175" s="353">
        <v>1.45</v>
      </c>
      <c r="AQ175" s="353">
        <v>1.44</v>
      </c>
      <c r="AR175" s="353">
        <v>1.43</v>
      </c>
      <c r="AS175" s="353">
        <v>1.42</v>
      </c>
      <c r="AT175" s="353">
        <v>1.42</v>
      </c>
      <c r="AU175" s="353">
        <v>1.41</v>
      </c>
      <c r="AV175" s="353">
        <v>1.4</v>
      </c>
      <c r="AW175" s="353">
        <v>1.4</v>
      </c>
      <c r="AX175" s="353">
        <v>1.39</v>
      </c>
      <c r="AY175" s="353">
        <v>1.39</v>
      </c>
      <c r="BH175" s="684">
        <v>9</v>
      </c>
    </row>
    <row r="176" spans="1:60">
      <c r="A176" s="766">
        <v>44895</v>
      </c>
      <c r="B176" s="353">
        <v>0.4</v>
      </c>
      <c r="C176" s="353">
        <v>0.48</v>
      </c>
      <c r="D176" s="353">
        <v>0.56000000000000005</v>
      </c>
      <c r="E176" s="353">
        <v>0.64</v>
      </c>
      <c r="F176" s="353">
        <v>0.72</v>
      </c>
      <c r="G176" s="353">
        <v>0.81</v>
      </c>
      <c r="H176" s="353">
        <v>0.9</v>
      </c>
      <c r="I176" s="353">
        <v>0.98</v>
      </c>
      <c r="J176" s="353">
        <v>1.07</v>
      </c>
      <c r="K176" s="353">
        <v>1.1499999999999999</v>
      </c>
      <c r="L176" s="353">
        <v>1.22</v>
      </c>
      <c r="M176" s="353">
        <v>1.28</v>
      </c>
      <c r="N176" s="353">
        <v>1.34</v>
      </c>
      <c r="O176" s="353">
        <v>1.39</v>
      </c>
      <c r="P176" s="442">
        <v>1.43</v>
      </c>
      <c r="Q176" s="353">
        <v>1.46</v>
      </c>
      <c r="R176" s="353">
        <v>1.48</v>
      </c>
      <c r="S176" s="353">
        <v>1.5</v>
      </c>
      <c r="T176" s="353">
        <v>1.52</v>
      </c>
      <c r="U176" s="353">
        <v>1.53</v>
      </c>
      <c r="V176" s="353">
        <v>1.53</v>
      </c>
      <c r="W176" s="353">
        <v>1.54</v>
      </c>
      <c r="X176" s="353">
        <v>1.54</v>
      </c>
      <c r="Y176" s="353">
        <v>1.54</v>
      </c>
      <c r="Z176" s="353">
        <v>1.54</v>
      </c>
      <c r="AA176" s="353">
        <v>1.53</v>
      </c>
      <c r="AB176" s="353">
        <v>1.53</v>
      </c>
      <c r="AC176" s="353">
        <v>1.52</v>
      </c>
      <c r="AD176" s="353">
        <v>1.52</v>
      </c>
      <c r="AE176" s="353">
        <v>1.51</v>
      </c>
      <c r="AF176" s="353">
        <v>1.5</v>
      </c>
      <c r="AG176" s="353">
        <v>1.5</v>
      </c>
      <c r="AH176" s="353">
        <v>1.49</v>
      </c>
      <c r="AI176" s="353">
        <v>1.48</v>
      </c>
      <c r="AJ176" s="353">
        <v>1.48</v>
      </c>
      <c r="AK176" s="353">
        <v>1.47</v>
      </c>
      <c r="AL176" s="353">
        <v>1.47</v>
      </c>
      <c r="AM176" s="353">
        <v>1.46</v>
      </c>
      <c r="AN176" s="353">
        <v>1.46</v>
      </c>
      <c r="AO176" s="353">
        <v>1.45</v>
      </c>
      <c r="AP176" s="353">
        <v>1.44</v>
      </c>
      <c r="AQ176" s="353">
        <v>1.43</v>
      </c>
      <c r="AR176" s="353">
        <v>1.43</v>
      </c>
      <c r="AS176" s="353">
        <v>1.42</v>
      </c>
      <c r="AT176" s="353">
        <v>1.41</v>
      </c>
      <c r="AU176" s="353">
        <v>1.41</v>
      </c>
      <c r="AV176" s="353">
        <v>1.4</v>
      </c>
      <c r="AW176" s="353">
        <v>1.39</v>
      </c>
      <c r="AX176" s="353">
        <v>1.39</v>
      </c>
      <c r="AY176" s="353">
        <v>1.38</v>
      </c>
      <c r="BH176" s="684">
        <v>10</v>
      </c>
    </row>
    <row r="177" spans="1:60">
      <c r="A177" s="766">
        <v>44926</v>
      </c>
      <c r="B177" s="353">
        <v>0.43</v>
      </c>
      <c r="C177" s="353">
        <v>0.52</v>
      </c>
      <c r="D177" s="353">
        <v>0.59</v>
      </c>
      <c r="E177" s="353">
        <v>0.67</v>
      </c>
      <c r="F177" s="353">
        <v>0.75</v>
      </c>
      <c r="G177" s="353">
        <v>0.84</v>
      </c>
      <c r="H177" s="353">
        <v>0.92</v>
      </c>
      <c r="I177" s="353">
        <v>1.01</v>
      </c>
      <c r="J177" s="353">
        <v>1.0900000000000001</v>
      </c>
      <c r="K177" s="353">
        <v>1.17</v>
      </c>
      <c r="L177" s="353">
        <v>1.24</v>
      </c>
      <c r="M177" s="353">
        <v>1.3</v>
      </c>
      <c r="N177" s="353">
        <v>1.36</v>
      </c>
      <c r="O177" s="353">
        <v>1.4</v>
      </c>
      <c r="P177" s="442">
        <v>1.44</v>
      </c>
      <c r="Q177" s="353">
        <v>1.47</v>
      </c>
      <c r="R177" s="353">
        <v>1.49</v>
      </c>
      <c r="S177" s="353">
        <v>1.51</v>
      </c>
      <c r="T177" s="353">
        <v>1.53</v>
      </c>
      <c r="U177" s="353">
        <v>1.54</v>
      </c>
      <c r="V177" s="353">
        <v>1.54</v>
      </c>
      <c r="W177" s="353">
        <v>1.54</v>
      </c>
      <c r="X177" s="353">
        <v>1.54</v>
      </c>
      <c r="Y177" s="353">
        <v>1.54</v>
      </c>
      <c r="Z177" s="353">
        <v>1.54</v>
      </c>
      <c r="AA177" s="353">
        <v>1.54</v>
      </c>
      <c r="AB177" s="353">
        <v>1.53</v>
      </c>
      <c r="AC177" s="353">
        <v>1.53</v>
      </c>
      <c r="AD177" s="353">
        <v>1.52</v>
      </c>
      <c r="AE177" s="353">
        <v>1.51</v>
      </c>
      <c r="AF177" s="353">
        <v>1.51</v>
      </c>
      <c r="AG177" s="353">
        <v>1.5</v>
      </c>
      <c r="AH177" s="353">
        <v>1.49</v>
      </c>
      <c r="AI177" s="353">
        <v>1.48</v>
      </c>
      <c r="AJ177" s="353">
        <v>1.48</v>
      </c>
      <c r="AK177" s="353">
        <v>1.47</v>
      </c>
      <c r="AL177" s="353">
        <v>1.47</v>
      </c>
      <c r="AM177" s="353">
        <v>1.46</v>
      </c>
      <c r="AN177" s="353">
        <v>1.45</v>
      </c>
      <c r="AO177" s="353">
        <v>1.45</v>
      </c>
      <c r="AP177" s="353">
        <v>1.44</v>
      </c>
      <c r="AQ177" s="353">
        <v>1.43</v>
      </c>
      <c r="AR177" s="353">
        <v>1.42</v>
      </c>
      <c r="AS177" s="353">
        <v>1.42</v>
      </c>
      <c r="AT177" s="353">
        <v>1.41</v>
      </c>
      <c r="AU177" s="353">
        <v>1.4</v>
      </c>
      <c r="AV177" s="353">
        <v>1.4</v>
      </c>
      <c r="AW177" s="353">
        <v>1.39</v>
      </c>
      <c r="AX177" s="353">
        <v>1.38</v>
      </c>
      <c r="AY177" s="353">
        <v>1.38</v>
      </c>
      <c r="AZ177" s="500"/>
      <c r="BH177" s="684"/>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198">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6">
        <v>44957</v>
      </c>
      <c r="B179" s="353">
        <v>0.46</v>
      </c>
      <c r="C179" s="353">
        <v>0.55000000000000004</v>
      </c>
      <c r="D179" s="353">
        <v>0.62</v>
      </c>
      <c r="E179" s="353">
        <v>0.7</v>
      </c>
      <c r="F179" s="353">
        <v>0.78</v>
      </c>
      <c r="G179" s="353">
        <v>0.86</v>
      </c>
      <c r="H179" s="353">
        <v>0.95</v>
      </c>
      <c r="I179" s="353">
        <v>1.03</v>
      </c>
      <c r="J179" s="353">
        <v>1.1100000000000001</v>
      </c>
      <c r="K179" s="353">
        <v>1.19</v>
      </c>
      <c r="L179" s="353">
        <v>1.26</v>
      </c>
      <c r="M179" s="353">
        <v>1.32</v>
      </c>
      <c r="N179" s="353">
        <v>1.37</v>
      </c>
      <c r="O179" s="353">
        <v>1.42</v>
      </c>
      <c r="P179" s="442">
        <v>1.46</v>
      </c>
      <c r="Q179" s="353">
        <v>1.48</v>
      </c>
      <c r="R179" s="353">
        <v>1.5</v>
      </c>
      <c r="S179" s="353">
        <v>1.52</v>
      </c>
      <c r="T179" s="353">
        <v>1.54</v>
      </c>
      <c r="U179" s="353">
        <v>1.55</v>
      </c>
      <c r="V179" s="353">
        <v>1.55</v>
      </c>
      <c r="W179" s="353">
        <v>1.55</v>
      </c>
      <c r="X179" s="353">
        <v>1.55</v>
      </c>
      <c r="Y179" s="353">
        <v>1.55</v>
      </c>
      <c r="Z179" s="353">
        <v>1.55</v>
      </c>
      <c r="AA179" s="353">
        <v>1.54</v>
      </c>
      <c r="AB179" s="353">
        <v>1.54</v>
      </c>
      <c r="AC179" s="353">
        <v>1.53</v>
      </c>
      <c r="AD179" s="353">
        <v>1.53</v>
      </c>
      <c r="AE179" s="353">
        <v>1.52</v>
      </c>
      <c r="AF179" s="353">
        <v>1.51</v>
      </c>
      <c r="AG179" s="353">
        <v>1.5</v>
      </c>
      <c r="AH179" s="353">
        <v>1.49</v>
      </c>
      <c r="AI179" s="353">
        <v>1.49</v>
      </c>
      <c r="AJ179" s="353">
        <v>1.48</v>
      </c>
      <c r="AK179" s="353">
        <v>1.47</v>
      </c>
      <c r="AL179" s="353">
        <v>1.47</v>
      </c>
      <c r="AM179" s="353">
        <v>1.46</v>
      </c>
      <c r="AN179" s="353">
        <v>1.46</v>
      </c>
      <c r="AO179" s="353">
        <v>1.45</v>
      </c>
      <c r="AP179" s="353">
        <v>1.44</v>
      </c>
      <c r="AQ179" s="353">
        <v>1.43</v>
      </c>
      <c r="AR179" s="353">
        <v>1.43</v>
      </c>
      <c r="AS179" s="353">
        <v>1.42</v>
      </c>
      <c r="AT179" s="353">
        <v>1.41</v>
      </c>
      <c r="AU179" s="353">
        <v>1.4</v>
      </c>
      <c r="AV179" s="353">
        <v>1.4</v>
      </c>
      <c r="AW179" s="353">
        <v>1.39</v>
      </c>
      <c r="AX179" s="353">
        <v>1.38</v>
      </c>
      <c r="AY179" s="353">
        <v>1.38</v>
      </c>
    </row>
    <row r="180" spans="1:60">
      <c r="A180" s="766">
        <v>44985</v>
      </c>
      <c r="B180" s="353">
        <v>0.5</v>
      </c>
      <c r="C180" s="353">
        <v>0.6</v>
      </c>
      <c r="D180" s="353">
        <v>0.66</v>
      </c>
      <c r="E180" s="353">
        <v>0.74</v>
      </c>
      <c r="F180" s="353">
        <v>0.82</v>
      </c>
      <c r="G180" s="353">
        <v>0.9</v>
      </c>
      <c r="H180" s="353">
        <v>0.98</v>
      </c>
      <c r="I180" s="353">
        <v>1.06</v>
      </c>
      <c r="J180" s="353">
        <v>1.1399999999999999</v>
      </c>
      <c r="K180" s="353">
        <v>1.22</v>
      </c>
      <c r="L180" s="353">
        <v>1.28</v>
      </c>
      <c r="M180" s="353">
        <v>1.34</v>
      </c>
      <c r="N180" s="353">
        <v>1.4</v>
      </c>
      <c r="O180" s="353">
        <v>1.44</v>
      </c>
      <c r="P180" s="442">
        <v>1.48</v>
      </c>
      <c r="Q180" s="353">
        <v>1.5</v>
      </c>
      <c r="R180" s="353">
        <v>1.52</v>
      </c>
      <c r="S180" s="353">
        <v>1.54</v>
      </c>
      <c r="T180" s="353">
        <v>1.55</v>
      </c>
      <c r="U180" s="353">
        <v>1.57</v>
      </c>
      <c r="V180" s="353">
        <v>1.57</v>
      </c>
      <c r="W180" s="353">
        <v>1.57</v>
      </c>
      <c r="X180" s="353">
        <v>1.57</v>
      </c>
      <c r="Y180" s="353">
        <v>1.57</v>
      </c>
      <c r="Z180" s="353">
        <v>1.57</v>
      </c>
      <c r="AA180" s="353">
        <v>1.56</v>
      </c>
      <c r="AB180" s="353">
        <v>1.55</v>
      </c>
      <c r="AC180" s="353">
        <v>1.54</v>
      </c>
      <c r="AD180" s="353">
        <v>1.54</v>
      </c>
      <c r="AE180" s="353">
        <v>1.53</v>
      </c>
      <c r="AF180" s="353">
        <v>1.52</v>
      </c>
      <c r="AG180" s="353">
        <v>1.51</v>
      </c>
      <c r="AH180" s="353">
        <v>1.51</v>
      </c>
      <c r="AI180" s="353">
        <v>1.5</v>
      </c>
      <c r="AJ180" s="353">
        <v>1.49</v>
      </c>
      <c r="AK180" s="353">
        <v>1.48</v>
      </c>
      <c r="AL180" s="353">
        <v>1.48</v>
      </c>
      <c r="AM180" s="353">
        <v>1.47</v>
      </c>
      <c r="AN180" s="353">
        <v>1.47</v>
      </c>
      <c r="AO180" s="353">
        <v>1.46</v>
      </c>
      <c r="AP180" s="353">
        <v>1.45</v>
      </c>
      <c r="AQ180" s="353">
        <v>1.44</v>
      </c>
      <c r="AR180" s="353">
        <v>1.44</v>
      </c>
      <c r="AS180" s="353">
        <v>1.43</v>
      </c>
      <c r="AT180" s="353">
        <v>1.42</v>
      </c>
      <c r="AU180" s="353">
        <v>1.41</v>
      </c>
      <c r="AV180" s="353">
        <v>1.41</v>
      </c>
      <c r="AW180" s="353">
        <v>1.4</v>
      </c>
      <c r="AX180" s="353">
        <v>1.39</v>
      </c>
      <c r="AY180" s="353">
        <v>1.39</v>
      </c>
      <c r="AZ180" s="500"/>
    </row>
    <row r="181" spans="1:60">
      <c r="A181" s="766">
        <v>45016</v>
      </c>
      <c r="B181" s="353">
        <v>0.55000000000000004</v>
      </c>
      <c r="C181" s="353">
        <v>0.64</v>
      </c>
      <c r="D181" s="353">
        <v>0.7</v>
      </c>
      <c r="E181" s="353">
        <v>0.77</v>
      </c>
      <c r="F181" s="353">
        <v>0.85</v>
      </c>
      <c r="G181" s="353">
        <v>0.93</v>
      </c>
      <c r="H181" s="353">
        <v>1.01</v>
      </c>
      <c r="I181" s="353">
        <v>1.0900000000000001</v>
      </c>
      <c r="J181" s="353">
        <v>1.1599999999999999</v>
      </c>
      <c r="K181" s="353">
        <v>1.24</v>
      </c>
      <c r="L181" s="353">
        <v>1.31</v>
      </c>
      <c r="M181" s="353">
        <v>1.37</v>
      </c>
      <c r="N181" s="353">
        <v>1.42</v>
      </c>
      <c r="O181" s="353">
        <v>1.46</v>
      </c>
      <c r="P181" s="442">
        <v>1.5</v>
      </c>
      <c r="Q181" s="353">
        <v>1.52</v>
      </c>
      <c r="R181" s="353">
        <v>1.54</v>
      </c>
      <c r="S181" s="353">
        <v>1.56</v>
      </c>
      <c r="T181" s="353">
        <v>1.57</v>
      </c>
      <c r="U181" s="353">
        <v>1.59</v>
      </c>
      <c r="V181" s="353">
        <v>1.59</v>
      </c>
      <c r="W181" s="353">
        <v>1.58</v>
      </c>
      <c r="X181" s="353">
        <v>1.58</v>
      </c>
      <c r="Y181" s="353">
        <v>1.58</v>
      </c>
      <c r="Z181" s="353">
        <v>1.58</v>
      </c>
      <c r="AA181" s="353">
        <v>1.57</v>
      </c>
      <c r="AB181" s="353">
        <v>1.57</v>
      </c>
      <c r="AC181" s="353">
        <v>1.56</v>
      </c>
      <c r="AD181" s="353">
        <v>1.55</v>
      </c>
      <c r="AE181" s="353">
        <v>1.55</v>
      </c>
      <c r="AF181" s="353">
        <v>1.54</v>
      </c>
      <c r="AG181" s="353">
        <v>1.53</v>
      </c>
      <c r="AH181" s="353">
        <v>1.52</v>
      </c>
      <c r="AI181" s="353">
        <v>1.51</v>
      </c>
      <c r="AJ181" s="353">
        <v>1.5</v>
      </c>
      <c r="AK181" s="353">
        <v>1.5</v>
      </c>
      <c r="AL181" s="353">
        <v>1.49</v>
      </c>
      <c r="AM181" s="353">
        <v>1.48</v>
      </c>
      <c r="AN181" s="353">
        <v>1.48</v>
      </c>
      <c r="AO181" s="353">
        <v>1.47</v>
      </c>
      <c r="AP181" s="353">
        <v>1.46</v>
      </c>
      <c r="AQ181" s="353">
        <v>1.45</v>
      </c>
      <c r="AR181" s="353">
        <v>1.45</v>
      </c>
      <c r="AS181" s="353">
        <v>1.44</v>
      </c>
      <c r="AT181" s="353">
        <v>1.43</v>
      </c>
      <c r="AU181" s="353">
        <v>1.42</v>
      </c>
      <c r="AV181" s="353">
        <v>1.42</v>
      </c>
      <c r="AW181" s="353">
        <v>1.41</v>
      </c>
      <c r="AX181" s="353">
        <v>1.4</v>
      </c>
      <c r="AY181" s="353">
        <v>1.4</v>
      </c>
      <c r="AZ181" s="500"/>
    </row>
    <row r="182" spans="1:60">
      <c r="A182" s="766">
        <v>45046</v>
      </c>
      <c r="B182" s="353">
        <v>0.59</v>
      </c>
      <c r="C182" s="353">
        <v>0.68</v>
      </c>
      <c r="D182" s="353">
        <v>0.74</v>
      </c>
      <c r="E182" s="353">
        <v>0.81</v>
      </c>
      <c r="F182" s="353">
        <v>0.88</v>
      </c>
      <c r="G182" s="353">
        <v>0.96</v>
      </c>
      <c r="H182" s="353">
        <v>1.03</v>
      </c>
      <c r="I182" s="353">
        <v>1.1100000000000001</v>
      </c>
      <c r="J182" s="353">
        <v>1.19</v>
      </c>
      <c r="K182" s="353">
        <v>1.27</v>
      </c>
      <c r="L182" s="353">
        <v>1.33</v>
      </c>
      <c r="M182" s="353">
        <v>1.39</v>
      </c>
      <c r="N182" s="353">
        <v>1.44</v>
      </c>
      <c r="O182" s="353">
        <v>1.48</v>
      </c>
      <c r="P182" s="442">
        <v>1.52</v>
      </c>
      <c r="Q182" s="353">
        <v>1.54</v>
      </c>
      <c r="R182" s="353">
        <v>1.56</v>
      </c>
      <c r="S182" s="353">
        <v>1.58</v>
      </c>
      <c r="T182" s="353">
        <v>1.59</v>
      </c>
      <c r="U182" s="353">
        <v>1.6</v>
      </c>
      <c r="V182" s="353">
        <v>1.6</v>
      </c>
      <c r="W182" s="353">
        <v>1.6</v>
      </c>
      <c r="X182" s="353">
        <v>1.6</v>
      </c>
      <c r="Y182" s="353">
        <v>1.6</v>
      </c>
      <c r="Z182" s="353">
        <v>1.59</v>
      </c>
      <c r="AA182" s="353">
        <v>1.59</v>
      </c>
      <c r="AB182" s="353">
        <v>1.58</v>
      </c>
      <c r="AC182" s="353">
        <v>1.57</v>
      </c>
      <c r="AD182" s="353">
        <v>1.56</v>
      </c>
      <c r="AE182" s="353">
        <v>1.56</v>
      </c>
      <c r="AF182" s="353">
        <v>1.55</v>
      </c>
      <c r="AG182" s="353">
        <v>1.54</v>
      </c>
      <c r="AH182" s="353">
        <v>1.53</v>
      </c>
      <c r="AI182" s="353">
        <v>1.52</v>
      </c>
      <c r="AJ182" s="353">
        <v>1.51</v>
      </c>
      <c r="AK182" s="353">
        <v>1.51</v>
      </c>
      <c r="AL182" s="353">
        <v>1.5</v>
      </c>
      <c r="AM182" s="353">
        <v>1.49</v>
      </c>
      <c r="AN182" s="353">
        <v>1.49</v>
      </c>
      <c r="AO182" s="353">
        <v>1.48</v>
      </c>
      <c r="AP182" s="353">
        <v>1.47</v>
      </c>
      <c r="AQ182" s="353">
        <v>1.46</v>
      </c>
      <c r="AR182" s="353">
        <v>1.45</v>
      </c>
      <c r="AS182" s="353">
        <v>1.45</v>
      </c>
      <c r="AT182" s="353">
        <v>1.44</v>
      </c>
      <c r="AU182" s="353">
        <v>1.43</v>
      </c>
      <c r="AV182" s="353">
        <v>1.42</v>
      </c>
      <c r="AW182" s="353">
        <v>1.42</v>
      </c>
      <c r="AX182" s="353">
        <v>1.41</v>
      </c>
      <c r="AY182" s="353">
        <v>1.4</v>
      </c>
      <c r="AZ182" s="500"/>
    </row>
    <row r="183" spans="1:60">
      <c r="A183" s="766">
        <v>45077</v>
      </c>
      <c r="B183" s="353">
        <v>0.64</v>
      </c>
      <c r="C183" s="353">
        <v>0.72</v>
      </c>
      <c r="D183" s="353">
        <v>0.77</v>
      </c>
      <c r="E183" s="353">
        <v>0.84</v>
      </c>
      <c r="F183" s="353">
        <v>0.91</v>
      </c>
      <c r="G183" s="353">
        <v>0.99</v>
      </c>
      <c r="H183" s="353">
        <v>1.07</v>
      </c>
      <c r="I183" s="353">
        <v>1.1399999999999999</v>
      </c>
      <c r="J183" s="353">
        <v>1.22</v>
      </c>
      <c r="K183" s="353">
        <v>1.29</v>
      </c>
      <c r="L183" s="353">
        <v>1.36</v>
      </c>
      <c r="M183" s="353">
        <v>1.41</v>
      </c>
      <c r="N183" s="353">
        <v>1.46</v>
      </c>
      <c r="O183" s="353">
        <v>1.51</v>
      </c>
      <c r="P183" s="442">
        <v>1.54</v>
      </c>
      <c r="Q183" s="353">
        <v>1.56</v>
      </c>
      <c r="R183" s="353">
        <v>1.58</v>
      </c>
      <c r="S183" s="353">
        <v>1.6</v>
      </c>
      <c r="T183" s="353">
        <v>1.61</v>
      </c>
      <c r="U183" s="353">
        <v>1.62</v>
      </c>
      <c r="V183" s="353">
        <v>1.62</v>
      </c>
      <c r="W183" s="353">
        <v>1.62</v>
      </c>
      <c r="X183" s="353">
        <v>1.61</v>
      </c>
      <c r="Y183" s="353">
        <v>1.61</v>
      </c>
      <c r="Z183" s="353">
        <v>1.61</v>
      </c>
      <c r="AA183" s="353">
        <v>1.6</v>
      </c>
      <c r="AB183" s="353">
        <v>1.59</v>
      </c>
      <c r="AC183" s="353">
        <v>1.58</v>
      </c>
      <c r="AD183" s="353">
        <v>1.58</v>
      </c>
      <c r="AE183" s="353">
        <v>1.57</v>
      </c>
      <c r="AF183" s="353">
        <v>1.56</v>
      </c>
      <c r="AG183" s="353">
        <v>1.55</v>
      </c>
      <c r="AH183" s="353">
        <v>1.54</v>
      </c>
      <c r="AI183" s="353">
        <v>1.53</v>
      </c>
      <c r="AJ183" s="353">
        <v>1.53</v>
      </c>
      <c r="AK183" s="353">
        <v>1.52</v>
      </c>
      <c r="AL183" s="353">
        <v>1.51</v>
      </c>
      <c r="AM183" s="353">
        <v>1.5</v>
      </c>
      <c r="AN183" s="353">
        <v>1.5</v>
      </c>
      <c r="AO183" s="353">
        <v>1.49</v>
      </c>
      <c r="AP183" s="353">
        <v>1.48</v>
      </c>
      <c r="AQ183" s="353">
        <v>1.47</v>
      </c>
      <c r="AR183" s="353">
        <v>1.46</v>
      </c>
      <c r="AS183" s="353">
        <v>1.46</v>
      </c>
      <c r="AT183" s="353">
        <v>1.45</v>
      </c>
      <c r="AU183" s="353">
        <v>1.44</v>
      </c>
      <c r="AV183" s="353">
        <v>1.43</v>
      </c>
      <c r="AW183" s="353">
        <v>1.43</v>
      </c>
      <c r="AX183" s="353">
        <v>1.42</v>
      </c>
      <c r="AY183" s="353">
        <v>1.41</v>
      </c>
      <c r="AZ183" s="500"/>
    </row>
    <row r="184" spans="1:60">
      <c r="A184" s="766">
        <v>45107</v>
      </c>
      <c r="B184" s="353">
        <v>0.69</v>
      </c>
      <c r="C184" s="353">
        <v>0.76</v>
      </c>
      <c r="D184" s="353">
        <v>0.82</v>
      </c>
      <c r="E184" s="353">
        <v>0.88</v>
      </c>
      <c r="F184" s="353">
        <v>0.95</v>
      </c>
      <c r="G184" s="353">
        <v>1.03</v>
      </c>
      <c r="H184" s="353">
        <v>1.1000000000000001</v>
      </c>
      <c r="I184" s="353">
        <v>1.18</v>
      </c>
      <c r="J184" s="353">
        <v>1.25</v>
      </c>
      <c r="K184" s="353">
        <v>1.32</v>
      </c>
      <c r="L184" s="353">
        <v>1.39</v>
      </c>
      <c r="M184" s="353">
        <v>1.44</v>
      </c>
      <c r="N184" s="353">
        <v>1.49</v>
      </c>
      <c r="O184" s="353">
        <v>1.53</v>
      </c>
      <c r="P184" s="442">
        <v>1.57</v>
      </c>
      <c r="Q184" s="353">
        <v>1.59</v>
      </c>
      <c r="R184" s="353">
        <v>1.6</v>
      </c>
      <c r="S184" s="353">
        <v>1.62</v>
      </c>
      <c r="T184" s="353">
        <v>1.63</v>
      </c>
      <c r="U184" s="353">
        <v>1.64</v>
      </c>
      <c r="V184" s="353">
        <v>1.64</v>
      </c>
      <c r="W184" s="353">
        <v>1.64</v>
      </c>
      <c r="X184" s="353">
        <v>1.63</v>
      </c>
      <c r="Y184" s="353">
        <v>1.63</v>
      </c>
      <c r="Z184" s="353">
        <v>1.63</v>
      </c>
      <c r="AA184" s="353">
        <v>1.62</v>
      </c>
      <c r="AB184" s="353">
        <v>1.61</v>
      </c>
      <c r="AC184" s="353">
        <v>1.6</v>
      </c>
      <c r="AD184" s="353">
        <v>1.6</v>
      </c>
      <c r="AE184" s="353">
        <v>1.59</v>
      </c>
      <c r="AF184" s="353">
        <v>1.58</v>
      </c>
      <c r="AG184" s="353">
        <v>1.57</v>
      </c>
      <c r="AH184" s="353">
        <v>1.56</v>
      </c>
      <c r="AI184" s="353">
        <v>1.55</v>
      </c>
      <c r="AJ184" s="353">
        <v>1.54</v>
      </c>
      <c r="AK184" s="353">
        <v>1.53</v>
      </c>
      <c r="AL184" s="353">
        <v>1.53</v>
      </c>
      <c r="AM184" s="353">
        <v>1.52</v>
      </c>
      <c r="AN184" s="353">
        <v>1.51</v>
      </c>
      <c r="AO184" s="353">
        <v>1.51</v>
      </c>
      <c r="AP184" s="353">
        <v>1.5</v>
      </c>
      <c r="AQ184" s="353">
        <v>1.49</v>
      </c>
      <c r="AR184" s="353">
        <v>1.48</v>
      </c>
      <c r="AS184" s="353">
        <v>1.47</v>
      </c>
      <c r="AT184" s="353">
        <v>1.46</v>
      </c>
      <c r="AU184" s="353">
        <v>1.45</v>
      </c>
      <c r="AV184" s="353">
        <v>1.45</v>
      </c>
      <c r="AW184" s="353">
        <v>1.44</v>
      </c>
      <c r="AX184" s="353">
        <v>1.43</v>
      </c>
      <c r="AY184" s="353">
        <v>1.43</v>
      </c>
      <c r="AZ184" s="500"/>
    </row>
    <row r="185" spans="1:60">
      <c r="A185" s="766">
        <v>45138</v>
      </c>
      <c r="B185" s="353">
        <v>0.74</v>
      </c>
      <c r="C185" s="353">
        <v>0.81</v>
      </c>
      <c r="D185" s="353">
        <v>0.86</v>
      </c>
      <c r="E185" s="353">
        <v>0.93</v>
      </c>
      <c r="F185" s="353">
        <v>0.99</v>
      </c>
      <c r="G185" s="353">
        <v>1.06</v>
      </c>
      <c r="H185" s="353">
        <v>1.1399999999999999</v>
      </c>
      <c r="I185" s="353">
        <v>1.21</v>
      </c>
      <c r="J185" s="353">
        <v>1.28</v>
      </c>
      <c r="K185" s="353">
        <v>1.35</v>
      </c>
      <c r="L185" s="353">
        <v>1.42</v>
      </c>
      <c r="M185" s="353">
        <v>1.47</v>
      </c>
      <c r="N185" s="353">
        <v>1.52</v>
      </c>
      <c r="O185" s="353">
        <v>1.56</v>
      </c>
      <c r="P185" s="442">
        <v>1.6</v>
      </c>
      <c r="Q185" s="353">
        <v>1.62</v>
      </c>
      <c r="R185" s="353">
        <v>1.63</v>
      </c>
      <c r="S185" s="353">
        <v>1.65</v>
      </c>
      <c r="T185" s="353">
        <v>1.66</v>
      </c>
      <c r="U185" s="353">
        <v>1.67</v>
      </c>
      <c r="V185" s="353">
        <v>1.67</v>
      </c>
      <c r="W185" s="353">
        <v>1.66</v>
      </c>
      <c r="X185" s="353">
        <v>1.66</v>
      </c>
      <c r="Y185" s="353">
        <v>1.66</v>
      </c>
      <c r="Z185" s="353">
        <v>1.65</v>
      </c>
      <c r="AA185" s="353">
        <v>1.64</v>
      </c>
      <c r="AB185" s="353">
        <v>1.63</v>
      </c>
      <c r="AC185" s="353">
        <v>1.63</v>
      </c>
      <c r="AD185" s="353">
        <v>1.62</v>
      </c>
      <c r="AE185" s="353">
        <v>1.61</v>
      </c>
      <c r="AF185" s="353">
        <v>1.6</v>
      </c>
      <c r="AG185" s="353">
        <v>1.59</v>
      </c>
      <c r="AH185" s="353">
        <v>1.58</v>
      </c>
      <c r="AI185" s="353">
        <v>1.57</v>
      </c>
      <c r="AJ185" s="353">
        <v>1.56</v>
      </c>
      <c r="AK185" s="353">
        <v>1.55</v>
      </c>
      <c r="AL185" s="353">
        <v>1.55</v>
      </c>
      <c r="AM185" s="353">
        <v>1.54</v>
      </c>
      <c r="AN185" s="353">
        <v>1.53</v>
      </c>
      <c r="AO185" s="353">
        <v>1.53</v>
      </c>
      <c r="AP185" s="353">
        <v>1.52</v>
      </c>
      <c r="AQ185" s="353">
        <v>1.51</v>
      </c>
      <c r="AR185" s="353">
        <v>1.5</v>
      </c>
      <c r="AS185" s="353">
        <v>1.49</v>
      </c>
      <c r="AT185" s="353">
        <v>1.48</v>
      </c>
      <c r="AU185" s="353">
        <v>1.47</v>
      </c>
      <c r="AV185" s="353">
        <v>1.46</v>
      </c>
      <c r="AW185" s="353">
        <v>1.46</v>
      </c>
      <c r="AX185" s="353">
        <v>1.45</v>
      </c>
      <c r="AY185" s="353">
        <v>1.44</v>
      </c>
      <c r="AZ185" s="500"/>
    </row>
    <row r="186" spans="1:60">
      <c r="A186" s="766">
        <v>45169</v>
      </c>
      <c r="B186" s="353">
        <v>0.79</v>
      </c>
      <c r="C186" s="353">
        <v>0.86</v>
      </c>
      <c r="D186" s="353">
        <v>0.91</v>
      </c>
      <c r="E186" s="353">
        <v>0.97</v>
      </c>
      <c r="F186" s="353">
        <v>1.03</v>
      </c>
      <c r="G186" s="353">
        <v>1.1000000000000001</v>
      </c>
      <c r="H186" s="353">
        <v>1.17</v>
      </c>
      <c r="I186" s="353">
        <v>1.25</v>
      </c>
      <c r="J186" s="353">
        <v>1.32</v>
      </c>
      <c r="K186" s="353">
        <v>1.39</v>
      </c>
      <c r="L186" s="353">
        <v>1.45</v>
      </c>
      <c r="M186" s="353">
        <v>1.5</v>
      </c>
      <c r="N186" s="353">
        <v>1.55</v>
      </c>
      <c r="O186" s="353">
        <v>1.59</v>
      </c>
      <c r="P186" s="442">
        <v>1.63</v>
      </c>
      <c r="Q186" s="353">
        <v>1.65</v>
      </c>
      <c r="R186" s="353">
        <v>1.66</v>
      </c>
      <c r="S186" s="353">
        <v>1.67</v>
      </c>
      <c r="T186" s="353">
        <v>1.69</v>
      </c>
      <c r="U186" s="353">
        <v>1.7</v>
      </c>
      <c r="V186" s="353">
        <v>1.69</v>
      </c>
      <c r="W186" s="353">
        <v>1.69</v>
      </c>
      <c r="X186" s="353">
        <v>1.68</v>
      </c>
      <c r="Y186" s="353">
        <v>1.68</v>
      </c>
      <c r="Z186" s="353">
        <v>1.68</v>
      </c>
      <c r="AA186" s="353">
        <v>1.67</v>
      </c>
      <c r="AB186" s="353">
        <v>1.66</v>
      </c>
      <c r="AC186" s="353">
        <v>1.65</v>
      </c>
      <c r="AD186" s="353">
        <v>1.64</v>
      </c>
      <c r="AE186" s="353">
        <v>1.63</v>
      </c>
      <c r="AF186" s="353">
        <v>1.62</v>
      </c>
      <c r="AG186" s="353">
        <v>1.61</v>
      </c>
      <c r="AH186" s="353">
        <v>1.6</v>
      </c>
      <c r="AI186" s="353">
        <v>1.59</v>
      </c>
      <c r="AJ186" s="353">
        <v>1.58</v>
      </c>
      <c r="AK186" s="353">
        <v>1.58</v>
      </c>
      <c r="AL186" s="353">
        <v>1.57</v>
      </c>
      <c r="AM186" s="353">
        <v>1.56</v>
      </c>
      <c r="AN186" s="353">
        <v>1.55</v>
      </c>
      <c r="AO186" s="353">
        <v>1.55</v>
      </c>
      <c r="AP186" s="353">
        <v>1.54</v>
      </c>
      <c r="AQ186" s="353">
        <v>1.53</v>
      </c>
      <c r="AR186" s="353">
        <v>1.52</v>
      </c>
      <c r="AS186" s="353">
        <v>1.51</v>
      </c>
      <c r="AT186" s="353">
        <v>1.5</v>
      </c>
      <c r="AU186" s="353">
        <v>1.49</v>
      </c>
      <c r="AV186" s="353">
        <v>1.48</v>
      </c>
      <c r="AW186" s="353">
        <v>1.48</v>
      </c>
      <c r="AX186" s="353">
        <v>1.47</v>
      </c>
      <c r="AY186" s="353">
        <v>1.46</v>
      </c>
      <c r="AZ186" s="500"/>
    </row>
    <row r="187" spans="1:60">
      <c r="A187" s="766">
        <v>45199</v>
      </c>
      <c r="B187" s="353">
        <v>0.84</v>
      </c>
      <c r="C187" s="353">
        <v>0.91</v>
      </c>
      <c r="D187" s="353">
        <v>0.95</v>
      </c>
      <c r="E187" s="353">
        <v>1.01</v>
      </c>
      <c r="F187" s="353">
        <v>1.08</v>
      </c>
      <c r="G187" s="353">
        <v>1.1499999999999999</v>
      </c>
      <c r="H187" s="353">
        <v>1.21</v>
      </c>
      <c r="I187" s="353">
        <v>1.29</v>
      </c>
      <c r="J187" s="353">
        <v>1.36</v>
      </c>
      <c r="K187" s="353">
        <v>1.43</v>
      </c>
      <c r="L187" s="353">
        <v>1.49</v>
      </c>
      <c r="M187" s="353">
        <v>1.54</v>
      </c>
      <c r="N187" s="353">
        <v>1.59</v>
      </c>
      <c r="O187" s="353">
        <v>1.63</v>
      </c>
      <c r="P187" s="442">
        <v>1.66</v>
      </c>
      <c r="Q187" s="353">
        <v>1.68</v>
      </c>
      <c r="R187" s="353">
        <v>1.69</v>
      </c>
      <c r="S187" s="353">
        <v>1.71</v>
      </c>
      <c r="T187" s="353">
        <v>1.72</v>
      </c>
      <c r="U187" s="353">
        <v>1.73</v>
      </c>
      <c r="V187" s="353">
        <v>1.72</v>
      </c>
      <c r="W187" s="353">
        <v>1.72</v>
      </c>
      <c r="X187" s="353">
        <v>1.71</v>
      </c>
      <c r="Y187" s="353">
        <v>1.71</v>
      </c>
      <c r="Z187" s="353">
        <v>1.71</v>
      </c>
      <c r="AA187" s="353">
        <v>1.7</v>
      </c>
      <c r="AB187" s="353">
        <v>1.69</v>
      </c>
      <c r="AC187" s="353">
        <v>1.68</v>
      </c>
      <c r="AD187" s="353">
        <v>1.67</v>
      </c>
      <c r="AE187" s="353">
        <v>1.66</v>
      </c>
      <c r="AF187" s="353">
        <v>1.65</v>
      </c>
      <c r="AG187" s="353">
        <v>1.64</v>
      </c>
      <c r="AH187" s="353">
        <v>1.63</v>
      </c>
      <c r="AI187" s="353">
        <v>1.62</v>
      </c>
      <c r="AJ187" s="353">
        <v>1.61</v>
      </c>
      <c r="AK187" s="353">
        <v>1.6</v>
      </c>
      <c r="AL187" s="353">
        <v>1.59</v>
      </c>
      <c r="AM187" s="353">
        <v>1.59</v>
      </c>
      <c r="AN187" s="353">
        <v>1.58</v>
      </c>
      <c r="AO187" s="353">
        <v>1.57</v>
      </c>
      <c r="AP187" s="353">
        <v>1.56</v>
      </c>
      <c r="AQ187" s="353">
        <v>1.55</v>
      </c>
      <c r="AR187" s="353">
        <v>1.54</v>
      </c>
      <c r="AS187" s="353">
        <v>1.53</v>
      </c>
      <c r="AT187" s="353">
        <v>1.52</v>
      </c>
      <c r="AU187" s="353">
        <v>1.52</v>
      </c>
      <c r="AV187" s="353">
        <v>1.51</v>
      </c>
      <c r="AW187" s="353">
        <v>1.5</v>
      </c>
      <c r="AX187" s="353">
        <v>1.49</v>
      </c>
      <c r="AY187" s="353">
        <v>1.49</v>
      </c>
      <c r="AZ187" s="500"/>
    </row>
    <row r="188" spans="1:60">
      <c r="A188" s="766">
        <v>45230</v>
      </c>
      <c r="B188" s="353">
        <v>0.89</v>
      </c>
      <c r="C188" s="353">
        <v>0.95</v>
      </c>
      <c r="D188" s="353">
        <v>1</v>
      </c>
      <c r="E188" s="353">
        <v>1.05</v>
      </c>
      <c r="F188" s="353">
        <v>1.1200000000000001</v>
      </c>
      <c r="G188" s="353">
        <v>1.19</v>
      </c>
      <c r="H188" s="353">
        <v>1.25</v>
      </c>
      <c r="I188" s="353">
        <v>1.32</v>
      </c>
      <c r="J188" s="353">
        <v>1.39</v>
      </c>
      <c r="K188" s="353">
        <v>1.46</v>
      </c>
      <c r="L188" s="353">
        <v>1.52</v>
      </c>
      <c r="M188" s="353">
        <v>1.58</v>
      </c>
      <c r="N188" s="353">
        <v>1.62</v>
      </c>
      <c r="O188" s="353">
        <v>1.66</v>
      </c>
      <c r="P188" s="442">
        <v>1.7</v>
      </c>
      <c r="Q188" s="353">
        <v>1.71</v>
      </c>
      <c r="R188" s="353">
        <v>1.73</v>
      </c>
      <c r="S188" s="353">
        <v>1.74</v>
      </c>
      <c r="T188" s="353">
        <v>1.75</v>
      </c>
      <c r="U188" s="353">
        <v>1.76</v>
      </c>
      <c r="V188" s="353">
        <v>1.75</v>
      </c>
      <c r="W188" s="353">
        <v>1.75</v>
      </c>
      <c r="X188" s="353">
        <v>1.74</v>
      </c>
      <c r="Y188" s="353">
        <v>1.74</v>
      </c>
      <c r="Z188" s="353">
        <v>1.74</v>
      </c>
      <c r="AA188" s="353">
        <v>1.72</v>
      </c>
      <c r="AB188" s="353">
        <v>1.71</v>
      </c>
      <c r="AC188" s="353">
        <v>1.7</v>
      </c>
      <c r="AD188" s="353">
        <v>1.7</v>
      </c>
      <c r="AE188" s="353">
        <v>1.69</v>
      </c>
      <c r="AF188" s="353">
        <v>1.67</v>
      </c>
      <c r="AG188" s="353">
        <v>1.66</v>
      </c>
      <c r="AH188" s="353">
        <v>1.65</v>
      </c>
      <c r="AI188" s="353">
        <v>1.64</v>
      </c>
      <c r="AJ188" s="353">
        <v>1.63</v>
      </c>
      <c r="AK188" s="353">
        <v>1.63</v>
      </c>
      <c r="AL188" s="353">
        <v>1.62</v>
      </c>
      <c r="AM188" s="353">
        <v>1.61</v>
      </c>
      <c r="AN188" s="353">
        <v>1.6</v>
      </c>
      <c r="AO188" s="353">
        <v>1.6</v>
      </c>
      <c r="AP188" s="353">
        <v>1.58</v>
      </c>
      <c r="AQ188" s="353">
        <v>1.57</v>
      </c>
      <c r="AR188" s="353">
        <v>1.57</v>
      </c>
      <c r="AS188" s="353">
        <v>1.56</v>
      </c>
      <c r="AT188" s="353">
        <v>1.55</v>
      </c>
      <c r="AU188" s="353">
        <v>1.54</v>
      </c>
      <c r="AV188" s="353">
        <v>1.53</v>
      </c>
      <c r="AW188" s="353">
        <v>1.52</v>
      </c>
      <c r="AX188" s="353">
        <v>1.52</v>
      </c>
      <c r="AY188" s="353">
        <v>1.51</v>
      </c>
      <c r="AZ188" s="500"/>
    </row>
    <row r="189" spans="1:60">
      <c r="A189" s="766">
        <v>45260</v>
      </c>
      <c r="B189" s="353">
        <v>0.94</v>
      </c>
      <c r="C189" s="353">
        <v>1</v>
      </c>
      <c r="D189" s="353">
        <v>1.03</v>
      </c>
      <c r="E189" s="353">
        <v>1.0900000000000001</v>
      </c>
      <c r="F189" s="353">
        <v>1.1499999999999999</v>
      </c>
      <c r="G189" s="353">
        <v>1.22</v>
      </c>
      <c r="H189" s="353">
        <v>1.28</v>
      </c>
      <c r="I189" s="353">
        <v>1.35</v>
      </c>
      <c r="J189" s="353">
        <v>1.42</v>
      </c>
      <c r="K189" s="353">
        <v>1.49</v>
      </c>
      <c r="L189" s="353">
        <v>1.55</v>
      </c>
      <c r="M189" s="353">
        <v>1.6</v>
      </c>
      <c r="N189" s="353">
        <v>1.65</v>
      </c>
      <c r="O189" s="353">
        <v>1.69</v>
      </c>
      <c r="P189" s="442">
        <v>1.72</v>
      </c>
      <c r="Q189" s="353">
        <v>1.74</v>
      </c>
      <c r="R189" s="353">
        <v>1.75</v>
      </c>
      <c r="S189" s="353">
        <v>1.76</v>
      </c>
      <c r="T189" s="353">
        <v>1.77</v>
      </c>
      <c r="U189" s="353">
        <v>1.78</v>
      </c>
      <c r="V189" s="353">
        <v>1.77</v>
      </c>
      <c r="W189" s="353">
        <v>1.77</v>
      </c>
      <c r="X189" s="353">
        <v>1.76</v>
      </c>
      <c r="Y189" s="353">
        <v>1.76</v>
      </c>
      <c r="Z189" s="353">
        <v>1.75</v>
      </c>
      <c r="AA189" s="353">
        <v>1.74</v>
      </c>
      <c r="AB189" s="353">
        <v>1.73</v>
      </c>
      <c r="AC189" s="353">
        <v>1.72</v>
      </c>
      <c r="AD189" s="353">
        <v>1.71</v>
      </c>
      <c r="AE189" s="353">
        <v>1.7</v>
      </c>
      <c r="AF189" s="353">
        <v>1.69</v>
      </c>
      <c r="AG189" s="353">
        <v>1.68</v>
      </c>
      <c r="AH189" s="353">
        <v>1.67</v>
      </c>
      <c r="AI189" s="353">
        <v>1.66</v>
      </c>
      <c r="AJ189" s="353">
        <v>1.65</v>
      </c>
      <c r="AK189" s="353">
        <v>1.64</v>
      </c>
      <c r="AL189" s="353">
        <v>1.63</v>
      </c>
      <c r="AM189" s="353">
        <v>1.63</v>
      </c>
      <c r="AN189" s="353">
        <v>1.62</v>
      </c>
      <c r="AO189" s="353">
        <v>1.61</v>
      </c>
      <c r="AP189" s="353">
        <v>1.6</v>
      </c>
      <c r="AQ189" s="353">
        <v>1.59</v>
      </c>
      <c r="AR189" s="353">
        <v>1.58</v>
      </c>
      <c r="AS189" s="353">
        <v>1.57</v>
      </c>
      <c r="AT189" s="353">
        <v>1.56</v>
      </c>
      <c r="AU189" s="353">
        <v>1.55</v>
      </c>
      <c r="AV189" s="353">
        <v>1.54</v>
      </c>
      <c r="AW189" s="353">
        <v>1.54</v>
      </c>
      <c r="AX189" s="353">
        <v>1.53</v>
      </c>
      <c r="AY189" s="353">
        <v>1.52</v>
      </c>
      <c r="AZ189" s="500"/>
    </row>
    <row r="190" spans="1:60">
      <c r="A190" s="766">
        <v>45291</v>
      </c>
      <c r="B190" s="353">
        <v>0.99</v>
      </c>
      <c r="C190" s="353">
        <v>1.03</v>
      </c>
      <c r="D190" s="353">
        <v>1.07</v>
      </c>
      <c r="E190" s="353">
        <v>1.1200000000000001</v>
      </c>
      <c r="F190" s="353">
        <v>1.18</v>
      </c>
      <c r="G190" s="353">
        <v>1.25</v>
      </c>
      <c r="H190" s="353">
        <v>1.31</v>
      </c>
      <c r="I190" s="353">
        <v>1.38</v>
      </c>
      <c r="J190" s="353">
        <v>1.45</v>
      </c>
      <c r="K190" s="353">
        <v>1.51</v>
      </c>
      <c r="L190" s="353">
        <v>1.57</v>
      </c>
      <c r="M190" s="353">
        <v>1.62</v>
      </c>
      <c r="N190" s="353">
        <v>1.67</v>
      </c>
      <c r="O190" s="353">
        <v>1.71</v>
      </c>
      <c r="P190" s="442">
        <v>1.74</v>
      </c>
      <c r="Q190" s="353">
        <v>1.75</v>
      </c>
      <c r="R190" s="353">
        <v>1.77</v>
      </c>
      <c r="S190" s="353">
        <v>1.78</v>
      </c>
      <c r="T190" s="353">
        <v>1.79</v>
      </c>
      <c r="U190" s="353">
        <v>1.8</v>
      </c>
      <c r="V190" s="353">
        <v>1.79</v>
      </c>
      <c r="W190" s="353">
        <v>1.78</v>
      </c>
      <c r="X190" s="353">
        <v>1.78</v>
      </c>
      <c r="Y190" s="353">
        <v>1.77</v>
      </c>
      <c r="Z190" s="353">
        <v>1.77</v>
      </c>
      <c r="AA190" s="353">
        <v>1.76</v>
      </c>
      <c r="AB190" s="353">
        <v>1.75</v>
      </c>
      <c r="AC190" s="353">
        <v>1.74</v>
      </c>
      <c r="AD190" s="353">
        <v>1.73</v>
      </c>
      <c r="AE190" s="353">
        <v>1.72</v>
      </c>
      <c r="AF190" s="353">
        <v>1.71</v>
      </c>
      <c r="AG190" s="353">
        <v>1.69</v>
      </c>
      <c r="AH190" s="353">
        <v>1.68</v>
      </c>
      <c r="AI190" s="353">
        <v>1.67</v>
      </c>
      <c r="AJ190" s="353">
        <v>1.66</v>
      </c>
      <c r="AK190" s="353">
        <v>1.65</v>
      </c>
      <c r="AL190" s="353">
        <v>1.65</v>
      </c>
      <c r="AM190" s="353">
        <v>1.64</v>
      </c>
      <c r="AN190" s="353">
        <v>1.63</v>
      </c>
      <c r="AO190" s="353">
        <v>1.62</v>
      </c>
      <c r="AP190" s="353">
        <v>1.61</v>
      </c>
      <c r="AQ190" s="353">
        <v>1.6</v>
      </c>
      <c r="AR190" s="353">
        <v>1.59</v>
      </c>
      <c r="AS190" s="353">
        <v>1.58</v>
      </c>
      <c r="AT190" s="353">
        <v>1.57</v>
      </c>
      <c r="AU190" s="353">
        <v>1.56</v>
      </c>
      <c r="AV190" s="353">
        <v>1.56</v>
      </c>
      <c r="AW190" s="353">
        <v>1.55</v>
      </c>
      <c r="AX190" s="353">
        <v>1.54</v>
      </c>
      <c r="AY190" s="353">
        <v>1.53</v>
      </c>
    </row>
    <row r="191" spans="1:60">
      <c r="A191" s="766">
        <v>45322</v>
      </c>
      <c r="B191" s="353">
        <v>1.03</v>
      </c>
      <c r="C191" s="353">
        <v>1.07</v>
      </c>
      <c r="D191" s="353">
        <v>1.1000000000000001</v>
      </c>
      <c r="E191" s="353">
        <v>1.1499999999999999</v>
      </c>
      <c r="F191" s="353">
        <v>1.21</v>
      </c>
      <c r="G191" s="353">
        <v>1.27</v>
      </c>
      <c r="H191" s="353">
        <v>1.34</v>
      </c>
      <c r="I191" s="353">
        <v>1.4</v>
      </c>
      <c r="J191" s="353">
        <v>1.47</v>
      </c>
      <c r="K191" s="353">
        <v>1.53</v>
      </c>
      <c r="L191" s="353">
        <v>1.59</v>
      </c>
      <c r="M191" s="353">
        <v>1.64</v>
      </c>
      <c r="N191" s="353">
        <v>1.69</v>
      </c>
      <c r="O191" s="353">
        <v>1.73</v>
      </c>
      <c r="P191" s="442">
        <v>1.76</v>
      </c>
      <c r="Q191" s="353">
        <v>1.77</v>
      </c>
      <c r="R191" s="353">
        <v>1.78</v>
      </c>
      <c r="S191" s="353">
        <v>1.79</v>
      </c>
      <c r="T191" s="353">
        <v>1.8</v>
      </c>
      <c r="U191" s="353">
        <v>1.81</v>
      </c>
      <c r="V191" s="353">
        <v>1.8</v>
      </c>
      <c r="W191" s="353">
        <v>1.8</v>
      </c>
      <c r="X191" s="353">
        <v>1.79</v>
      </c>
      <c r="Y191" s="353">
        <v>1.79</v>
      </c>
      <c r="Z191" s="353">
        <v>1.78</v>
      </c>
      <c r="AA191" s="353">
        <v>1.77</v>
      </c>
      <c r="AB191" s="353">
        <v>1.76</v>
      </c>
      <c r="AC191" s="353">
        <v>1.75</v>
      </c>
      <c r="AD191" s="353">
        <v>1.74</v>
      </c>
      <c r="AE191" s="353">
        <v>1.73</v>
      </c>
      <c r="AF191" s="353">
        <v>1.72</v>
      </c>
      <c r="AG191" s="353">
        <v>1.7</v>
      </c>
      <c r="AH191" s="353">
        <v>1.69</v>
      </c>
      <c r="AI191" s="353">
        <v>1.68</v>
      </c>
      <c r="AJ191" s="353">
        <v>1.67</v>
      </c>
      <c r="AK191" s="353">
        <v>1.66</v>
      </c>
      <c r="AL191" s="353">
        <v>1.65</v>
      </c>
      <c r="AM191" s="353">
        <v>1.65</v>
      </c>
      <c r="AN191" s="353">
        <v>1.64</v>
      </c>
      <c r="AO191" s="353">
        <v>1.63</v>
      </c>
      <c r="AP191" s="353">
        <v>1.62</v>
      </c>
      <c r="AQ191" s="353">
        <v>1.61</v>
      </c>
      <c r="AR191" s="353">
        <v>1.6</v>
      </c>
      <c r="AS191" s="353">
        <v>1.59</v>
      </c>
      <c r="AT191" s="353">
        <v>1.58</v>
      </c>
      <c r="AU191" s="353">
        <v>1.57</v>
      </c>
      <c r="AV191" s="353">
        <v>1.56</v>
      </c>
      <c r="AW191" s="353">
        <v>1.56</v>
      </c>
      <c r="AX191" s="353">
        <v>1.55</v>
      </c>
      <c r="AY191" s="353">
        <v>1.54</v>
      </c>
    </row>
    <row r="192" spans="1:60">
      <c r="A192" s="766">
        <v>45351</v>
      </c>
      <c r="B192" s="353">
        <v>1.08</v>
      </c>
      <c r="C192" s="353">
        <v>1.1100000000000001</v>
      </c>
      <c r="D192" s="353">
        <v>1.1399999999999999</v>
      </c>
      <c r="E192" s="353">
        <v>1.19</v>
      </c>
      <c r="F192" s="353">
        <v>1.24</v>
      </c>
      <c r="G192" s="353">
        <v>1.31</v>
      </c>
      <c r="H192" s="353">
        <v>1.37</v>
      </c>
      <c r="I192" s="353">
        <v>1.43</v>
      </c>
      <c r="J192" s="353">
        <v>1.5</v>
      </c>
      <c r="K192" s="353">
        <v>1.56</v>
      </c>
      <c r="L192" s="353">
        <v>1.62</v>
      </c>
      <c r="M192" s="353">
        <v>1.67</v>
      </c>
      <c r="N192" s="353">
        <v>1.71</v>
      </c>
      <c r="O192" s="353">
        <v>1.75</v>
      </c>
      <c r="P192" s="442">
        <v>1.78</v>
      </c>
      <c r="Q192" s="353">
        <v>1.79</v>
      </c>
      <c r="R192" s="353">
        <v>1.8</v>
      </c>
      <c r="S192" s="353">
        <v>1.81</v>
      </c>
      <c r="T192" s="353">
        <v>1.82</v>
      </c>
      <c r="U192" s="353">
        <v>1.83</v>
      </c>
      <c r="V192" s="353">
        <v>1.82</v>
      </c>
      <c r="W192" s="353">
        <v>1.82</v>
      </c>
      <c r="X192" s="353">
        <v>1.81</v>
      </c>
      <c r="Y192" s="353">
        <v>1.8</v>
      </c>
      <c r="Z192" s="353">
        <v>1.8</v>
      </c>
      <c r="AA192" s="353">
        <v>1.79</v>
      </c>
      <c r="AB192" s="353">
        <v>1.77</v>
      </c>
      <c r="AC192" s="353">
        <v>1.76</v>
      </c>
      <c r="AD192" s="353">
        <v>1.75</v>
      </c>
      <c r="AE192" s="353">
        <v>1.74</v>
      </c>
      <c r="AF192" s="353">
        <v>1.73</v>
      </c>
      <c r="AG192" s="353">
        <v>1.72</v>
      </c>
      <c r="AH192" s="353">
        <v>1.71</v>
      </c>
      <c r="AI192" s="353">
        <v>1.7</v>
      </c>
      <c r="AJ192" s="353">
        <v>1.69</v>
      </c>
      <c r="AK192" s="353">
        <v>1.68</v>
      </c>
      <c r="AL192" s="353">
        <v>1.67</v>
      </c>
      <c r="AM192" s="353">
        <v>1.66</v>
      </c>
      <c r="AN192" s="353">
        <v>1.65</v>
      </c>
      <c r="AO192" s="353">
        <v>1.64</v>
      </c>
      <c r="AP192" s="353">
        <v>1.63</v>
      </c>
      <c r="AQ192" s="353">
        <v>1.62</v>
      </c>
      <c r="AR192" s="353">
        <v>1.61</v>
      </c>
      <c r="AS192" s="353">
        <v>1.6</v>
      </c>
      <c r="AT192" s="353">
        <v>1.59</v>
      </c>
      <c r="AU192" s="353">
        <v>1.58</v>
      </c>
      <c r="AV192" s="353">
        <v>1.57</v>
      </c>
      <c r="AW192" s="353">
        <v>1.57</v>
      </c>
      <c r="AX192" s="353">
        <v>1.56</v>
      </c>
      <c r="AY192" s="353">
        <v>1.55</v>
      </c>
    </row>
    <row r="193" spans="1:51">
      <c r="A193" s="766">
        <v>45382</v>
      </c>
      <c r="B193" s="353">
        <v>1.1299999999999999</v>
      </c>
      <c r="C193" s="353">
        <v>1.1499999999999999</v>
      </c>
      <c r="D193" s="353">
        <v>1.18</v>
      </c>
      <c r="E193" s="353">
        <v>1.22</v>
      </c>
      <c r="F193" s="353">
        <v>1.27</v>
      </c>
      <c r="G193" s="353">
        <v>1.33</v>
      </c>
      <c r="H193" s="353">
        <v>1.39</v>
      </c>
      <c r="I193" s="353">
        <v>1.46</v>
      </c>
      <c r="J193" s="353">
        <v>1.52</v>
      </c>
      <c r="K193" s="353">
        <v>1.58</v>
      </c>
      <c r="L193" s="353">
        <v>1.64</v>
      </c>
      <c r="M193" s="353">
        <v>1.69</v>
      </c>
      <c r="N193" s="353">
        <v>1.73</v>
      </c>
      <c r="O193" s="353">
        <v>1.77</v>
      </c>
      <c r="P193" s="442">
        <v>1.8</v>
      </c>
      <c r="Q193" s="353">
        <v>1.81</v>
      </c>
      <c r="R193" s="353">
        <v>1.82</v>
      </c>
      <c r="S193" s="353">
        <v>1.83</v>
      </c>
      <c r="T193" s="353">
        <v>1.84</v>
      </c>
      <c r="U193" s="353">
        <v>1.85</v>
      </c>
      <c r="V193" s="353">
        <v>1.84</v>
      </c>
      <c r="W193" s="353">
        <v>1.83</v>
      </c>
      <c r="X193" s="353">
        <v>1.82</v>
      </c>
      <c r="Y193" s="353">
        <v>1.82</v>
      </c>
      <c r="Z193" s="353">
        <v>1.81</v>
      </c>
      <c r="AA193" s="353">
        <v>1.8</v>
      </c>
      <c r="AB193" s="353">
        <v>1.79</v>
      </c>
      <c r="AC193" s="353">
        <v>1.77</v>
      </c>
      <c r="AD193" s="353">
        <v>1.76</v>
      </c>
      <c r="AE193" s="353">
        <v>1.75</v>
      </c>
      <c r="AF193" s="353">
        <v>1.74</v>
      </c>
      <c r="AG193" s="353">
        <v>1.73</v>
      </c>
      <c r="AH193" s="353">
        <v>1.72</v>
      </c>
      <c r="AI193" s="353">
        <v>1.71</v>
      </c>
      <c r="AJ193" s="353">
        <v>1.69</v>
      </c>
      <c r="AK193" s="353">
        <v>1.69</v>
      </c>
      <c r="AL193" s="353">
        <v>1.68</v>
      </c>
      <c r="AM193" s="353">
        <v>1.67</v>
      </c>
      <c r="AN193" s="353">
        <v>1.66</v>
      </c>
      <c r="AO193" s="353">
        <v>1.65</v>
      </c>
      <c r="AP193" s="353">
        <v>1.64</v>
      </c>
      <c r="AQ193" s="353">
        <v>1.63</v>
      </c>
      <c r="AR193" s="353">
        <v>1.62</v>
      </c>
      <c r="AS193" s="353">
        <v>1.61</v>
      </c>
      <c r="AT193" s="353">
        <v>1.6</v>
      </c>
      <c r="AU193" s="353">
        <v>1.59</v>
      </c>
      <c r="AV193" s="353">
        <v>1.58</v>
      </c>
      <c r="AW193" s="353">
        <v>1.57</v>
      </c>
      <c r="AX193" s="353">
        <v>1.56</v>
      </c>
      <c r="AY193" s="353">
        <v>1.56</v>
      </c>
    </row>
    <row r="194" spans="1:51">
      <c r="A194" s="766">
        <v>45412</v>
      </c>
      <c r="B194" s="353">
        <v>1.17</v>
      </c>
      <c r="C194" s="353">
        <v>1.19</v>
      </c>
      <c r="D194" s="353">
        <v>1.21</v>
      </c>
      <c r="E194" s="353">
        <v>1.26</v>
      </c>
      <c r="F194" s="353">
        <v>1.31</v>
      </c>
      <c r="G194" s="353">
        <v>1.37</v>
      </c>
      <c r="H194" s="353">
        <v>1.42</v>
      </c>
      <c r="I194" s="353">
        <v>1.49</v>
      </c>
      <c r="J194" s="353">
        <v>1.55</v>
      </c>
      <c r="K194" s="353">
        <v>1.61</v>
      </c>
      <c r="L194" s="353">
        <v>1.66</v>
      </c>
      <c r="M194" s="353">
        <v>1.71</v>
      </c>
      <c r="N194" s="353">
        <v>1.75</v>
      </c>
      <c r="O194" s="353">
        <v>1.79</v>
      </c>
      <c r="P194" s="442">
        <v>1.82</v>
      </c>
      <c r="Q194" s="353">
        <v>1.83</v>
      </c>
      <c r="R194" s="353">
        <v>1.84</v>
      </c>
      <c r="S194" s="353">
        <v>1.85</v>
      </c>
      <c r="T194" s="353">
        <v>1.86</v>
      </c>
      <c r="U194" s="353">
        <v>1.86</v>
      </c>
      <c r="V194" s="353">
        <v>1.85</v>
      </c>
      <c r="W194" s="353">
        <v>1.85</v>
      </c>
      <c r="X194" s="353">
        <v>1.84</v>
      </c>
      <c r="Y194" s="353">
        <v>1.83</v>
      </c>
      <c r="Z194" s="353">
        <v>1.83</v>
      </c>
      <c r="AA194" s="353">
        <v>1.81</v>
      </c>
      <c r="AB194" s="353">
        <v>1.8</v>
      </c>
      <c r="AC194" s="353">
        <v>1.79</v>
      </c>
      <c r="AD194" s="353">
        <v>1.78</v>
      </c>
      <c r="AE194" s="353">
        <v>1.77</v>
      </c>
      <c r="AF194" s="353">
        <v>1.75</v>
      </c>
      <c r="AG194" s="353">
        <v>1.74</v>
      </c>
      <c r="AH194" s="353">
        <v>1.73</v>
      </c>
      <c r="AI194" s="353">
        <v>1.72</v>
      </c>
      <c r="AJ194" s="353">
        <v>1.71</v>
      </c>
      <c r="AK194" s="353">
        <v>1.7</v>
      </c>
      <c r="AL194" s="353">
        <v>1.69</v>
      </c>
      <c r="AM194" s="353">
        <v>1.68</v>
      </c>
      <c r="AN194" s="353">
        <v>1.67</v>
      </c>
      <c r="AO194" s="353">
        <v>1.66</v>
      </c>
      <c r="AP194" s="353">
        <v>1.65</v>
      </c>
      <c r="AQ194" s="353">
        <v>1.64</v>
      </c>
      <c r="AR194" s="353">
        <v>1.63</v>
      </c>
      <c r="AS194" s="353">
        <v>1.62</v>
      </c>
      <c r="AT194" s="353">
        <v>1.61</v>
      </c>
      <c r="AU194" s="353">
        <v>1.6</v>
      </c>
      <c r="AV194" s="353">
        <v>1.59</v>
      </c>
      <c r="AW194" s="353">
        <v>1.58</v>
      </c>
      <c r="AX194" s="353">
        <v>1.57</v>
      </c>
      <c r="AY194" s="353">
        <v>1.57</v>
      </c>
    </row>
    <row r="195" spans="1:51">
      <c r="A195" s="766">
        <v>45443</v>
      </c>
      <c r="B195" s="353">
        <v>1.22</v>
      </c>
      <c r="C195" s="353">
        <v>1.24</v>
      </c>
      <c r="D195" s="353">
        <v>1.25</v>
      </c>
      <c r="E195" s="353">
        <v>1.29</v>
      </c>
      <c r="F195" s="353">
        <v>1.34</v>
      </c>
      <c r="G195" s="353">
        <v>1.4</v>
      </c>
      <c r="H195" s="353">
        <v>1.45</v>
      </c>
      <c r="I195" s="353">
        <v>1.51</v>
      </c>
      <c r="J195" s="353">
        <v>1.57</v>
      </c>
      <c r="K195" s="353">
        <v>1.63</v>
      </c>
      <c r="L195" s="353">
        <v>1.69</v>
      </c>
      <c r="M195" s="353">
        <v>1.73</v>
      </c>
      <c r="N195" s="353">
        <v>1.77</v>
      </c>
      <c r="O195" s="353">
        <v>1.81</v>
      </c>
      <c r="P195" s="442">
        <v>1.84</v>
      </c>
      <c r="Q195" s="353">
        <v>1.85</v>
      </c>
      <c r="R195" s="353">
        <v>1.86</v>
      </c>
      <c r="S195" s="353">
        <v>1.87</v>
      </c>
      <c r="T195" s="353">
        <v>1.87</v>
      </c>
      <c r="U195" s="353">
        <v>1.88</v>
      </c>
      <c r="V195" s="353">
        <v>1.87</v>
      </c>
      <c r="W195" s="353">
        <v>1.86</v>
      </c>
      <c r="X195" s="353">
        <v>1.85</v>
      </c>
      <c r="Y195" s="353">
        <v>1.85</v>
      </c>
      <c r="Z195" s="353">
        <v>1.84</v>
      </c>
      <c r="AA195" s="353">
        <v>1.83</v>
      </c>
      <c r="AB195" s="353">
        <v>1.81</v>
      </c>
      <c r="AC195" s="353">
        <v>1.8</v>
      </c>
      <c r="AD195" s="353">
        <v>1.79</v>
      </c>
      <c r="AE195" s="353">
        <v>1.78</v>
      </c>
      <c r="AF195" s="353">
        <v>1.77</v>
      </c>
      <c r="AG195" s="353">
        <v>1.75</v>
      </c>
      <c r="AH195" s="353">
        <v>1.74</v>
      </c>
      <c r="AI195" s="353">
        <v>1.73</v>
      </c>
      <c r="AJ195" s="353">
        <v>1.72</v>
      </c>
      <c r="AK195" s="353">
        <v>1.71</v>
      </c>
      <c r="AL195" s="353">
        <v>1.7</v>
      </c>
      <c r="AM195" s="353">
        <v>1.69</v>
      </c>
      <c r="AN195" s="353">
        <v>1.68</v>
      </c>
      <c r="AO195" s="353">
        <v>1.67</v>
      </c>
      <c r="AP195" s="353">
        <v>1.66</v>
      </c>
      <c r="AQ195" s="353">
        <v>1.65</v>
      </c>
      <c r="AR195" s="353">
        <v>1.64</v>
      </c>
      <c r="AS195" s="353">
        <v>1.63</v>
      </c>
      <c r="AT195" s="353">
        <v>1.62</v>
      </c>
      <c r="AU195" s="353">
        <v>1.61</v>
      </c>
      <c r="AV195" s="353">
        <v>1.6</v>
      </c>
      <c r="AW195" s="353">
        <v>1.59</v>
      </c>
      <c r="AX195" s="353">
        <v>1.58</v>
      </c>
      <c r="AY195" s="353">
        <v>1.57</v>
      </c>
    </row>
    <row r="196" spans="1:51">
      <c r="A196" s="766">
        <v>45473</v>
      </c>
      <c r="B196" s="353">
        <v>1.27</v>
      </c>
      <c r="C196" s="353">
        <v>1.28</v>
      </c>
      <c r="D196" s="353">
        <v>1.29</v>
      </c>
      <c r="E196" s="353">
        <v>1.33</v>
      </c>
      <c r="F196" s="353">
        <v>1.37</v>
      </c>
      <c r="G196" s="353">
        <v>1.43</v>
      </c>
      <c r="H196" s="353">
        <v>1.48</v>
      </c>
      <c r="I196" s="353">
        <v>1.54</v>
      </c>
      <c r="J196" s="353">
        <v>1.6</v>
      </c>
      <c r="K196" s="353">
        <v>1.66</v>
      </c>
      <c r="L196" s="353">
        <v>1.71</v>
      </c>
      <c r="M196" s="353">
        <v>1.76</v>
      </c>
      <c r="N196" s="353">
        <v>1.79</v>
      </c>
      <c r="O196" s="353">
        <v>1.83</v>
      </c>
      <c r="P196" s="442">
        <v>1.86</v>
      </c>
      <c r="Q196" s="353">
        <v>1.87</v>
      </c>
      <c r="R196" s="353">
        <v>1.88</v>
      </c>
      <c r="S196" s="353">
        <v>1.88</v>
      </c>
      <c r="T196" s="353">
        <v>1.89</v>
      </c>
      <c r="U196" s="353">
        <v>1.89</v>
      </c>
      <c r="V196" s="353">
        <v>1.88</v>
      </c>
      <c r="W196" s="353">
        <v>1.88</v>
      </c>
      <c r="X196" s="353">
        <v>1.87</v>
      </c>
      <c r="Y196" s="353">
        <v>1.86</v>
      </c>
      <c r="Z196" s="353">
        <v>1.85</v>
      </c>
      <c r="AA196" s="353">
        <v>1.84</v>
      </c>
      <c r="AB196" s="353">
        <v>1.82</v>
      </c>
      <c r="AC196" s="353">
        <v>1.81</v>
      </c>
      <c r="AD196" s="353">
        <v>1.8</v>
      </c>
      <c r="AE196" s="353">
        <v>1.79</v>
      </c>
      <c r="AF196" s="353">
        <v>1.78</v>
      </c>
      <c r="AG196" s="353">
        <v>1.76</v>
      </c>
      <c r="AH196" s="353">
        <v>1.75</v>
      </c>
      <c r="AI196" s="353">
        <v>1.74</v>
      </c>
      <c r="AJ196" s="353">
        <v>1.73</v>
      </c>
      <c r="AK196" s="353">
        <v>1.72</v>
      </c>
      <c r="AL196" s="353">
        <v>1.71</v>
      </c>
      <c r="AM196" s="353">
        <v>1.7</v>
      </c>
      <c r="AN196" s="353">
        <v>1.69</v>
      </c>
      <c r="AO196" s="353">
        <v>1.68</v>
      </c>
      <c r="AP196" s="353">
        <v>1.67</v>
      </c>
      <c r="AQ196" s="353">
        <v>1.66</v>
      </c>
      <c r="AR196" s="353">
        <v>1.64</v>
      </c>
      <c r="AS196" s="353">
        <v>1.63</v>
      </c>
      <c r="AT196" s="353">
        <v>1.62</v>
      </c>
      <c r="AU196" s="353">
        <v>1.61</v>
      </c>
      <c r="AV196" s="353">
        <v>1.61</v>
      </c>
      <c r="AW196" s="353">
        <v>1.6</v>
      </c>
      <c r="AX196" s="353">
        <v>1.59</v>
      </c>
      <c r="AY196" s="353">
        <v>1.58</v>
      </c>
    </row>
    <row r="197" spans="1:51">
      <c r="A197" s="766">
        <v>45504</v>
      </c>
      <c r="B197" s="353">
        <v>1.31</v>
      </c>
      <c r="C197" s="353">
        <v>1.32</v>
      </c>
      <c r="D197" s="353">
        <v>1.32</v>
      </c>
      <c r="E197" s="353">
        <v>1.36</v>
      </c>
      <c r="F197" s="353">
        <v>1.4</v>
      </c>
      <c r="G197" s="353">
        <v>1.45</v>
      </c>
      <c r="H197" s="353">
        <v>1.51</v>
      </c>
      <c r="I197" s="353">
        <v>1.56</v>
      </c>
      <c r="J197" s="353">
        <v>1.62</v>
      </c>
      <c r="K197" s="353">
        <v>1.68</v>
      </c>
      <c r="L197" s="353">
        <v>1.73</v>
      </c>
      <c r="M197" s="353">
        <v>1.77</v>
      </c>
      <c r="N197" s="353">
        <v>1.81</v>
      </c>
      <c r="O197" s="353">
        <v>1.85</v>
      </c>
      <c r="P197" s="442">
        <v>1.87</v>
      </c>
      <c r="Q197" s="353">
        <v>1.88</v>
      </c>
      <c r="R197" s="353">
        <v>1.89</v>
      </c>
      <c r="S197" s="353">
        <v>1.9</v>
      </c>
      <c r="T197" s="353">
        <v>1.9</v>
      </c>
      <c r="U197" s="353">
        <v>1.91</v>
      </c>
      <c r="V197" s="353">
        <v>1.9</v>
      </c>
      <c r="W197" s="353">
        <v>1.89</v>
      </c>
      <c r="X197" s="353">
        <v>1.88</v>
      </c>
      <c r="Y197" s="353">
        <v>1.87</v>
      </c>
      <c r="Z197" s="353">
        <v>1.86</v>
      </c>
      <c r="AA197" s="353">
        <v>1.85</v>
      </c>
      <c r="AB197" s="353">
        <v>1.83</v>
      </c>
      <c r="AC197" s="353">
        <v>1.82</v>
      </c>
      <c r="AD197" s="353">
        <v>1.81</v>
      </c>
      <c r="AE197" s="353">
        <v>1.8</v>
      </c>
      <c r="AF197" s="353">
        <v>1.78</v>
      </c>
      <c r="AG197" s="353">
        <v>1.77</v>
      </c>
      <c r="AH197" s="353">
        <v>1.76</v>
      </c>
      <c r="AI197" s="353">
        <v>1.75</v>
      </c>
      <c r="AJ197" s="353">
        <v>1.73</v>
      </c>
      <c r="AK197" s="353">
        <v>1.72</v>
      </c>
      <c r="AL197" s="353">
        <v>1.71</v>
      </c>
      <c r="AM197" s="353">
        <v>1.7</v>
      </c>
      <c r="AN197" s="353">
        <v>1.69</v>
      </c>
      <c r="AO197" s="353">
        <v>1.69</v>
      </c>
      <c r="AP197" s="353">
        <v>1.67</v>
      </c>
      <c r="AQ197" s="353">
        <v>1.66</v>
      </c>
      <c r="AR197" s="353">
        <v>1.65</v>
      </c>
      <c r="AS197" s="353">
        <v>1.64</v>
      </c>
      <c r="AT197" s="353">
        <v>1.63</v>
      </c>
      <c r="AU197" s="353">
        <v>1.62</v>
      </c>
      <c r="AV197" s="353">
        <v>1.61</v>
      </c>
      <c r="AW197" s="353">
        <v>1.6</v>
      </c>
      <c r="AX197" s="353">
        <v>1.59</v>
      </c>
      <c r="AY197" s="353">
        <v>1.59</v>
      </c>
    </row>
    <row r="198" spans="1:51">
      <c r="A198" s="766">
        <v>45535</v>
      </c>
      <c r="B198" s="353">
        <v>1.35</v>
      </c>
      <c r="C198" s="353">
        <v>1.35</v>
      </c>
      <c r="D198" s="353">
        <v>1.36</v>
      </c>
      <c r="E198" s="353">
        <v>1.39</v>
      </c>
      <c r="F198" s="353">
        <v>1.43</v>
      </c>
      <c r="G198" s="353">
        <v>1.48</v>
      </c>
      <c r="H198" s="353">
        <v>1.53</v>
      </c>
      <c r="I198" s="353">
        <v>1.59</v>
      </c>
      <c r="J198" s="353">
        <v>1.64</v>
      </c>
      <c r="K198" s="353">
        <v>1.7</v>
      </c>
      <c r="L198" s="353">
        <v>1.75</v>
      </c>
      <c r="M198" s="353">
        <v>1.79</v>
      </c>
      <c r="N198" s="353">
        <v>1.83</v>
      </c>
      <c r="O198" s="353">
        <v>1.86</v>
      </c>
      <c r="P198" s="442">
        <v>1.89</v>
      </c>
      <c r="Q198" s="353">
        <v>1.9</v>
      </c>
      <c r="R198" s="353">
        <v>1.91</v>
      </c>
      <c r="S198" s="353">
        <v>1.91</v>
      </c>
      <c r="T198" s="353">
        <v>1.92</v>
      </c>
      <c r="U198" s="353">
        <v>1.92</v>
      </c>
      <c r="V198" s="353">
        <v>1.91</v>
      </c>
      <c r="W198" s="353">
        <v>1.9</v>
      </c>
      <c r="X198" s="353">
        <v>1.89</v>
      </c>
      <c r="Y198" s="353">
        <v>1.88</v>
      </c>
      <c r="Z198" s="353">
        <v>1.88</v>
      </c>
      <c r="AA198" s="353">
        <v>1.86</v>
      </c>
      <c r="AB198" s="353">
        <v>1.85</v>
      </c>
      <c r="AC198" s="353">
        <v>1.83</v>
      </c>
      <c r="AD198" s="353">
        <v>1.82</v>
      </c>
      <c r="AE198" s="353">
        <v>1.81</v>
      </c>
      <c r="AF198" s="353">
        <v>1.8</v>
      </c>
      <c r="AG198" s="353">
        <v>1.78</v>
      </c>
      <c r="AH198" s="353">
        <v>1.77</v>
      </c>
      <c r="AI198" s="353">
        <v>1.76</v>
      </c>
      <c r="AJ198" s="353">
        <v>1.74</v>
      </c>
      <c r="AK198" s="353">
        <v>1.73</v>
      </c>
      <c r="AL198" s="353">
        <v>1.72</v>
      </c>
      <c r="AM198" s="353">
        <v>1.71</v>
      </c>
      <c r="AN198" s="353">
        <v>1.7</v>
      </c>
      <c r="AO198" s="353">
        <v>1.7</v>
      </c>
      <c r="AP198" s="353">
        <v>1.68</v>
      </c>
      <c r="AQ198" s="353">
        <v>1.67</v>
      </c>
      <c r="AR198" s="353">
        <v>1.66</v>
      </c>
      <c r="AS198" s="353">
        <v>1.65</v>
      </c>
      <c r="AT198" s="353">
        <v>1.64</v>
      </c>
      <c r="AU198" s="353">
        <v>1.63</v>
      </c>
      <c r="AV198" s="353">
        <v>1.62</v>
      </c>
      <c r="AW198" s="353">
        <v>1.61</v>
      </c>
      <c r="AX198" s="353">
        <v>1.6</v>
      </c>
      <c r="AY198" s="353">
        <v>1.59</v>
      </c>
    </row>
    <row r="199" spans="1:51">
      <c r="A199" s="766">
        <v>45565</v>
      </c>
      <c r="B199" s="353">
        <v>1.39</v>
      </c>
      <c r="C199" s="353">
        <v>1.38</v>
      </c>
      <c r="D199" s="353">
        <v>1.39</v>
      </c>
      <c r="E199" s="353">
        <v>1.42</v>
      </c>
      <c r="F199" s="353">
        <v>1.46</v>
      </c>
      <c r="G199" s="353">
        <v>1.51</v>
      </c>
      <c r="H199" s="353">
        <v>1.56</v>
      </c>
      <c r="I199" s="353">
        <v>1.61</v>
      </c>
      <c r="J199" s="353">
        <v>1.67</v>
      </c>
      <c r="K199" s="353">
        <v>1.72</v>
      </c>
      <c r="L199" s="353">
        <v>1.77</v>
      </c>
      <c r="M199" s="353">
        <v>1.81</v>
      </c>
      <c r="N199" s="353">
        <v>1.85</v>
      </c>
      <c r="O199" s="353">
        <v>1.88</v>
      </c>
      <c r="P199" s="353">
        <v>1.91</v>
      </c>
      <c r="Q199" s="353">
        <v>1.92</v>
      </c>
      <c r="R199" s="353">
        <v>1.92</v>
      </c>
      <c r="S199" s="353">
        <v>1.93</v>
      </c>
      <c r="T199" s="353">
        <v>1.93</v>
      </c>
      <c r="U199" s="353">
        <v>1.94</v>
      </c>
      <c r="V199" s="353">
        <v>1.93</v>
      </c>
      <c r="W199" s="353">
        <v>1.92</v>
      </c>
      <c r="X199" s="353">
        <v>1.91</v>
      </c>
      <c r="Y199" s="353">
        <v>1.9</v>
      </c>
      <c r="Z199" s="353">
        <v>1.89</v>
      </c>
      <c r="AA199" s="353">
        <v>1.87</v>
      </c>
      <c r="AB199" s="353">
        <v>1.86</v>
      </c>
      <c r="AC199" s="353">
        <v>1.84</v>
      </c>
      <c r="AD199" s="353">
        <v>1.83</v>
      </c>
      <c r="AE199" s="353">
        <v>1.82</v>
      </c>
      <c r="AF199" s="353">
        <v>1.81</v>
      </c>
      <c r="AG199" s="353">
        <v>1.79</v>
      </c>
      <c r="AH199" s="353">
        <v>1.78</v>
      </c>
      <c r="AI199" s="353">
        <v>1.77</v>
      </c>
      <c r="AJ199" s="353">
        <v>1.75</v>
      </c>
      <c r="AK199" s="353">
        <v>1.74</v>
      </c>
      <c r="AL199" s="353">
        <v>1.73</v>
      </c>
      <c r="AM199" s="353">
        <v>1.72</v>
      </c>
      <c r="AN199" s="353">
        <v>1.71</v>
      </c>
      <c r="AO199" s="353">
        <v>1.7</v>
      </c>
      <c r="AP199" s="353">
        <v>1.69</v>
      </c>
      <c r="AQ199" s="353">
        <v>1.68</v>
      </c>
      <c r="AR199" s="353">
        <v>1.67</v>
      </c>
      <c r="AS199" s="353">
        <v>1.66</v>
      </c>
      <c r="AT199" s="353">
        <v>1.65</v>
      </c>
      <c r="AU199" s="353">
        <v>1.64</v>
      </c>
      <c r="AV199" s="353">
        <v>1.63</v>
      </c>
      <c r="AW199" s="353">
        <v>1.62</v>
      </c>
      <c r="AX199" s="353">
        <v>1.61</v>
      </c>
      <c r="AY199" s="353">
        <v>1.6</v>
      </c>
    </row>
    <row r="200" spans="1:51">
      <c r="A200" s="766">
        <v>45596</v>
      </c>
      <c r="B200" s="353">
        <v>1.43</v>
      </c>
      <c r="C200" s="353">
        <v>1.42</v>
      </c>
      <c r="D200" s="353">
        <v>1.42</v>
      </c>
      <c r="E200" s="353">
        <v>1.45</v>
      </c>
      <c r="F200" s="353">
        <v>1.49</v>
      </c>
      <c r="G200" s="353">
        <v>1.54</v>
      </c>
      <c r="H200" s="353">
        <v>1.58</v>
      </c>
      <c r="I200" s="353">
        <v>1.64</v>
      </c>
      <c r="J200" s="353">
        <v>1.69</v>
      </c>
      <c r="K200" s="353">
        <v>1.74</v>
      </c>
      <c r="L200" s="353">
        <v>1.79</v>
      </c>
      <c r="M200" s="353">
        <v>1.83</v>
      </c>
      <c r="N200" s="353">
        <v>1.87</v>
      </c>
      <c r="O200" s="353">
        <v>1.9</v>
      </c>
      <c r="P200" s="353">
        <v>1.93</v>
      </c>
      <c r="Q200" s="353">
        <v>1.93</v>
      </c>
      <c r="R200" s="353">
        <v>1.94</v>
      </c>
      <c r="S200" s="353">
        <v>1.94</v>
      </c>
      <c r="T200" s="353">
        <v>1.95</v>
      </c>
      <c r="U200" s="353">
        <v>1.95</v>
      </c>
      <c r="V200" s="353">
        <v>1.94</v>
      </c>
      <c r="W200" s="353">
        <v>1.93</v>
      </c>
      <c r="X200" s="353">
        <v>1.92</v>
      </c>
      <c r="Y200" s="353">
        <v>1.91</v>
      </c>
      <c r="Z200" s="353">
        <v>1.9</v>
      </c>
      <c r="AA200" s="353">
        <v>1.88</v>
      </c>
      <c r="AB200" s="353">
        <v>1.87</v>
      </c>
      <c r="AC200" s="353">
        <v>1.86</v>
      </c>
      <c r="AD200" s="353">
        <v>1.84</v>
      </c>
      <c r="AE200" s="353">
        <v>1.83</v>
      </c>
      <c r="AF200" s="353">
        <v>1.82</v>
      </c>
      <c r="AG200" s="353">
        <v>1.8</v>
      </c>
      <c r="AH200" s="353">
        <v>1.79</v>
      </c>
      <c r="AI200" s="353">
        <v>1.77</v>
      </c>
      <c r="AJ200" s="353">
        <v>1.76</v>
      </c>
      <c r="AK200" s="353">
        <v>1.75</v>
      </c>
      <c r="AL200" s="353">
        <v>1.74</v>
      </c>
      <c r="AM200" s="353">
        <v>1.73</v>
      </c>
      <c r="AN200" s="353">
        <v>1.72</v>
      </c>
      <c r="AO200" s="353">
        <v>1.71</v>
      </c>
      <c r="AP200" s="353">
        <v>1.7</v>
      </c>
      <c r="AQ200" s="353">
        <v>1.69</v>
      </c>
      <c r="AR200" s="353">
        <v>1.67</v>
      </c>
      <c r="AS200" s="353">
        <v>1.66</v>
      </c>
      <c r="AT200" s="353">
        <v>1.65</v>
      </c>
      <c r="AU200" s="353">
        <v>1.64</v>
      </c>
      <c r="AV200" s="353">
        <v>1.63</v>
      </c>
      <c r="AW200" s="353">
        <v>1.62</v>
      </c>
      <c r="AX200" s="353">
        <v>1.61</v>
      </c>
      <c r="AY200" s="353">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198">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198">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6">
        <v>45688</v>
      </c>
      <c r="B203" s="353">
        <v>1.54</v>
      </c>
      <c r="C203" s="353">
        <v>1.52</v>
      </c>
      <c r="D203" s="353">
        <v>1.51</v>
      </c>
      <c r="E203" s="353">
        <v>1.53</v>
      </c>
      <c r="F203" s="353">
        <v>1.57</v>
      </c>
      <c r="G203" s="353">
        <v>1.61</v>
      </c>
      <c r="H203" s="353">
        <v>1.66</v>
      </c>
      <c r="I203" s="353">
        <v>1.71</v>
      </c>
      <c r="J203" s="353">
        <v>1.76</v>
      </c>
      <c r="K203" s="353">
        <v>1.81</v>
      </c>
      <c r="L203" s="353">
        <v>1.85</v>
      </c>
      <c r="M203" s="353">
        <v>1.89</v>
      </c>
      <c r="N203" s="353">
        <v>1.93</v>
      </c>
      <c r="O203" s="353">
        <v>1.96</v>
      </c>
      <c r="P203" s="353">
        <v>1.98</v>
      </c>
      <c r="Q203" s="353">
        <v>1.98</v>
      </c>
      <c r="R203" s="353">
        <v>1.99</v>
      </c>
      <c r="S203" s="353">
        <v>1.99</v>
      </c>
      <c r="T203" s="353">
        <v>1.99</v>
      </c>
      <c r="U203" s="353">
        <v>2</v>
      </c>
      <c r="V203" s="353">
        <v>1.98</v>
      </c>
      <c r="W203" s="353">
        <v>1.97</v>
      </c>
      <c r="X203" s="353">
        <v>1.96</v>
      </c>
      <c r="Y203" s="353">
        <v>1.95</v>
      </c>
      <c r="Z203" s="353">
        <v>1.94</v>
      </c>
      <c r="AA203" s="353">
        <v>1.92</v>
      </c>
      <c r="AB203" s="353">
        <v>1.9</v>
      </c>
      <c r="AC203" s="353">
        <v>1.89</v>
      </c>
      <c r="AD203" s="353">
        <v>1.88</v>
      </c>
      <c r="AE203" s="353">
        <v>1.86</v>
      </c>
      <c r="AF203" s="353">
        <v>1.85</v>
      </c>
      <c r="AG203" s="353">
        <v>1.83</v>
      </c>
      <c r="AH203" s="353">
        <v>1.82</v>
      </c>
      <c r="AI203" s="353">
        <v>1.8</v>
      </c>
      <c r="AJ203" s="353">
        <v>1.79</v>
      </c>
      <c r="AK203" s="353">
        <v>1.78</v>
      </c>
      <c r="AL203" s="353">
        <v>1.77</v>
      </c>
      <c r="AM203" s="353">
        <v>1.76</v>
      </c>
      <c r="AN203" s="353">
        <v>1.75</v>
      </c>
      <c r="AO203" s="353">
        <v>1.74</v>
      </c>
      <c r="AP203" s="353">
        <v>1.72</v>
      </c>
      <c r="AQ203" s="353">
        <v>1.71</v>
      </c>
      <c r="AR203" s="353">
        <v>1.7</v>
      </c>
      <c r="AS203" s="353">
        <v>1.69</v>
      </c>
      <c r="AT203" s="353">
        <v>1.68</v>
      </c>
      <c r="AU203" s="353">
        <v>1.66</v>
      </c>
      <c r="AV203" s="353">
        <v>1.65</v>
      </c>
      <c r="AW203" s="353">
        <v>1.64</v>
      </c>
      <c r="AX203" s="353">
        <v>1.64</v>
      </c>
      <c r="AY203" s="353">
        <v>1.63</v>
      </c>
    </row>
    <row r="204" spans="1:51">
      <c r="A204" s="766">
        <v>45716</v>
      </c>
      <c r="B204" s="353">
        <v>1.57</v>
      </c>
      <c r="C204" s="353">
        <v>1.55</v>
      </c>
      <c r="D204" s="353">
        <v>1.54</v>
      </c>
      <c r="E204" s="353">
        <v>1.56</v>
      </c>
      <c r="F204" s="353">
        <v>1.6</v>
      </c>
      <c r="G204" s="353">
        <v>1.64</v>
      </c>
      <c r="H204" s="353">
        <v>1.68</v>
      </c>
      <c r="I204" s="353">
        <v>1.73</v>
      </c>
      <c r="J204" s="353">
        <v>1.78</v>
      </c>
      <c r="K204" s="353">
        <v>1.83</v>
      </c>
      <c r="L204" s="353">
        <v>1.87</v>
      </c>
      <c r="M204" s="353">
        <v>1.91</v>
      </c>
      <c r="N204" s="353">
        <v>1.94</v>
      </c>
      <c r="O204" s="353">
        <v>1.97</v>
      </c>
      <c r="P204" s="353">
        <v>2</v>
      </c>
      <c r="Q204" s="353">
        <v>2</v>
      </c>
      <c r="R204" s="353">
        <v>2</v>
      </c>
      <c r="S204" s="353">
        <v>2.0099999999999998</v>
      </c>
      <c r="T204" s="353">
        <v>2.0099999999999998</v>
      </c>
      <c r="U204" s="353">
        <v>2.0099999999999998</v>
      </c>
      <c r="V204" s="353">
        <v>2</v>
      </c>
      <c r="W204" s="353">
        <v>1.98</v>
      </c>
      <c r="X204" s="353">
        <v>1.97</v>
      </c>
      <c r="Y204" s="353">
        <v>1.96</v>
      </c>
      <c r="Z204" s="353">
        <v>1.95</v>
      </c>
      <c r="AA204" s="353">
        <v>1.93</v>
      </c>
      <c r="AB204" s="353">
        <v>1.92</v>
      </c>
      <c r="AC204" s="353">
        <v>1.9</v>
      </c>
      <c r="AD204" s="353">
        <v>1.89</v>
      </c>
      <c r="AE204" s="353">
        <v>1.87</v>
      </c>
      <c r="AF204" s="353">
        <v>1.86</v>
      </c>
      <c r="AG204" s="353">
        <v>1.84</v>
      </c>
      <c r="AH204" s="353">
        <v>1.83</v>
      </c>
      <c r="AI204" s="353">
        <v>1.81</v>
      </c>
      <c r="AJ204" s="353">
        <v>1.8</v>
      </c>
      <c r="AK204" s="353">
        <v>1.79</v>
      </c>
      <c r="AL204" s="353">
        <v>1.78</v>
      </c>
      <c r="AM204" s="353">
        <v>1.77</v>
      </c>
      <c r="AN204" s="353">
        <v>1.76</v>
      </c>
      <c r="AO204" s="353">
        <v>1.75</v>
      </c>
      <c r="AP204" s="353">
        <v>1.73</v>
      </c>
      <c r="AQ204" s="353">
        <v>1.72</v>
      </c>
      <c r="AR204" s="353">
        <v>1.71</v>
      </c>
      <c r="AS204" s="353">
        <v>1.7</v>
      </c>
      <c r="AT204" s="353">
        <v>1.69</v>
      </c>
      <c r="AU204" s="353">
        <v>1.68</v>
      </c>
      <c r="AV204" s="353">
        <v>1.66</v>
      </c>
      <c r="AW204" s="353">
        <v>1.65</v>
      </c>
      <c r="AX204" s="353">
        <v>1.65</v>
      </c>
      <c r="AY204" s="353">
        <v>1.64</v>
      </c>
    </row>
    <row r="205" spans="1:51">
      <c r="A205" s="766">
        <v>45747</v>
      </c>
      <c r="B205" s="353">
        <v>1.61</v>
      </c>
      <c r="C205" s="353">
        <v>1.58</v>
      </c>
      <c r="D205" s="353">
        <v>1.57</v>
      </c>
      <c r="E205" s="353">
        <v>1.59</v>
      </c>
      <c r="F205" s="353">
        <v>1.63</v>
      </c>
      <c r="G205" s="353">
        <v>1.67</v>
      </c>
      <c r="H205" s="353">
        <v>1.71</v>
      </c>
      <c r="I205" s="353">
        <v>1.76</v>
      </c>
      <c r="J205" s="353">
        <v>1.8</v>
      </c>
      <c r="K205" s="353">
        <v>1.85</v>
      </c>
      <c r="L205" s="353">
        <v>1.9</v>
      </c>
      <c r="M205" s="353">
        <v>1.93</v>
      </c>
      <c r="N205" s="353">
        <v>1.97</v>
      </c>
      <c r="O205" s="353">
        <v>1.99</v>
      </c>
      <c r="P205" s="353">
        <v>2.02</v>
      </c>
      <c r="Q205" s="353">
        <v>2.02</v>
      </c>
      <c r="R205" s="353">
        <v>2.02</v>
      </c>
      <c r="S205" s="353">
        <v>2.0299999999999998</v>
      </c>
      <c r="T205" s="353">
        <v>2.0299999999999998</v>
      </c>
      <c r="U205" s="353">
        <v>2.0299999999999998</v>
      </c>
      <c r="V205" s="353">
        <v>2.02</v>
      </c>
      <c r="W205" s="353">
        <v>2</v>
      </c>
      <c r="X205" s="353">
        <v>1.99</v>
      </c>
      <c r="Y205" s="353">
        <v>1.98</v>
      </c>
      <c r="Z205" s="353">
        <v>1.97</v>
      </c>
      <c r="AA205" s="353">
        <v>1.95</v>
      </c>
      <c r="AB205" s="353">
        <v>1.93</v>
      </c>
      <c r="AC205" s="353">
        <v>1.92</v>
      </c>
      <c r="AD205" s="353">
        <v>1.91</v>
      </c>
      <c r="AE205" s="353">
        <v>1.89</v>
      </c>
      <c r="AF205" s="353">
        <v>1.88</v>
      </c>
      <c r="AG205" s="353">
        <v>1.86</v>
      </c>
      <c r="AH205" s="353">
        <v>1.85</v>
      </c>
      <c r="AI205" s="353">
        <v>1.83</v>
      </c>
      <c r="AJ205" s="353">
        <v>1.82</v>
      </c>
      <c r="AK205" s="353">
        <v>1.81</v>
      </c>
      <c r="AL205" s="353">
        <v>1.8</v>
      </c>
      <c r="AM205" s="353">
        <v>1.78</v>
      </c>
      <c r="AN205" s="353">
        <v>1.77</v>
      </c>
      <c r="AO205" s="353">
        <v>1.76</v>
      </c>
      <c r="AP205" s="353">
        <v>1.75</v>
      </c>
      <c r="AQ205" s="353">
        <v>1.74</v>
      </c>
      <c r="AR205" s="353">
        <v>1.72</v>
      </c>
      <c r="AS205" s="353">
        <v>1.71</v>
      </c>
      <c r="AT205" s="353">
        <v>1.7</v>
      </c>
      <c r="AU205" s="353">
        <v>1.69</v>
      </c>
      <c r="AV205" s="353">
        <v>1.68</v>
      </c>
      <c r="AW205" s="353">
        <v>1.67</v>
      </c>
      <c r="AX205" s="353">
        <v>1.66</v>
      </c>
      <c r="AY205" s="353">
        <v>1.65</v>
      </c>
    </row>
    <row r="206" spans="1:51">
      <c r="A206" s="115"/>
    </row>
    <row r="207" spans="1:51">
      <c r="A207" s="114"/>
    </row>
    <row r="208" spans="1:51">
      <c r="A208" s="115"/>
    </row>
    <row r="209" spans="1:1">
      <c r="A209" s="114"/>
    </row>
    <row r="210" spans="1:1">
      <c r="A210" s="115"/>
    </row>
    <row r="211" spans="1:1">
      <c r="A211" s="114"/>
    </row>
    <row r="212" spans="1:1">
      <c r="A212" s="115"/>
    </row>
    <row r="213" spans="1:1">
      <c r="A213" s="114"/>
    </row>
    <row r="214" spans="1:1">
      <c r="A214" s="115"/>
    </row>
    <row r="215" spans="1:1">
      <c r="A215" s="114"/>
    </row>
    <row r="216" spans="1:1">
      <c r="A216" s="115"/>
    </row>
    <row r="217" spans="1:1">
      <c r="A217" s="114"/>
    </row>
    <row r="218" spans="1:1">
      <c r="A218" s="115"/>
    </row>
    <row r="219" spans="1:1">
      <c r="A219" s="114"/>
    </row>
    <row r="220" spans="1:1">
      <c r="A220" s="115"/>
    </row>
    <row r="221" spans="1:1">
      <c r="A221" s="114"/>
    </row>
    <row r="222" spans="1:1">
      <c r="A222" s="115"/>
    </row>
    <row r="223" spans="1:1">
      <c r="A223" s="114"/>
    </row>
    <row r="224" spans="1: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mergeCells count="5">
    <mergeCell ref="A4:V4"/>
    <mergeCell ref="BE66:BF66"/>
    <mergeCell ref="BG66:BH66"/>
    <mergeCell ref="BD80:BE80"/>
    <mergeCell ref="BF80:BG80"/>
  </mergeCells>
  <phoneticPr fontId="52"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25" zeroHeight="1"/>
  <cols>
    <col min="1" max="1" width="3.125" customWidth="1"/>
    <col min="2" max="2" width="11.125" customWidth="1"/>
    <col min="3" max="6" width="10.625" customWidth="1"/>
    <col min="7" max="7" width="4.125" customWidth="1"/>
    <col min="8" max="16384" width="10.625" hidden="1"/>
  </cols>
  <sheetData>
    <row r="1" spans="2:6" ht="15.75">
      <c r="B1" s="3521" t="s">
        <v>1013</v>
      </c>
      <c r="C1" s="3522"/>
      <c r="D1" s="3522"/>
      <c r="E1" s="3522"/>
      <c r="F1" s="3523"/>
    </row>
    <row r="2" spans="2:6" ht="45">
      <c r="B2" s="892" t="s">
        <v>33</v>
      </c>
      <c r="C2" s="74" t="s">
        <v>34</v>
      </c>
      <c r="D2" s="74" t="s">
        <v>35</v>
      </c>
      <c r="E2" s="3524"/>
      <c r="F2" s="3525"/>
    </row>
    <row r="3" spans="2:6">
      <c r="B3" s="89">
        <v>1900</v>
      </c>
      <c r="C3" s="73">
        <v>0</v>
      </c>
      <c r="D3" s="69">
        <v>65</v>
      </c>
      <c r="E3" s="3519" t="s">
        <v>36</v>
      </c>
      <c r="F3" s="3520"/>
    </row>
    <row r="4" spans="2:6">
      <c r="B4" s="89">
        <v>1947</v>
      </c>
      <c r="C4" s="73">
        <v>1</v>
      </c>
      <c r="D4" s="69">
        <f>65+C4/12</f>
        <v>65.083333333333329</v>
      </c>
      <c r="E4" s="3519" t="s">
        <v>37</v>
      </c>
      <c r="F4" s="3520"/>
    </row>
    <row r="5" spans="2:6">
      <c r="B5" s="89">
        <v>1948</v>
      </c>
      <c r="C5" s="73">
        <v>2</v>
      </c>
      <c r="D5" s="69">
        <f t="shared" ref="D5:D21" si="0">65+C5/12</f>
        <v>65.166666666666671</v>
      </c>
      <c r="E5" s="3519" t="s">
        <v>38</v>
      </c>
      <c r="F5" s="3520"/>
    </row>
    <row r="6" spans="2:6">
      <c r="B6" s="89">
        <v>1949</v>
      </c>
      <c r="C6" s="73">
        <v>3</v>
      </c>
      <c r="D6" s="69">
        <f t="shared" si="0"/>
        <v>65.25</v>
      </c>
      <c r="E6" s="3519" t="s">
        <v>39</v>
      </c>
      <c r="F6" s="3520"/>
    </row>
    <row r="7" spans="2:6">
      <c r="B7" s="89">
        <v>1950</v>
      </c>
      <c r="C7" s="73">
        <v>4</v>
      </c>
      <c r="D7" s="69">
        <f t="shared" si="0"/>
        <v>65.333333333333329</v>
      </c>
      <c r="E7" s="3519" t="s">
        <v>40</v>
      </c>
      <c r="F7" s="3520"/>
    </row>
    <row r="8" spans="2:6">
      <c r="B8" s="89">
        <v>1951</v>
      </c>
      <c r="C8" s="73">
        <v>5</v>
      </c>
      <c r="D8" s="69">
        <f t="shared" si="0"/>
        <v>65.416666666666671</v>
      </c>
      <c r="E8" s="3519" t="s">
        <v>41</v>
      </c>
      <c r="F8" s="3520"/>
    </row>
    <row r="9" spans="2:6">
      <c r="B9" s="89">
        <v>1952</v>
      </c>
      <c r="C9" s="73">
        <v>6</v>
      </c>
      <c r="D9" s="69">
        <f t="shared" si="0"/>
        <v>65.5</v>
      </c>
      <c r="E9" s="3519" t="s">
        <v>42</v>
      </c>
      <c r="F9" s="3520"/>
    </row>
    <row r="10" spans="2:6">
      <c r="B10" s="89">
        <v>1953</v>
      </c>
      <c r="C10" s="73">
        <v>7</v>
      </c>
      <c r="D10" s="69">
        <f t="shared" si="0"/>
        <v>65.583333333333329</v>
      </c>
      <c r="E10" s="3519" t="s">
        <v>43</v>
      </c>
      <c r="F10" s="3520"/>
    </row>
    <row r="11" spans="2:6">
      <c r="B11" s="89">
        <v>1954</v>
      </c>
      <c r="C11" s="73">
        <v>8</v>
      </c>
      <c r="D11" s="69">
        <f t="shared" si="0"/>
        <v>65.666666666666671</v>
      </c>
      <c r="E11" s="3519" t="s">
        <v>44</v>
      </c>
      <c r="F11" s="3520"/>
    </row>
    <row r="12" spans="2:6">
      <c r="B12" s="89">
        <v>1955</v>
      </c>
      <c r="C12" s="73">
        <v>9</v>
      </c>
      <c r="D12" s="69">
        <f t="shared" si="0"/>
        <v>65.75</v>
      </c>
      <c r="E12" s="3519" t="s">
        <v>45</v>
      </c>
      <c r="F12" s="3520"/>
    </row>
    <row r="13" spans="2:6">
      <c r="B13" s="89">
        <v>1956</v>
      </c>
      <c r="C13" s="73">
        <v>10</v>
      </c>
      <c r="D13" s="69">
        <f t="shared" si="0"/>
        <v>65.833333333333329</v>
      </c>
      <c r="E13" s="3519" t="s">
        <v>46</v>
      </c>
      <c r="F13" s="3520"/>
    </row>
    <row r="14" spans="2:6">
      <c r="B14" s="89">
        <v>1957</v>
      </c>
      <c r="C14" s="73">
        <v>11</v>
      </c>
      <c r="D14" s="69">
        <f t="shared" si="0"/>
        <v>65.916666666666671</v>
      </c>
      <c r="E14" s="3519" t="s">
        <v>47</v>
      </c>
      <c r="F14" s="3520"/>
    </row>
    <row r="15" spans="2:6">
      <c r="B15" s="89">
        <v>1958</v>
      </c>
      <c r="C15" s="73">
        <v>12</v>
      </c>
      <c r="D15" s="69">
        <f t="shared" si="0"/>
        <v>66</v>
      </c>
      <c r="E15" s="3519" t="s">
        <v>48</v>
      </c>
      <c r="F15" s="3520"/>
    </row>
    <row r="16" spans="2:6">
      <c r="B16" s="89">
        <v>1959</v>
      </c>
      <c r="C16" s="73">
        <v>14</v>
      </c>
      <c r="D16" s="69">
        <f t="shared" si="0"/>
        <v>66.166666666666671</v>
      </c>
      <c r="E16" s="3519" t="s">
        <v>49</v>
      </c>
      <c r="F16" s="3520"/>
    </row>
    <row r="17" spans="2:6">
      <c r="B17" s="89">
        <v>1960</v>
      </c>
      <c r="C17" s="73">
        <v>16</v>
      </c>
      <c r="D17" s="69">
        <f t="shared" si="0"/>
        <v>66.333333333333329</v>
      </c>
      <c r="E17" s="3519" t="s">
        <v>50</v>
      </c>
      <c r="F17" s="3520"/>
    </row>
    <row r="18" spans="2:6">
      <c r="B18" s="89">
        <v>1961</v>
      </c>
      <c r="C18" s="73">
        <v>18</v>
      </c>
      <c r="D18" s="69">
        <f t="shared" si="0"/>
        <v>66.5</v>
      </c>
      <c r="E18" s="3519" t="s">
        <v>51</v>
      </c>
      <c r="F18" s="3520"/>
    </row>
    <row r="19" spans="2:6">
      <c r="B19" s="89">
        <v>1962</v>
      </c>
      <c r="C19" s="73">
        <v>20</v>
      </c>
      <c r="D19" s="69">
        <f t="shared" si="0"/>
        <v>66.666666666666671</v>
      </c>
      <c r="E19" s="3519" t="s">
        <v>52</v>
      </c>
      <c r="F19" s="3520"/>
    </row>
    <row r="20" spans="2:6">
      <c r="B20" s="89">
        <v>1963</v>
      </c>
      <c r="C20" s="73">
        <v>22</v>
      </c>
      <c r="D20" s="69">
        <f t="shared" si="0"/>
        <v>66.833333333333329</v>
      </c>
      <c r="E20" s="3519" t="s">
        <v>53</v>
      </c>
      <c r="F20" s="3520"/>
    </row>
    <row r="21" spans="2:6" ht="15" thickBot="1">
      <c r="B21" s="896">
        <v>1964</v>
      </c>
      <c r="C21" s="897">
        <v>24</v>
      </c>
      <c r="D21" s="898">
        <f t="shared" si="0"/>
        <v>67</v>
      </c>
      <c r="E21" s="3528" t="s">
        <v>54</v>
      </c>
      <c r="F21" s="3529"/>
    </row>
    <row r="22" spans="2:6" ht="15" hidden="1" thickBot="1">
      <c r="B22" s="893"/>
      <c r="C22" s="894"/>
      <c r="D22" s="895"/>
      <c r="E22" s="3526"/>
      <c r="F22" s="3527"/>
    </row>
  </sheetData>
  <mergeCells count="22">
    <mergeCell ref="E22:F22"/>
    <mergeCell ref="E21:F21"/>
    <mergeCell ref="E13:F13"/>
    <mergeCell ref="E14:F14"/>
    <mergeCell ref="E15:F15"/>
    <mergeCell ref="E16:F16"/>
    <mergeCell ref="E20:F20"/>
    <mergeCell ref="E12:F12"/>
    <mergeCell ref="E17:F17"/>
    <mergeCell ref="E18:F18"/>
    <mergeCell ref="E11:F11"/>
    <mergeCell ref="E19:F19"/>
    <mergeCell ref="E6:F6"/>
    <mergeCell ref="E7:F7"/>
    <mergeCell ref="E10:F10"/>
    <mergeCell ref="E8:F8"/>
    <mergeCell ref="B1:F1"/>
    <mergeCell ref="E2:F2"/>
    <mergeCell ref="E3:F3"/>
    <mergeCell ref="E4:F4"/>
    <mergeCell ref="E5:F5"/>
    <mergeCell ref="E9:F9"/>
  </mergeCells>
  <phoneticPr fontId="52" type="noConversion"/>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C1" zoomScale="120" zoomScaleNormal="120" workbookViewId="0">
      <selection activeCell="AE30" sqref="AE30"/>
    </sheetView>
  </sheetViews>
  <sheetFormatPr baseColWidth="10" defaultColWidth="0" defaultRowHeight="14.25"/>
  <cols>
    <col min="1" max="2" width="11" hidden="1" customWidth="1"/>
    <col min="3" max="3" width="2.625" customWidth="1"/>
    <col min="4" max="4" width="60.625" customWidth="1"/>
    <col min="5" max="5" width="16.625" customWidth="1"/>
    <col min="6" max="6" width="13.625" customWidth="1"/>
    <col min="7" max="7" width="16.625" customWidth="1"/>
    <col min="8" max="8" width="12.625" customWidth="1"/>
    <col min="9" max="9" width="1.125" style="219" customWidth="1"/>
    <col min="10" max="10" width="0.625" style="219" customWidth="1"/>
    <col min="11" max="12" width="13.125" style="128" customWidth="1"/>
    <col min="13" max="13" width="3.5" style="128" customWidth="1"/>
    <col min="14" max="14" width="15" style="128" hidden="1" customWidth="1"/>
    <col min="15" max="15" width="10" style="128" hidden="1" customWidth="1"/>
    <col min="16" max="17" width="11" style="128" hidden="1" customWidth="1"/>
    <col min="18" max="18" width="10.125" style="128" hidden="1" customWidth="1"/>
    <col min="19" max="20" width="11" hidden="1" customWidth="1"/>
    <col min="21" max="21" width="7" style="128" hidden="1" customWidth="1"/>
    <col min="22" max="22" width="16.625" style="367" hidden="1" customWidth="1"/>
    <col min="23" max="16384" width="11" hidden="1"/>
  </cols>
  <sheetData>
    <row r="1" spans="1:22" s="661" customFormat="1" ht="21" thickBot="1">
      <c r="A1"/>
      <c r="B1"/>
      <c r="C1" s="841">
        <v>1</v>
      </c>
      <c r="D1" s="3553" t="s">
        <v>907</v>
      </c>
      <c r="E1" s="3553"/>
      <c r="F1" s="3553"/>
      <c r="G1" s="3553"/>
      <c r="H1" s="3553"/>
      <c r="I1" s="1255"/>
      <c r="J1" s="340"/>
      <c r="K1" s="3569" t="s">
        <v>1052</v>
      </c>
      <c r="L1" s="3570"/>
      <c r="M1" s="214"/>
      <c r="N1" s="128"/>
      <c r="O1" s="128"/>
      <c r="P1" s="128"/>
      <c r="Q1" s="128"/>
      <c r="R1" s="128"/>
      <c r="S1"/>
      <c r="T1"/>
      <c r="U1" s="128"/>
      <c r="V1" s="367"/>
    </row>
    <row r="2" spans="1:22" s="15" customFormat="1" ht="18" customHeight="1">
      <c r="A2"/>
      <c r="B2"/>
      <c r="C2" s="842">
        <v>2</v>
      </c>
      <c r="D2" s="3563" t="s">
        <v>1033</v>
      </c>
      <c r="E2" s="3564"/>
      <c r="F2" s="3564"/>
      <c r="G2" s="3564"/>
      <c r="H2" s="3565"/>
      <c r="I2" s="3573"/>
      <c r="J2" s="3574"/>
      <c r="K2" s="3575" t="s">
        <v>1954</v>
      </c>
      <c r="L2" s="3577" t="s">
        <v>1955</v>
      </c>
      <c r="M2" s="215"/>
      <c r="N2" s="15" t="s">
        <v>57</v>
      </c>
      <c r="O2" s="15" t="b">
        <v>0</v>
      </c>
      <c r="P2" s="753"/>
      <c r="Q2" s="753"/>
      <c r="R2" s="753"/>
      <c r="U2" s="753"/>
      <c r="V2" s="900"/>
    </row>
    <row r="3" spans="1:22" s="15" customFormat="1" ht="18" customHeight="1" thickBot="1">
      <c r="A3"/>
      <c r="B3"/>
      <c r="C3" s="842">
        <v>3</v>
      </c>
      <c r="D3" s="3566"/>
      <c r="E3" s="3567"/>
      <c r="F3" s="3567"/>
      <c r="G3" s="3567"/>
      <c r="H3" s="3568"/>
      <c r="I3" s="215"/>
      <c r="J3" s="215"/>
      <c r="K3" s="3576"/>
      <c r="L3" s="3578"/>
      <c r="M3" s="215"/>
      <c r="N3" s="15" t="s">
        <v>1019</v>
      </c>
      <c r="O3" s="753" t="e">
        <f>VLOOKUP(YEAR(F4),MonatlicheBezugsgroesse,IF(GR_Ost,3,2))</f>
        <v>#N/A</v>
      </c>
      <c r="P3" s="754" t="e">
        <f>E14*VLOOKUP(F4,UmrechnungEP_Kap,IF(GR_Ost,3,2))</f>
        <v>#N/A</v>
      </c>
      <c r="Q3" s="753" t="e">
        <f>G14*VLOOKUP(F4,UmrechnungEP_Kap,IF(GR_Ost,3,2))</f>
        <v>#N/A</v>
      </c>
      <c r="R3" s="960"/>
      <c r="S3" s="3554"/>
      <c r="T3" s="3554"/>
      <c r="U3" s="960"/>
      <c r="V3" s="960"/>
    </row>
    <row r="4" spans="1:22" s="15" customFormat="1" ht="14.25" customHeight="1">
      <c r="A4"/>
      <c r="B4"/>
      <c r="C4" s="842">
        <v>4</v>
      </c>
      <c r="D4" s="1076" t="str">
        <f>IF(AND(E4="",F4=""),"Ehezeitende eingeben:",IF(AND(E4="",F4&gt;0),"Ehezeitende aus Fallerfassung übernommen:","Ehezeitende:"))</f>
        <v>Ehezeitende:</v>
      </c>
      <c r="E4" s="1310"/>
      <c r="F4" s="1220">
        <f>IF(E4="",Dat_EzE,E4)</f>
        <v>0</v>
      </c>
      <c r="G4" s="1099" t="s">
        <v>1051</v>
      </c>
      <c r="H4" s="1100">
        <f>IFERROR(VLOOKUP(F4,aktRW,IF(GR_Ost,3,2)),0)</f>
        <v>0</v>
      </c>
      <c r="I4" s="215"/>
      <c r="J4" s="215"/>
      <c r="K4" s="3571" t="s">
        <v>1173</v>
      </c>
      <c r="L4" s="3572"/>
      <c r="M4" s="214"/>
      <c r="N4" s="753"/>
      <c r="O4" s="753"/>
      <c r="P4" s="753"/>
      <c r="Q4" s="753"/>
      <c r="R4" s="753"/>
      <c r="S4" s="753"/>
      <c r="T4" s="325"/>
      <c r="U4" s="753"/>
      <c r="V4" s="900"/>
    </row>
    <row r="5" spans="1:22" s="15" customFormat="1" ht="14.25" customHeight="1" thickBot="1">
      <c r="A5"/>
      <c r="B5"/>
      <c r="C5" s="842">
        <v>5</v>
      </c>
      <c r="D5" s="1224" t="s">
        <v>1017</v>
      </c>
      <c r="E5" s="930">
        <f ca="1">TODAY()</f>
        <v>45748</v>
      </c>
      <c r="F5" s="1221"/>
      <c r="G5" s="1222" t="str">
        <f ca="1">IF(E5="","","aktRW am "&amp;TEXT(E5,"TT.MM.JJJJ"))</f>
        <v>aktRW am 01.04.2025</v>
      </c>
      <c r="H5" s="1223">
        <f ca="1">IF(E5="","",IFERROR(VLOOKUP(E5,aktRW,IF(GR_Ost,3,2),TRUE),0))</f>
        <v>39.32</v>
      </c>
      <c r="I5" s="215"/>
      <c r="J5" s="215"/>
      <c r="K5" s="3571"/>
      <c r="L5" s="3572"/>
      <c r="M5" s="214"/>
      <c r="N5" s="753"/>
      <c r="O5" s="753"/>
      <c r="P5" s="753"/>
      <c r="Q5" s="753"/>
      <c r="R5" s="753"/>
      <c r="S5" s="753"/>
      <c r="T5" s="325"/>
      <c r="U5" s="753"/>
      <c r="V5" s="900"/>
    </row>
    <row r="6" spans="1:22" s="15" customFormat="1" ht="14.25" customHeight="1">
      <c r="A6"/>
      <c r="B6"/>
      <c r="C6" s="842">
        <v>6</v>
      </c>
      <c r="D6" s="1225" t="s">
        <v>912</v>
      </c>
      <c r="E6" s="3559" t="s">
        <v>175</v>
      </c>
      <c r="F6" s="3560"/>
      <c r="G6" s="3561" t="s">
        <v>176</v>
      </c>
      <c r="H6" s="3562"/>
      <c r="I6" s="215"/>
      <c r="J6" s="215"/>
      <c r="K6" s="3571"/>
      <c r="L6" s="3572"/>
      <c r="M6" s="214"/>
      <c r="N6" s="753"/>
      <c r="O6" s="753"/>
      <c r="P6" s="753"/>
      <c r="Q6" s="753"/>
      <c r="R6" s="753"/>
      <c r="S6" s="901"/>
      <c r="T6" s="901"/>
      <c r="U6" s="902"/>
      <c r="V6" s="900"/>
    </row>
    <row r="7" spans="1:22" s="15" customFormat="1" ht="14.25" customHeight="1">
      <c r="A7"/>
      <c r="B7"/>
      <c r="C7" s="842">
        <v>7</v>
      </c>
      <c r="D7" s="1077" t="s">
        <v>910</v>
      </c>
      <c r="E7" s="930"/>
      <c r="F7" s="1226" t="str">
        <f>IF(E7="",Dat_GebDat_M,E7)</f>
        <v/>
      </c>
      <c r="G7" s="1227"/>
      <c r="H7" s="1229" t="str">
        <f>IF(G7="",Dat_GebDat_F,G7)</f>
        <v/>
      </c>
      <c r="I7" s="215"/>
      <c r="J7" s="215"/>
      <c r="K7" s="3571"/>
      <c r="L7" s="3572"/>
      <c r="M7" s="214"/>
      <c r="N7" s="753"/>
      <c r="O7" s="753"/>
      <c r="P7" s="753"/>
      <c r="Q7" s="753"/>
      <c r="R7" s="753"/>
      <c r="S7" s="901"/>
      <c r="T7" s="901"/>
      <c r="U7" s="902"/>
      <c r="V7" s="900"/>
    </row>
    <row r="8" spans="1:22" s="15" customFormat="1" ht="14.25" customHeight="1">
      <c r="A8"/>
      <c r="B8"/>
      <c r="C8" s="842">
        <v>8</v>
      </c>
      <c r="D8" s="1077" t="s">
        <v>1026</v>
      </c>
      <c r="E8" s="3555" t="str">
        <f>IFERROR(IF(F7=0,"",YEARFRAC(F7,F4,0)),"")</f>
        <v/>
      </c>
      <c r="F8" s="3556"/>
      <c r="G8" s="3557" t="str">
        <f>IFERROR(IF(H7=0,"",YEARFRAC(H7,F4,0)),"")</f>
        <v/>
      </c>
      <c r="H8" s="3558"/>
      <c r="I8" s="215"/>
      <c r="J8" s="215"/>
      <c r="K8" s="3571"/>
      <c r="L8" s="3572"/>
      <c r="M8" s="214"/>
      <c r="N8" s="753"/>
      <c r="O8" s="753"/>
      <c r="P8" s="753"/>
      <c r="Q8" s="753"/>
      <c r="R8" s="753"/>
      <c r="S8" s="901"/>
      <c r="T8" s="901"/>
      <c r="U8" s="902"/>
      <c r="V8" s="900"/>
    </row>
    <row r="9" spans="1:22" s="15" customFormat="1" ht="14.25" customHeight="1">
      <c r="A9"/>
      <c r="B9"/>
      <c r="C9" s="842">
        <v>9</v>
      </c>
      <c r="D9" s="1078" t="s">
        <v>908</v>
      </c>
      <c r="E9" s="3540" t="str">
        <f>IFERROR(IF(F7=0,"",DATE(YEAR(F7)+65,MONTH(F7)+VLOOKUP(YEAR(F7),Regelaltersgrenze,2)+1,1)),"")</f>
        <v/>
      </c>
      <c r="F9" s="3541"/>
      <c r="G9" s="3538" t="str">
        <f>IF(H7="","",DATE(YEAR(H7)+65,MONTH(H7)+VLOOKUP(YEAR(H7),Regelaltersgrenze,2)+1,1))</f>
        <v/>
      </c>
      <c r="H9" s="3539"/>
      <c r="I9" s="215"/>
      <c r="J9" s="215"/>
      <c r="K9" s="3530" t="str">
        <f>"Grundrenten-EP Teilung? - "&amp;IF(GR_EP_Teilung,"Ja","Nein")</f>
        <v>Grundrenten-EP Teilung? - Ja</v>
      </c>
      <c r="L9" s="3531"/>
      <c r="M9" s="214"/>
      <c r="N9" s="753" t="s">
        <v>1054</v>
      </c>
      <c r="O9" s="959" t="b">
        <v>1</v>
      </c>
      <c r="P9" s="753"/>
      <c r="Q9" s="753"/>
      <c r="R9" s="753"/>
      <c r="S9" s="901"/>
      <c r="T9" s="901"/>
      <c r="U9" s="902"/>
      <c r="V9" s="904"/>
    </row>
    <row r="10" spans="1:22" s="15" customFormat="1" ht="14.25" customHeight="1">
      <c r="A10"/>
      <c r="B10"/>
      <c r="C10" s="842">
        <v>10</v>
      </c>
      <c r="D10" s="1077" t="s">
        <v>911</v>
      </c>
      <c r="E10" s="3542"/>
      <c r="F10" s="3543"/>
      <c r="G10" s="3537"/>
      <c r="H10" s="2895"/>
      <c r="I10" s="215"/>
      <c r="J10" s="215"/>
      <c r="K10" s="3532" t="s">
        <v>1053</v>
      </c>
      <c r="L10" s="3533"/>
      <c r="M10" s="214"/>
      <c r="N10" s="753"/>
      <c r="O10" s="753"/>
      <c r="P10" s="753"/>
      <c r="Q10" s="753"/>
      <c r="R10" s="753"/>
      <c r="S10" s="901"/>
      <c r="T10" s="901"/>
      <c r="U10" s="902"/>
      <c r="V10" s="900"/>
    </row>
    <row r="11" spans="1:22" s="15" customFormat="1" ht="14.25" customHeight="1" thickBot="1">
      <c r="A11"/>
      <c r="B11"/>
      <c r="C11" s="842">
        <v>11</v>
      </c>
      <c r="D11" s="1079" t="s">
        <v>909</v>
      </c>
      <c r="E11" s="3544" t="str">
        <f>IFERROR(YEARFRAC(F4,IF(E10&gt;0,E10,E9),0),"")</f>
        <v/>
      </c>
      <c r="F11" s="3545"/>
      <c r="G11" s="3546" t="str">
        <f>IFERROR(YEARFRAC(F4,IF(G10&gt;0,G10,G9),0),"")</f>
        <v/>
      </c>
      <c r="H11" s="3547"/>
      <c r="I11" s="215"/>
      <c r="J11" s="215"/>
      <c r="K11" s="3532"/>
      <c r="L11" s="3533"/>
      <c r="M11" s="214"/>
      <c r="N11" s="753"/>
      <c r="O11" s="753"/>
      <c r="P11" s="753"/>
      <c r="Q11" s="753"/>
      <c r="R11" s="753"/>
      <c r="S11" s="901"/>
      <c r="T11" s="901"/>
      <c r="U11" s="902"/>
      <c r="V11" s="900"/>
    </row>
    <row r="12" spans="1:22" s="15" customFormat="1" ht="15">
      <c r="A12"/>
      <c r="B12"/>
      <c r="C12" s="842">
        <v>12</v>
      </c>
      <c r="D12" s="1080" t="s">
        <v>67</v>
      </c>
      <c r="E12" s="3548" t="s">
        <v>1018</v>
      </c>
      <c r="F12" s="3548"/>
      <c r="G12" s="3548"/>
      <c r="H12" s="3549"/>
      <c r="I12" s="215"/>
      <c r="J12" s="215"/>
      <c r="K12" s="957" t="str">
        <f>+E6</f>
        <v>Mann</v>
      </c>
      <c r="L12" s="958" t="str">
        <f>+G6</f>
        <v>Frau</v>
      </c>
      <c r="M12" s="214"/>
      <c r="N12" s="753"/>
      <c r="O12" s="753"/>
      <c r="P12" s="753"/>
      <c r="Q12" s="753"/>
      <c r="R12" s="753"/>
      <c r="S12" s="901"/>
      <c r="T12" s="901"/>
      <c r="U12" s="902"/>
      <c r="V12" s="900"/>
    </row>
    <row r="13" spans="1:22" s="15" customFormat="1" ht="15">
      <c r="A13"/>
      <c r="B13"/>
      <c r="C13" s="842">
        <v>13</v>
      </c>
      <c r="D13" s="1067" t="s">
        <v>1030</v>
      </c>
      <c r="E13" s="925"/>
      <c r="F13" s="1098">
        <f ca="1">IFERROR(+E13*H5,"")</f>
        <v>0</v>
      </c>
      <c r="G13" s="926"/>
      <c r="H13" s="936">
        <f ca="1">IFERROR(+G13*H5,"")</f>
        <v>0</v>
      </c>
      <c r="I13" s="215"/>
      <c r="J13" s="215"/>
      <c r="K13" s="949">
        <f ca="1">IFERROR(+(F13+H13)/2,"")</f>
        <v>0</v>
      </c>
      <c r="L13" s="224">
        <f ca="1">IFERROR(+(H13+F13)/2,"")</f>
        <v>0</v>
      </c>
      <c r="M13" s="214"/>
      <c r="N13" s="753"/>
      <c r="O13" s="753"/>
      <c r="P13" s="753"/>
      <c r="Q13" s="753"/>
      <c r="R13" s="753"/>
      <c r="S13" s="901"/>
      <c r="T13" s="901"/>
      <c r="U13" s="902"/>
      <c r="V13" s="900"/>
    </row>
    <row r="14" spans="1:22" s="15" customFormat="1" ht="15">
      <c r="A14"/>
      <c r="B14"/>
      <c r="C14" s="842">
        <v>14</v>
      </c>
      <c r="D14" s="1067" t="s">
        <v>1029</v>
      </c>
      <c r="E14" s="925"/>
      <c r="F14" s="1098">
        <f ca="1">IFERROR(+E14*H5,"")</f>
        <v>0</v>
      </c>
      <c r="G14" s="926"/>
      <c r="H14" s="936">
        <f ca="1">IFERROR(+G14*H5,"")</f>
        <v>0</v>
      </c>
      <c r="I14" s="215"/>
      <c r="J14" s="215"/>
      <c r="K14" s="949">
        <f ca="1">IFERROR(IF(GR_EP_Teilung,(F14+H14)/2,F14),"")</f>
        <v>0</v>
      </c>
      <c r="L14" s="224">
        <f ca="1">IFERROR(IF(GR_EP_Teilung,(H14+F14)/2,H14),"")</f>
        <v>0</v>
      </c>
      <c r="M14" s="214"/>
      <c r="N14" s="753"/>
      <c r="O14" s="753"/>
      <c r="P14" s="753"/>
      <c r="Q14" s="753"/>
      <c r="R14" s="753"/>
      <c r="S14" s="901"/>
      <c r="T14" s="901"/>
      <c r="U14" s="902"/>
      <c r="V14" s="900"/>
    </row>
    <row r="15" spans="1:22" s="15" customFormat="1">
      <c r="A15"/>
      <c r="B15"/>
      <c r="C15" s="842">
        <v>15</v>
      </c>
      <c r="D15" s="1067" t="str">
        <f>IFERROR("Bagatellgrenze § 18 Abs. 3 VersAusglG im EzE für GR-EP: "&amp;TEXT(GR_Bagatellgrenze,"#.##0,00"),"")</f>
        <v/>
      </c>
      <c r="E15" s="1102" t="str">
        <f>IFERROR(IF(E14=0,"","KapWert:"&amp;TEXT(P3,"#.##0,00")),"")</f>
        <v/>
      </c>
      <c r="F15" s="1101" t="str">
        <f>IFERROR(IF(E14=0,"",IF(P3&gt;GR_Bagatellgrenze,"keine Bagatelle","Bagatelle!")),"")</f>
        <v/>
      </c>
      <c r="G15" s="1102" t="str">
        <f>IFERROR(IF(G14=0,"","KapWert:"&amp;TEXT(Q3,"#.##0,00")),"")</f>
        <v/>
      </c>
      <c r="H15" s="1038" t="str">
        <f>IFERROR(IF(G14=0,"",IF(Q3&gt;GR_Bagatellgrenze,"keine Bagatelle","Bagatelle!")),"")</f>
        <v/>
      </c>
      <c r="I15" s="215"/>
      <c r="J15" s="215"/>
      <c r="K15" s="949"/>
      <c r="L15" s="224"/>
      <c r="M15" s="214"/>
      <c r="N15" s="753"/>
      <c r="O15" s="753"/>
      <c r="P15" s="753"/>
      <c r="Q15" s="753"/>
      <c r="R15" s="753"/>
      <c r="S15" s="901"/>
      <c r="T15" s="901"/>
      <c r="U15" s="902"/>
      <c r="V15" s="900"/>
    </row>
    <row r="16" spans="1:22" s="15" customFormat="1">
      <c r="A16"/>
      <c r="B16"/>
      <c r="C16" s="842">
        <v>16</v>
      </c>
      <c r="D16" s="1081" t="s">
        <v>1172</v>
      </c>
      <c r="E16" s="1103"/>
      <c r="F16" s="919"/>
      <c r="G16" s="1110"/>
      <c r="H16" s="751"/>
      <c r="I16" s="215"/>
      <c r="J16" s="215"/>
      <c r="K16" s="949">
        <f>+(F16+H16)/2</f>
        <v>0</v>
      </c>
      <c r="L16" s="224">
        <f>+(H16+F16)/2</f>
        <v>0</v>
      </c>
      <c r="M16" s="214"/>
      <c r="N16" s="753"/>
      <c r="O16" s="753"/>
      <c r="P16" s="753"/>
      <c r="Q16" s="753"/>
      <c r="R16" s="753"/>
      <c r="S16" s="901"/>
      <c r="T16" s="901"/>
      <c r="U16" s="902"/>
      <c r="V16" s="900"/>
    </row>
    <row r="17" spans="1:22" s="15" customFormat="1">
      <c r="A17"/>
      <c r="B17"/>
      <c r="C17" s="842">
        <v>17</v>
      </c>
      <c r="D17" s="1067" t="s">
        <v>1027</v>
      </c>
      <c r="E17" s="920"/>
      <c r="F17" s="921">
        <f ca="1">IFERROR(E17*H5,"")</f>
        <v>0</v>
      </c>
      <c r="G17" s="920"/>
      <c r="H17" s="922">
        <f ca="1">IFERROR(+G17*H5,"")</f>
        <v>0</v>
      </c>
      <c r="I17" s="215"/>
      <c r="J17" s="215"/>
      <c r="K17" s="949">
        <f ca="1">+F17</f>
        <v>0</v>
      </c>
      <c r="L17" s="224">
        <f ca="1">+H17</f>
        <v>0</v>
      </c>
      <c r="M17" s="214"/>
      <c r="N17" s="753"/>
      <c r="O17" s="753"/>
      <c r="P17" s="753"/>
      <c r="Q17" s="753"/>
      <c r="R17" s="753"/>
      <c r="S17" s="901"/>
      <c r="T17" s="901"/>
      <c r="U17" s="902"/>
      <c r="V17" s="900"/>
    </row>
    <row r="18" spans="1:22" s="15" customFormat="1" ht="15">
      <c r="A18"/>
      <c r="B18"/>
      <c r="C18" s="842">
        <v>18</v>
      </c>
      <c r="D18" s="1068" t="s">
        <v>189</v>
      </c>
      <c r="E18" s="1106"/>
      <c r="F18" s="1104">
        <f ca="1">SUM(F13:F17)</f>
        <v>0</v>
      </c>
      <c r="G18" s="1112"/>
      <c r="H18" s="951">
        <f ca="1">IFERROR(SUM(H13:H17),"")</f>
        <v>0</v>
      </c>
      <c r="I18" s="215"/>
      <c r="J18" s="215"/>
      <c r="K18" s="413"/>
      <c r="L18" s="948"/>
      <c r="M18" s="214"/>
      <c r="N18" s="753"/>
      <c r="O18" s="753"/>
      <c r="P18" s="753"/>
      <c r="Q18" s="753"/>
      <c r="R18" s="753"/>
      <c r="S18" s="901"/>
      <c r="T18" s="901"/>
      <c r="U18" s="902"/>
      <c r="V18" s="900"/>
    </row>
    <row r="19" spans="1:22" s="15" customFormat="1">
      <c r="A19"/>
      <c r="B19"/>
      <c r="C19" s="842">
        <v>19</v>
      </c>
      <c r="D19" s="1082" t="s">
        <v>904</v>
      </c>
      <c r="E19" s="931"/>
      <c r="F19" s="1105">
        <f ca="1">IFERROR(E19*H5,"")</f>
        <v>0</v>
      </c>
      <c r="G19" s="933"/>
      <c r="H19" s="1111">
        <f ca="1">IFERROR(+G19*H5,"")</f>
        <v>0</v>
      </c>
      <c r="I19" s="215"/>
      <c r="J19" s="215"/>
      <c r="K19" s="949">
        <f ca="1">+F19</f>
        <v>0</v>
      </c>
      <c r="L19" s="224">
        <f ca="1">+H19</f>
        <v>0</v>
      </c>
      <c r="M19" s="214"/>
      <c r="N19" s="753"/>
      <c r="O19" s="753"/>
      <c r="P19" s="753"/>
      <c r="Q19" s="753"/>
      <c r="R19" s="753"/>
      <c r="S19" s="901"/>
      <c r="T19" s="901"/>
      <c r="U19" s="902"/>
      <c r="V19" s="900"/>
    </row>
    <row r="20" spans="1:22" s="15" customFormat="1" ht="15.75" thickBot="1">
      <c r="A20"/>
      <c r="B20"/>
      <c r="C20" s="842">
        <v>20</v>
      </c>
      <c r="D20" s="1083" t="s">
        <v>1016</v>
      </c>
      <c r="E20" s="1107"/>
      <c r="F20" s="932"/>
      <c r="G20" s="1113"/>
      <c r="H20" s="934"/>
      <c r="I20" s="215"/>
      <c r="J20" s="215"/>
      <c r="K20" s="949">
        <f>+F20</f>
        <v>0</v>
      </c>
      <c r="L20" s="224">
        <f>+H20</f>
        <v>0</v>
      </c>
      <c r="M20" s="214"/>
      <c r="N20" s="753"/>
      <c r="O20" s="753"/>
      <c r="P20" s="753"/>
      <c r="Q20" s="753"/>
      <c r="R20" s="753"/>
      <c r="S20" s="901"/>
      <c r="T20" s="901"/>
      <c r="U20" s="902"/>
      <c r="V20" s="900"/>
    </row>
    <row r="21" spans="1:22" s="15" customFormat="1" ht="16.5" thickTop="1" thickBot="1">
      <c r="A21"/>
      <c r="B21"/>
      <c r="C21" s="842">
        <v>21</v>
      </c>
      <c r="D21" s="1084" t="s">
        <v>906</v>
      </c>
      <c r="E21" s="1108"/>
      <c r="F21" s="1109">
        <f ca="1">SUM(F18:F20)</f>
        <v>0</v>
      </c>
      <c r="G21" s="1114"/>
      <c r="H21" s="1115">
        <f ca="1">SUM(H18:H20)</f>
        <v>0</v>
      </c>
      <c r="I21" s="215"/>
      <c r="J21" s="215"/>
      <c r="K21" s="950">
        <f ca="1">SUM(K13:K20)</f>
        <v>0</v>
      </c>
      <c r="L21" s="951">
        <f ca="1">SUM(L13:L20)</f>
        <v>0</v>
      </c>
      <c r="M21" s="215"/>
      <c r="N21" s="753" t="s">
        <v>1023</v>
      </c>
      <c r="O21" s="903" t="b">
        <v>0</v>
      </c>
      <c r="P21" s="753" t="b">
        <v>0</v>
      </c>
      <c r="Q21" s="753"/>
      <c r="R21" s="753"/>
      <c r="S21" s="901"/>
      <c r="T21" s="901"/>
      <c r="U21" s="902"/>
      <c r="V21" s="900"/>
    </row>
    <row r="22" spans="1:22" s="15" customFormat="1" ht="15" hidden="1" customHeight="1">
      <c r="A22"/>
      <c r="B22"/>
      <c r="C22" s="842">
        <v>22</v>
      </c>
      <c r="D22" s="1085"/>
      <c r="E22" s="843"/>
      <c r="F22" s="845"/>
      <c r="G22" s="844"/>
      <c r="H22" s="851"/>
      <c r="I22" s="215"/>
      <c r="J22" s="215"/>
      <c r="K22" s="413"/>
      <c r="L22" s="333"/>
      <c r="M22" s="214"/>
      <c r="N22" s="753"/>
      <c r="O22" s="753"/>
      <c r="P22" s="753"/>
      <c r="Q22" s="753"/>
      <c r="R22" s="753"/>
      <c r="S22" s="901"/>
      <c r="T22" s="901"/>
      <c r="U22" s="902"/>
      <c r="V22" s="900"/>
    </row>
    <row r="23" spans="1:22" s="15" customFormat="1">
      <c r="A23"/>
      <c r="B23"/>
      <c r="C23" s="842">
        <v>23</v>
      </c>
      <c r="D23" s="1081" t="str">
        <f ca="1">"Einkommensgrenze § 97a Abs. 4 S. 2 SGB VI   (60%): "&amp;TEXT(H5,"0,00")&amp;" x "&amp;IF(verheiratet," 57,03 ","36,56 ")&amp;" ="</f>
        <v>Einkommensgrenze § 97a Abs. 4 S. 2 SGB VI   (60%): 39,32 x 36,56  =</v>
      </c>
      <c r="E23" s="1088">
        <f ca="1">IFERROR(ROUNDUP(+H5*IF(verheiratet,57.03,36.56),0),"")</f>
        <v>1438</v>
      </c>
      <c r="F23" s="1089"/>
      <c r="G23" s="1090">
        <f ca="1">IFERROR(ROUNDUP(+H5*IF(Verheiratet2,57.03,36.56),0),"")</f>
        <v>1438</v>
      </c>
      <c r="H23" s="937"/>
      <c r="I23" s="215"/>
      <c r="J23" s="215"/>
      <c r="K23" s="952">
        <f ca="1">+E23</f>
        <v>1438</v>
      </c>
      <c r="L23" s="1069">
        <f ca="1">+G23</f>
        <v>1438</v>
      </c>
      <c r="M23" s="214"/>
      <c r="N23" s="753"/>
      <c r="O23" s="753"/>
      <c r="P23" s="753"/>
      <c r="Q23" s="753"/>
      <c r="R23" s="753"/>
      <c r="S23" s="901"/>
      <c r="T23" s="901"/>
      <c r="U23" s="902"/>
      <c r="V23" s="900"/>
    </row>
    <row r="24" spans="1:22" s="15" customFormat="1">
      <c r="A24"/>
      <c r="B24"/>
      <c r="C24" s="842">
        <v>24</v>
      </c>
      <c r="D24" s="1081" t="str">
        <f ca="1">"Einkommensgrenze § 97a Abs. 4 S. 3 SGB VI (100%): "&amp;TEXT(H5,"0,00")&amp;" x "&amp;IF(verheiratet," 67,27 ","46,78 ")&amp;"="</f>
        <v>Einkommensgrenze § 97a Abs. 4 S. 3 SGB VI (100%): 39,32 x 46,78 =</v>
      </c>
      <c r="E24" s="1088">
        <f ca="1">IFERROR(ROUNDUP(+H5*IF(verheiratet,67.27,46.78),0),"")</f>
        <v>1840</v>
      </c>
      <c r="F24" s="1089"/>
      <c r="G24" s="1088">
        <f ca="1">IFERROR(ROUNDUP(+H5*IF(Verheiratet2,67.27,46.78),0),"")</f>
        <v>1840</v>
      </c>
      <c r="H24" s="937"/>
      <c r="I24" s="215"/>
      <c r="J24" s="215"/>
      <c r="K24" s="952">
        <f ca="1">+E24</f>
        <v>1840</v>
      </c>
      <c r="L24" s="1069">
        <f ca="1">+G24</f>
        <v>1840</v>
      </c>
      <c r="M24" s="214"/>
      <c r="N24" s="753"/>
      <c r="O24" s="753"/>
      <c r="P24" s="753"/>
      <c r="Q24" s="753"/>
      <c r="R24" s="753"/>
      <c r="S24" s="901"/>
      <c r="T24" s="901"/>
      <c r="U24" s="902"/>
      <c r="V24" s="900"/>
    </row>
    <row r="25" spans="1:22" s="15" customFormat="1">
      <c r="A25"/>
      <c r="B25"/>
      <c r="C25" s="842">
        <v>25</v>
      </c>
      <c r="D25" s="1067" t="s">
        <v>903</v>
      </c>
      <c r="E25" s="220"/>
      <c r="F25" s="1091">
        <f ca="1">+F21*12</f>
        <v>0</v>
      </c>
      <c r="G25" s="1092"/>
      <c r="H25" s="954">
        <f ca="1">+H21*12</f>
        <v>0</v>
      </c>
      <c r="I25" s="215"/>
      <c r="J25" s="215"/>
      <c r="K25" s="413"/>
      <c r="L25" s="948"/>
      <c r="M25" s="214"/>
      <c r="N25" s="753"/>
      <c r="O25" s="753"/>
      <c r="P25" s="753"/>
      <c r="Q25" s="753"/>
      <c r="R25" s="753"/>
      <c r="S25" s="901"/>
      <c r="T25" s="901"/>
      <c r="U25" s="902"/>
      <c r="V25" s="900"/>
    </row>
    <row r="26" spans="1:22" s="15" customFormat="1">
      <c r="A26"/>
      <c r="B26"/>
      <c r="C26" s="842">
        <v>26</v>
      </c>
      <c r="D26" s="1067" t="str">
        <f>"Monatseinkommen ohne Grundrentenerwerb: "</f>
        <v xml:space="preserve">Monatseinkommen ohne Grundrentenerwerb: </v>
      </c>
      <c r="E26" s="730" t="str">
        <f ca="1">IF(F21=0,"",TEXT(F21,"#.##0,00")&amp;" - "&amp;TEXT(F14,"#.##0,00"))</f>
        <v/>
      </c>
      <c r="F26" s="1091">
        <f ca="1">IFERROR(F21-F14,"")</f>
        <v>0</v>
      </c>
      <c r="G26" s="1093" t="str">
        <f ca="1">IF(H21=0,"",TEXT(H21,"#.##0,00")&amp;" - "&amp;TEXT(H14,"#.##0,00"))</f>
        <v/>
      </c>
      <c r="H26" s="954">
        <f ca="1">IFERROR(H21-H14,"")</f>
        <v>0</v>
      </c>
      <c r="I26" s="215"/>
      <c r="J26" s="215"/>
      <c r="K26" s="949">
        <f ca="1">IFERROR(+K21-K14,"")</f>
        <v>0</v>
      </c>
      <c r="L26" s="224">
        <f ca="1">+IFERROR(L21-L14,"")</f>
        <v>0</v>
      </c>
      <c r="M26" s="214"/>
      <c r="N26" s="753"/>
      <c r="O26" s="753"/>
      <c r="P26" s="753"/>
      <c r="Q26" s="753"/>
      <c r="R26" s="753"/>
      <c r="S26" s="901"/>
      <c r="T26" s="901"/>
      <c r="U26" s="902"/>
      <c r="V26" s="900"/>
    </row>
    <row r="27" spans="1:22" s="15" customFormat="1">
      <c r="A27"/>
      <c r="B27"/>
      <c r="C27" s="842">
        <v>27</v>
      </c>
      <c r="D27" s="1067" t="s">
        <v>905</v>
      </c>
      <c r="E27" s="1066"/>
      <c r="F27" s="1091">
        <f ca="1">+F14</f>
        <v>0</v>
      </c>
      <c r="G27" s="1094"/>
      <c r="H27" s="954">
        <f ca="1">+H14</f>
        <v>0</v>
      </c>
      <c r="I27" s="215"/>
      <c r="J27" s="215"/>
      <c r="K27" s="949">
        <f ca="1">+K14</f>
        <v>0</v>
      </c>
      <c r="L27" s="224">
        <f ca="1">+L14</f>
        <v>0</v>
      </c>
      <c r="M27" s="214"/>
      <c r="N27" s="753"/>
      <c r="O27" s="753"/>
      <c r="P27" s="753"/>
      <c r="Q27" s="753"/>
      <c r="R27" s="753"/>
      <c r="S27" s="901"/>
      <c r="T27" s="901"/>
      <c r="U27" s="902"/>
      <c r="V27" s="900"/>
    </row>
    <row r="28" spans="1:22" s="15" customFormat="1">
      <c r="A28"/>
      <c r="B28"/>
      <c r="C28" s="842">
        <v>28</v>
      </c>
      <c r="D28" s="1086" t="str">
        <f>"anrechenbar nach § 97a Abs. 4 S. 2 SGB VI zu   60%: "</f>
        <v xml:space="preserve">anrechenbar nach § 97a Abs. 4 S. 2 SGB VI zu   60%: </v>
      </c>
      <c r="E28" s="730" t="str">
        <f ca="1">IF(F21=0,"","("&amp;TEXT(IF(E24&lt;F26,E24,F26),"#.##0,00")&amp;" - "&amp;TEXT(E23,"#.##0,00")&amp;") x 60%")</f>
        <v/>
      </c>
      <c r="F28" s="1091">
        <f ca="1">-IF(F26&lt;=E23,0,IF(AND(F26&gt;E23,F26&lt;E24),F26-E23,E24-E23))*0.6</f>
        <v>0</v>
      </c>
      <c r="G28" s="730" t="str">
        <f ca="1">IF(H21=0,"","("&amp;TEXT(IF(G24&lt;H26,G24,H26),"#.##0,00")&amp;" - "&amp;TEXT(G23,"#.##0,00")&amp;") x 60%")</f>
        <v/>
      </c>
      <c r="H28" s="1091">
        <f ca="1">-IF(H26&lt;=G23,0,IF(AND(H26&gt;G23,H26&lt;G24),H26-G23,G24-G23))*0.6</f>
        <v>0</v>
      </c>
      <c r="I28" s="215"/>
      <c r="J28" s="215"/>
      <c r="K28" s="953">
        <f ca="1">-IF(K26&lt;=K23,0,IF(AND(K26&gt;K23,K26&lt;K24),K26-K23,K24-K23))*0.6</f>
        <v>0</v>
      </c>
      <c r="L28" s="954">
        <f ca="1">-IF(L26&lt;=L23,0,IF(AND(L26&gt;L23,L26&lt;L24),L26-L23,L24-L23))*0.6</f>
        <v>0</v>
      </c>
      <c r="M28" s="214"/>
      <c r="N28" s="753"/>
      <c r="O28" s="753"/>
      <c r="P28" s="753"/>
      <c r="Q28" s="753"/>
      <c r="R28" s="753"/>
      <c r="S28" s="901"/>
      <c r="T28" s="901"/>
      <c r="U28" s="902"/>
      <c r="V28" s="900"/>
    </row>
    <row r="29" spans="1:22" s="15" customFormat="1">
      <c r="A29"/>
      <c r="B29"/>
      <c r="C29" s="842">
        <v>29</v>
      </c>
      <c r="D29" s="1086" t="str">
        <f>"anrechenbar nach § 97a Abs. 4 S. 3 SGB VI zu 100%: "</f>
        <v xml:space="preserve">anrechenbar nach § 97a Abs. 4 S. 3 SGB VI zu 100%: </v>
      </c>
      <c r="E29" s="730" t="str">
        <f ca="1">TEXT(F26,"#.##0,00")&amp;" - "&amp;TEXT(E24,"#.##0,00")</f>
        <v>0,00 - 1.840,00</v>
      </c>
      <c r="F29" s="1091">
        <f ca="1">IFERROR(IF(F26&gt;E24,(E24-F26),0),"")</f>
        <v>0</v>
      </c>
      <c r="G29" s="730" t="str">
        <f ca="1">TEXT(H26,"#.##0,00")&amp;" - "&amp;TEXT(G24,"#.##0,00")</f>
        <v>0,00 - 1.840,00</v>
      </c>
      <c r="H29" s="1091">
        <f ca="1">IFERROR(IF(H26&gt;G24,(G24-H26),0),"")</f>
        <v>0</v>
      </c>
      <c r="I29" s="215"/>
      <c r="J29" s="215"/>
      <c r="K29" s="953">
        <f ca="1">IFERROR(IF(K26&gt;K24,(K24-K26),0),"")</f>
        <v>0</v>
      </c>
      <c r="L29" s="954">
        <f ca="1">IFERROR(IF(L26&gt;L24,(L24-L26),0),"")</f>
        <v>0</v>
      </c>
      <c r="M29" s="214"/>
      <c r="N29" s="753"/>
      <c r="O29" s="753"/>
      <c r="P29" s="753"/>
      <c r="Q29" s="753"/>
      <c r="R29" s="753"/>
      <c r="S29" s="901"/>
      <c r="T29" s="901"/>
      <c r="U29" s="902"/>
      <c r="V29" s="900"/>
    </row>
    <row r="30" spans="1:22" s="15" customFormat="1" ht="18.75" thickBot="1">
      <c r="A30"/>
      <c r="B30"/>
      <c r="C30" s="842">
        <v>30</v>
      </c>
      <c r="D30" s="1087" t="str">
        <f ca="1">"Grundrentenzuschlag: "&amp;TEXT(F27,"#.##0,00")&amp;IF(F28&lt;&gt;0," - "&amp;TEXT(ABS(F28),"#.##0,00"),"")&amp;IF(F29&lt;&gt;0," - "&amp;TEXT(ABS(F29),"#.##0,00"),"")</f>
        <v>Grundrentenzuschlag: 0,00</v>
      </c>
      <c r="E30" s="1095"/>
      <c r="F30" s="1096">
        <f ca="1">IFERROR(IF(+F27+F28+F29&lt;0,0,+F27+F28+F29),0)</f>
        <v>0</v>
      </c>
      <c r="G30" s="1097"/>
      <c r="H30" s="956">
        <f ca="1">IFERROR(IF(+H27+H28+H29&lt;0,0,+H27+H28+H29),0)</f>
        <v>0</v>
      </c>
      <c r="I30" s="215"/>
      <c r="J30" s="215"/>
      <c r="K30" s="955">
        <f ca="1">IFERROR(IF(+K27+K28+K29&lt;0,0,+K27+K28+K29),0)</f>
        <v>0</v>
      </c>
      <c r="L30" s="956">
        <f ca="1">IFERROR(IF(+L27+L28+L29&lt;0,0,+L27+L28+L29),0)</f>
        <v>0</v>
      </c>
      <c r="M30" s="214"/>
      <c r="N30" s="753"/>
      <c r="O30" s="753"/>
      <c r="P30" s="753"/>
      <c r="Q30" s="753"/>
      <c r="R30" s="753"/>
      <c r="S30" s="901"/>
      <c r="T30" s="901"/>
      <c r="U30" s="902"/>
      <c r="V30" s="900"/>
    </row>
    <row r="31" spans="1:22" ht="32.25" customHeight="1" thickBot="1">
      <c r="C31" s="842">
        <v>31</v>
      </c>
      <c r="D31" s="25"/>
      <c r="E31" s="3550" t="str">
        <f ca="1">IFERROR(IF(F30+H30=0,"",IF(AND(F30&gt;0,H30&gt;0),"Für beide Gatten ",IF(AND(F30&gt;0,H30=0),"Für Gatte 1 ",IF(AND(H30&gt;0,F30=0),"Für Gatte 2 ","")))&amp;"kommt nach heutigen Prognosen ein Grundrentenbezug in Betracht"),"")</f>
        <v/>
      </c>
      <c r="F31" s="3551"/>
      <c r="G31" s="3551"/>
      <c r="H31" s="3552"/>
      <c r="I31" s="471"/>
      <c r="J31" s="215"/>
      <c r="K31" s="3534" t="str">
        <f ca="1">IFERROR(IF(K30+L30&lt;K14+L14,"GrEP-Teilung nicht unbedingt sinnvoll",""),"")</f>
        <v/>
      </c>
      <c r="L31" s="3535"/>
      <c r="M31" s="214"/>
    </row>
    <row r="32" spans="1:22" ht="14.25" customHeight="1">
      <c r="C32" s="1064"/>
    </row>
    <row r="33" spans="1:8">
      <c r="A33" t="s">
        <v>117</v>
      </c>
      <c r="C33" s="1064"/>
      <c r="D33" s="3536" t="str">
        <f>IF(E19+F20+G19+H20&gt;0,"*) OLG Bamberg 2 UF 136/22: 'Eine Hochrechnung über mehrere Jahre überdehnt die heranzuziehende Prognosebasis'","")</f>
        <v/>
      </c>
      <c r="E33" s="3536"/>
      <c r="F33" s="3536"/>
      <c r="G33" s="3536"/>
      <c r="H33" s="3536"/>
    </row>
    <row r="34" spans="1:8" ht="14.25" customHeight="1">
      <c r="C34" s="1064"/>
    </row>
    <row r="35" spans="1:8" ht="14.25" customHeight="1">
      <c r="C35" s="1064"/>
    </row>
    <row r="36" spans="1:8" ht="14.25" customHeight="1">
      <c r="C36" s="1064"/>
    </row>
    <row r="37" spans="1:8" ht="14.25" customHeight="1">
      <c r="C37" s="1064"/>
    </row>
    <row r="38" spans="1:8" ht="14.25" customHeight="1">
      <c r="C38" s="1064"/>
    </row>
    <row r="39" spans="1:8" ht="14.25" customHeight="1">
      <c r="C39" s="1064"/>
    </row>
    <row r="40" spans="1:8" ht="14.25" customHeight="1">
      <c r="C40" s="1064"/>
    </row>
    <row r="41" spans="1:8" ht="14.25" customHeight="1">
      <c r="C41" s="1064"/>
    </row>
    <row r="42" spans="1:8" ht="14.25" customHeight="1">
      <c r="C42" s="1064"/>
    </row>
    <row r="43" spans="1:8" ht="14.25" customHeight="1">
      <c r="C43" s="1064"/>
    </row>
    <row r="44" spans="1:8" ht="14.25" customHeight="1">
      <c r="C44" s="1064"/>
    </row>
    <row r="45" spans="1:8" ht="14.25" customHeight="1">
      <c r="C45" s="1064"/>
    </row>
    <row r="46" spans="1:8" ht="14.25" customHeight="1">
      <c r="C46" s="1064"/>
    </row>
    <row r="47" spans="1:8" ht="14.25" customHeight="1">
      <c r="C47" s="1064"/>
    </row>
    <row r="48" spans="1:8" ht="14.25" customHeight="1">
      <c r="C48" s="1064"/>
    </row>
    <row r="49" spans="3:3" ht="14.25" customHeight="1">
      <c r="C49" s="1064"/>
    </row>
    <row r="50" spans="3:3" ht="14.25" customHeight="1">
      <c r="C50" s="1064"/>
    </row>
    <row r="51" spans="3:3" ht="14.25" customHeight="1">
      <c r="C51" s="1064"/>
    </row>
    <row r="52" spans="3:3" ht="14.25" customHeight="1">
      <c r="C52" s="1064"/>
    </row>
    <row r="53" spans="3:3" ht="14.25" customHeight="1">
      <c r="C53" s="1064"/>
    </row>
    <row r="54" spans="3:3" ht="14.25" customHeight="1">
      <c r="C54" s="1064"/>
    </row>
    <row r="55" spans="3:3" ht="14.25" customHeight="1">
      <c r="C55" s="1064"/>
    </row>
    <row r="56" spans="3:3" ht="14.25" customHeight="1">
      <c r="C56" s="1064"/>
    </row>
    <row r="57" spans="3:3" ht="14.25" customHeight="1">
      <c r="C57" s="1064"/>
    </row>
    <row r="58" spans="3:3" ht="14.25" customHeight="1">
      <c r="C58" s="1064"/>
    </row>
    <row r="59" spans="3:3" ht="14.25" customHeight="1">
      <c r="C59" s="1064"/>
    </row>
    <row r="60" spans="3:3" ht="14.25" customHeight="1">
      <c r="C60" s="1064"/>
    </row>
    <row r="61" spans="3:3" ht="14.25" customHeight="1">
      <c r="C61" s="1064"/>
    </row>
    <row r="62" spans="3:3" ht="14.25" customHeight="1">
      <c r="C62" s="1064"/>
    </row>
    <row r="63" spans="3:3" ht="14.25" customHeight="1">
      <c r="C63" s="1064"/>
    </row>
    <row r="64" spans="3:3" ht="14.25" customHeight="1">
      <c r="C64" s="1064"/>
    </row>
    <row r="65" spans="3:3" ht="14.25" customHeight="1">
      <c r="C65" s="1064"/>
    </row>
    <row r="66" spans="3:3" ht="14.25" customHeight="1">
      <c r="C66" s="1064"/>
    </row>
    <row r="67" spans="3:3" ht="14.25" customHeight="1">
      <c r="C67" s="1064"/>
    </row>
    <row r="68" spans="3:3" ht="14.25" customHeight="1">
      <c r="C68" s="1064"/>
    </row>
    <row r="69" spans="3:3" ht="14.25" customHeight="1">
      <c r="C69" s="1064"/>
    </row>
    <row r="70" spans="3:3" ht="14.25" customHeight="1">
      <c r="C70" s="1064"/>
    </row>
    <row r="71" spans="3:3" ht="14.25" customHeight="1">
      <c r="C71" s="1064"/>
    </row>
    <row r="72" spans="3:3" ht="14.25" customHeight="1">
      <c r="C72" s="1064"/>
    </row>
    <row r="73" spans="3:3" ht="14.25" customHeight="1">
      <c r="C73" s="1064"/>
    </row>
    <row r="74" spans="3:3" ht="14.25" customHeight="1">
      <c r="C74" s="1064"/>
    </row>
    <row r="75" spans="3:3" ht="14.25" customHeight="1">
      <c r="C75" s="1064"/>
    </row>
    <row r="76" spans="3:3" ht="14.25" customHeight="1">
      <c r="C76" s="1064"/>
    </row>
    <row r="77" spans="3:3" ht="14.25" customHeight="1"/>
    <row r="78" spans="3:3" ht="14.25" customHeight="1"/>
  </sheetData>
  <sheetProtection algorithmName="SHA-512" hashValue="HVdwu2QEvuARYqpUcxzg+HoU3qDLOc3BF8Tr3PNHJMJlZxTTn3mt7Un9sxhsEQTdgdz0XkPjGFBlUB9OBQgOiA==" saltValue="PXH3HTmyAoTLQuY4ooP8Sg=="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D1:H1"/>
    <mergeCell ref="S3:T3"/>
    <mergeCell ref="E8:F8"/>
    <mergeCell ref="G8:H8"/>
    <mergeCell ref="E6:F6"/>
    <mergeCell ref="G6:H6"/>
    <mergeCell ref="D2:H3"/>
    <mergeCell ref="K1:L1"/>
    <mergeCell ref="K4:L8"/>
    <mergeCell ref="I2:J2"/>
    <mergeCell ref="K2:K3"/>
    <mergeCell ref="L2:L3"/>
    <mergeCell ref="K9:L9"/>
    <mergeCell ref="K10:L11"/>
    <mergeCell ref="K31:L31"/>
    <mergeCell ref="D33:H33"/>
    <mergeCell ref="G10:H10"/>
    <mergeCell ref="G9:H9"/>
    <mergeCell ref="E9:F9"/>
    <mergeCell ref="E10:F10"/>
    <mergeCell ref="E11:F11"/>
    <mergeCell ref="G11:H11"/>
    <mergeCell ref="E12:H12"/>
    <mergeCell ref="E31:H31"/>
  </mergeCells>
  <conditionalFormatting sqref="E31">
    <cfRule type="expression" dxfId="138" priority="33">
      <formula>OR(AND($F$30&gt;0,$H$30=0),AND(H30&gt;0,F30=0))</formula>
    </cfRule>
    <cfRule type="expression" dxfId="137" priority="34">
      <formula>AND(F30&gt;0,H30&gt;0)</formula>
    </cfRule>
  </conditionalFormatting>
  <conditionalFormatting sqref="E15:F15">
    <cfRule type="expression" dxfId="136" priority="398">
      <formula>$E$14=0</formula>
    </cfRule>
    <cfRule type="expression" dxfId="135" priority="399">
      <formula>$P$3&lt;=$O$3</formula>
    </cfRule>
    <cfRule type="expression" dxfId="134" priority="400">
      <formula>$P$3&gt;$O$3</formula>
    </cfRule>
  </conditionalFormatting>
  <conditionalFormatting sqref="F30">
    <cfRule type="expression" dxfId="131" priority="20">
      <formula>AND($F$30&gt;0,$H$30&gt;0)</formula>
    </cfRule>
    <cfRule type="expression" dxfId="130" priority="21">
      <formula>AND($F$30&gt;0,$H$30=0)</formula>
    </cfRule>
  </conditionalFormatting>
  <conditionalFormatting sqref="G15:H15">
    <cfRule type="expression" dxfId="129" priority="401">
      <formula>G14=0</formula>
    </cfRule>
    <cfRule type="expression" dxfId="128" priority="402">
      <formula>$Q$3&lt;=$O$3</formula>
    </cfRule>
    <cfRule type="expression" dxfId="127" priority="403">
      <formula>$Q$3&gt;$O$3</formula>
    </cfRule>
  </conditionalFormatting>
  <conditionalFormatting sqref="H30">
    <cfRule type="expression" dxfId="125" priority="18">
      <formula>AND($H$30&gt;0,$F$30&gt;0)</formula>
    </cfRule>
    <cfRule type="expression" dxfId="124" priority="19">
      <formula>AND($H$30&gt;0,$F$30=0)</formula>
    </cfRule>
  </conditionalFormatting>
  <conditionalFormatting sqref="K30">
    <cfRule type="expression" dxfId="123" priority="9">
      <formula>AND($K$30&gt;0,$L$30&gt;0)</formula>
    </cfRule>
    <cfRule type="expression" dxfId="122" priority="10">
      <formula>AND($K$30&gt;0,$L$30=0)</formula>
    </cfRule>
  </conditionalFormatting>
  <conditionalFormatting sqref="K9:L9">
    <cfRule type="expression" dxfId="121" priority="4">
      <formula>GR_EP_Teilung=FALSE</formula>
    </cfRule>
    <cfRule type="expression" dxfId="120" priority="5">
      <formula>GR_EP_Teilung</formula>
    </cfRule>
  </conditionalFormatting>
  <conditionalFormatting sqref="K31:L31">
    <cfRule type="expression" dxfId="119" priority="6">
      <formula>$K$30+$L$30&lt;$K$14+$L$14</formula>
    </cfRule>
  </conditionalFormatting>
  <conditionalFormatting sqref="L30">
    <cfRule type="expression" dxfId="118" priority="7">
      <formula>AND($L$30&gt;0,$K$30&gt;0)</formula>
    </cfRule>
    <cfRule type="expression" dxfId="117"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3648075</xdr:colOff>
                    <xdr:row>4</xdr:row>
                    <xdr:rowOff>180975</xdr:rowOff>
                  </from>
                  <to>
                    <xdr:col>4</xdr:col>
                    <xdr:colOff>28575</xdr:colOff>
                    <xdr:row>6</xdr:row>
                    <xdr:rowOff>28575</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28575</xdr:colOff>
                    <xdr:row>19</xdr:row>
                    <xdr:rowOff>190500</xdr:rowOff>
                  </from>
                  <to>
                    <xdr:col>4</xdr:col>
                    <xdr:colOff>904875</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28575</xdr:colOff>
                    <xdr:row>19</xdr:row>
                    <xdr:rowOff>190500</xdr:rowOff>
                  </from>
                  <to>
                    <xdr:col>6</xdr:col>
                    <xdr:colOff>904875</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180975</xdr:colOff>
                    <xdr:row>7</xdr:row>
                    <xdr:rowOff>180975</xdr:rowOff>
                  </from>
                  <to>
                    <xdr:col>10</xdr:col>
                    <xdr:colOff>219075</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25"/>
  <cols>
    <col min="2" max="2" width="27.625" customWidth="1"/>
    <col min="3" max="3" width="11.625" customWidth="1"/>
    <col min="5" max="5" width="11.625" customWidth="1"/>
    <col min="8" max="14" width="11.625" customWidth="1"/>
  </cols>
  <sheetData>
    <row r="3" spans="2:26">
      <c r="B3" t="s">
        <v>1448</v>
      </c>
      <c r="C3" s="58">
        <f ca="1">TODAY()</f>
        <v>45748</v>
      </c>
      <c r="F3" t="s">
        <v>199</v>
      </c>
      <c r="G3" s="58">
        <v>28307</v>
      </c>
      <c r="H3" s="2273" t="s">
        <v>1434</v>
      </c>
      <c r="I3" s="2273"/>
      <c r="J3" s="2273"/>
      <c r="K3" s="2273"/>
      <c r="L3" s="2273"/>
      <c r="M3" s="2273"/>
      <c r="N3" s="2273"/>
      <c r="P3" s="2273" t="s">
        <v>1435</v>
      </c>
      <c r="Q3" s="2273"/>
      <c r="R3" s="2273"/>
      <c r="S3" s="2273"/>
      <c r="T3" s="2273"/>
      <c r="U3" s="2273"/>
      <c r="V3" s="2273"/>
    </row>
    <row r="4" spans="2:26">
      <c r="B4" t="s">
        <v>320</v>
      </c>
      <c r="C4" s="58">
        <v>38017</v>
      </c>
      <c r="F4" t="s">
        <v>23</v>
      </c>
      <c r="H4" t="s">
        <v>199</v>
      </c>
      <c r="I4" s="58">
        <v>28307</v>
      </c>
      <c r="J4" s="58">
        <v>30834</v>
      </c>
      <c r="K4" s="58">
        <v>37257</v>
      </c>
      <c r="L4" s="58">
        <v>37622</v>
      </c>
      <c r="M4" s="58">
        <v>38869</v>
      </c>
      <c r="N4" s="58">
        <v>39630</v>
      </c>
      <c r="P4" t="s">
        <v>199</v>
      </c>
      <c r="Q4" s="58">
        <v>28307</v>
      </c>
      <c r="R4" s="58">
        <v>30834</v>
      </c>
      <c r="S4" s="58">
        <v>37257</v>
      </c>
      <c r="T4" s="58">
        <v>37622</v>
      </c>
      <c r="U4" s="58">
        <v>38869</v>
      </c>
      <c r="V4" s="58">
        <v>39630</v>
      </c>
    </row>
    <row r="5" spans="2:26" ht="15.75">
      <c r="B5" t="s">
        <v>7</v>
      </c>
      <c r="C5" s="128">
        <v>47</v>
      </c>
      <c r="H5" s="1513">
        <v>0</v>
      </c>
      <c r="I5" s="1513">
        <v>1</v>
      </c>
      <c r="J5" s="1513">
        <v>1</v>
      </c>
      <c r="K5" s="1513">
        <v>1</v>
      </c>
      <c r="L5" s="1513">
        <v>1.3</v>
      </c>
      <c r="M5" s="1513">
        <v>2</v>
      </c>
      <c r="N5" s="1513">
        <v>2</v>
      </c>
      <c r="P5" s="1513">
        <v>0</v>
      </c>
      <c r="Q5" s="1513">
        <v>0.7</v>
      </c>
      <c r="R5" s="1513">
        <v>0.7</v>
      </c>
      <c r="S5" s="1513">
        <v>0.7</v>
      </c>
      <c r="T5" s="1513">
        <v>1</v>
      </c>
      <c r="U5" s="1513">
        <v>1.6</v>
      </c>
      <c r="V5" s="1513">
        <v>1.6</v>
      </c>
      <c r="W5" s="1514"/>
      <c r="X5" s="1513"/>
      <c r="Y5" s="1513"/>
      <c r="Z5" s="1513"/>
    </row>
    <row r="6" spans="2:26" ht="15.75">
      <c r="B6" t="s">
        <v>1436</v>
      </c>
      <c r="C6" s="128">
        <v>65</v>
      </c>
      <c r="H6" s="1513">
        <v>26</v>
      </c>
      <c r="I6" s="1513">
        <v>1.1000000000000001</v>
      </c>
      <c r="J6" s="1513">
        <v>1.1000000000000001</v>
      </c>
      <c r="K6" s="1513">
        <v>1.1000000000000001</v>
      </c>
      <c r="L6" s="1513">
        <v>1.4</v>
      </c>
      <c r="M6" s="1513">
        <v>2.1</v>
      </c>
      <c r="N6" s="1513">
        <v>2.1</v>
      </c>
      <c r="P6" s="1513">
        <v>26</v>
      </c>
      <c r="Q6" s="1513">
        <v>0.8</v>
      </c>
      <c r="R6" s="1513">
        <v>0.8</v>
      </c>
      <c r="S6" s="1513">
        <v>0.8</v>
      </c>
      <c r="T6" s="1513">
        <v>1.1000000000000001</v>
      </c>
      <c r="U6" s="1513">
        <v>1.7</v>
      </c>
      <c r="V6" s="1513">
        <v>1.7</v>
      </c>
      <c r="W6" s="1514"/>
      <c r="X6" s="1513"/>
      <c r="Y6" s="1513"/>
      <c r="Z6" s="1513"/>
    </row>
    <row r="7" spans="2:26" ht="15.75">
      <c r="B7" t="s">
        <v>21</v>
      </c>
      <c r="C7" s="149">
        <f>813.06/1.95583</f>
        <v>415.7109769253974</v>
      </c>
      <c r="D7" t="s">
        <v>577</v>
      </c>
      <c r="E7" t="s">
        <v>1437</v>
      </c>
      <c r="F7" t="s">
        <v>1438</v>
      </c>
      <c r="H7" s="1513">
        <v>27</v>
      </c>
      <c r="I7" s="1513">
        <v>1.1000000000000001</v>
      </c>
      <c r="J7" s="1513">
        <v>1.1000000000000001</v>
      </c>
      <c r="K7" s="1513">
        <v>1.1000000000000001</v>
      </c>
      <c r="L7" s="1513">
        <v>1.5</v>
      </c>
      <c r="M7" s="1513">
        <v>2.2000000000000002</v>
      </c>
      <c r="N7" s="1513">
        <v>2.2000000000000002</v>
      </c>
      <c r="P7" s="1513">
        <v>27</v>
      </c>
      <c r="Q7" s="1513">
        <v>0.8</v>
      </c>
      <c r="R7" s="1513">
        <v>0.8</v>
      </c>
      <c r="S7" s="1513">
        <v>0.8</v>
      </c>
      <c r="T7" s="1513">
        <v>1.1000000000000001</v>
      </c>
      <c r="U7" s="1513">
        <v>1.8</v>
      </c>
      <c r="V7" s="1513">
        <v>1.8</v>
      </c>
      <c r="W7" s="1514"/>
      <c r="X7" s="1513"/>
      <c r="Y7" s="1513"/>
      <c r="Z7" s="1513"/>
    </row>
    <row r="8" spans="2:26" ht="15.75">
      <c r="B8" t="s">
        <v>1225</v>
      </c>
      <c r="C8" s="4" t="s">
        <v>465</v>
      </c>
      <c r="H8" s="1513">
        <v>28</v>
      </c>
      <c r="I8" s="1513">
        <v>1.2</v>
      </c>
      <c r="J8" s="1513">
        <v>1.2</v>
      </c>
      <c r="K8" s="1513">
        <v>1.2</v>
      </c>
      <c r="L8" s="1513">
        <v>1.5</v>
      </c>
      <c r="M8" s="1513">
        <v>2.2999999999999998</v>
      </c>
      <c r="N8" s="1513">
        <v>2.2999999999999998</v>
      </c>
      <c r="P8" s="1513">
        <v>28</v>
      </c>
      <c r="Q8" s="1513">
        <v>0.9</v>
      </c>
      <c r="R8" s="1513">
        <v>0.9</v>
      </c>
      <c r="S8" s="1513">
        <v>0.9</v>
      </c>
      <c r="T8" s="1513">
        <v>1.2</v>
      </c>
      <c r="U8" s="1513">
        <v>1.9</v>
      </c>
      <c r="V8" s="1513">
        <v>1.9</v>
      </c>
      <c r="W8" s="1514"/>
      <c r="X8" s="1513"/>
      <c r="Y8" s="1513"/>
      <c r="Z8" s="1513"/>
    </row>
    <row r="9" spans="2:26" ht="15.75">
      <c r="B9" t="s">
        <v>261</v>
      </c>
      <c r="C9" s="4" t="s">
        <v>475</v>
      </c>
      <c r="G9" t="s">
        <v>1439</v>
      </c>
      <c r="H9" s="1513">
        <v>29</v>
      </c>
      <c r="I9" s="1513">
        <v>1.3</v>
      </c>
      <c r="J9" s="1513">
        <v>1.3</v>
      </c>
      <c r="K9" s="1513">
        <v>1.3</v>
      </c>
      <c r="L9" s="1513">
        <v>1.6</v>
      </c>
      <c r="M9" s="1513">
        <v>2.4</v>
      </c>
      <c r="N9" s="1513">
        <v>2.4</v>
      </c>
      <c r="P9" s="1513">
        <v>29</v>
      </c>
      <c r="Q9" s="1513">
        <v>0.9</v>
      </c>
      <c r="R9" s="1513">
        <v>0.9</v>
      </c>
      <c r="S9" s="1513">
        <v>0.9</v>
      </c>
      <c r="T9" s="1513">
        <v>1.3</v>
      </c>
      <c r="U9" s="1513">
        <v>1.9</v>
      </c>
      <c r="V9" s="1513">
        <v>1.9</v>
      </c>
      <c r="W9" s="1514"/>
      <c r="X9" s="1513"/>
      <c r="Y9" s="1513"/>
      <c r="Z9" s="1513"/>
    </row>
    <row r="10" spans="2:26" ht="15.75">
      <c r="B10" t="s">
        <v>1440</v>
      </c>
      <c r="C10" s="58">
        <f>+LOOKUP(C4,H4:N4)</f>
        <v>37622</v>
      </c>
      <c r="D10">
        <f>HLOOKUP(C4,H4:N49,IF(C5&gt;65,65,C5)-23,TRUE)</f>
        <v>4.2</v>
      </c>
      <c r="E10" s="1515">
        <f>(65-C6)*IF(C6&lt;65,HLOOKUP(C4,H4:N49,43,TRUE),HLOOKUP(C4,H4:N49,45,TRUE))</f>
        <v>0</v>
      </c>
      <c r="F10" s="561">
        <f>IF(C9="Ja",HLOOKUP(C4,H4:N50,47,TRUE),0)</f>
        <v>0.65</v>
      </c>
      <c r="G10">
        <f>HLOOKUP(C4,P4:V49,IF(C5&gt;65,65,C5)-23,TRUE)</f>
        <v>3.5</v>
      </c>
      <c r="H10" s="1513">
        <v>30</v>
      </c>
      <c r="I10" s="1513">
        <v>1.3</v>
      </c>
      <c r="J10" s="1513">
        <v>1.3</v>
      </c>
      <c r="K10" s="1513">
        <v>1.3</v>
      </c>
      <c r="L10" s="1513">
        <v>1.7</v>
      </c>
      <c r="M10" s="1513">
        <v>2.5</v>
      </c>
      <c r="N10" s="1513">
        <v>2.5</v>
      </c>
      <c r="P10" s="1513">
        <v>30</v>
      </c>
      <c r="Q10" s="1513">
        <v>1</v>
      </c>
      <c r="R10" s="1513">
        <v>1</v>
      </c>
      <c r="S10" s="1513">
        <v>1</v>
      </c>
      <c r="T10" s="1513">
        <v>1.4</v>
      </c>
      <c r="U10" s="1513">
        <v>2</v>
      </c>
      <c r="V10" s="1513">
        <v>2</v>
      </c>
      <c r="W10" s="1514"/>
      <c r="X10" s="1513"/>
      <c r="Y10" s="1513"/>
      <c r="Z10" s="1513"/>
    </row>
    <row r="11" spans="2:26" ht="15.75">
      <c r="B11" t="s">
        <v>1452</v>
      </c>
      <c r="C11" s="128">
        <f>+D10*(1+E10+F10)</f>
        <v>6.93</v>
      </c>
      <c r="H11" s="1513">
        <v>31</v>
      </c>
      <c r="I11" s="1513">
        <v>1.4</v>
      </c>
      <c r="J11" s="1513">
        <v>1.4</v>
      </c>
      <c r="K11" s="1513">
        <v>1.4</v>
      </c>
      <c r="L11" s="1513">
        <v>1.8</v>
      </c>
      <c r="M11" s="1513">
        <v>2.6</v>
      </c>
      <c r="N11" s="1513">
        <v>2.6</v>
      </c>
      <c r="P11" s="1513">
        <v>31</v>
      </c>
      <c r="Q11" s="1513">
        <v>1</v>
      </c>
      <c r="R11" s="1513">
        <v>1</v>
      </c>
      <c r="S11" s="1513">
        <v>1</v>
      </c>
      <c r="T11" s="1513">
        <v>1.4</v>
      </c>
      <c r="U11" s="1513">
        <v>2.1</v>
      </c>
      <c r="V11" s="1513">
        <v>2.1</v>
      </c>
      <c r="W11" s="1514"/>
      <c r="X11" s="1513"/>
      <c r="Y11" s="1513"/>
      <c r="Z11" s="1513"/>
    </row>
    <row r="12" spans="2:26" ht="15.75">
      <c r="B12" t="s">
        <v>1441</v>
      </c>
      <c r="C12" s="149">
        <f>+C7*12</f>
        <v>4988.5317231047684</v>
      </c>
      <c r="H12" s="1513">
        <v>32</v>
      </c>
      <c r="I12" s="1513">
        <v>1.5</v>
      </c>
      <c r="J12" s="1513">
        <v>1.5</v>
      </c>
      <c r="K12" s="1513">
        <v>1.5</v>
      </c>
      <c r="L12" s="1513">
        <v>1.9</v>
      </c>
      <c r="M12" s="1513">
        <v>2.7</v>
      </c>
      <c r="N12" s="1513">
        <v>2.7</v>
      </c>
      <c r="P12" s="1513">
        <v>32</v>
      </c>
      <c r="Q12" s="1513">
        <v>1.1000000000000001</v>
      </c>
      <c r="R12" s="1513">
        <v>1.1000000000000001</v>
      </c>
      <c r="S12" s="1513">
        <v>1.1000000000000001</v>
      </c>
      <c r="T12" s="1513">
        <v>1.5</v>
      </c>
      <c r="U12" s="1513">
        <v>2.2000000000000002</v>
      </c>
      <c r="V12" s="1513">
        <v>2.2000000000000002</v>
      </c>
      <c r="W12" s="1514"/>
      <c r="X12" s="1513"/>
      <c r="Y12" s="1513"/>
      <c r="Z12" s="1513"/>
    </row>
    <row r="13" spans="2:26" ht="15.75">
      <c r="B13" t="s">
        <v>561</v>
      </c>
      <c r="C13" s="149">
        <f>+C11*C12</f>
        <v>34570.524841116043</v>
      </c>
      <c r="H13" s="1513">
        <v>33</v>
      </c>
      <c r="I13" s="1513">
        <v>1.6</v>
      </c>
      <c r="J13" s="1513">
        <v>1.6</v>
      </c>
      <c r="K13" s="1513">
        <v>1.6</v>
      </c>
      <c r="L13" s="1513">
        <v>2</v>
      </c>
      <c r="M13" s="1513">
        <v>2.8</v>
      </c>
      <c r="N13" s="1513">
        <v>2.8</v>
      </c>
      <c r="P13" s="1513">
        <v>33</v>
      </c>
      <c r="Q13" s="1513">
        <v>1.1000000000000001</v>
      </c>
      <c r="R13" s="1513">
        <v>1.1000000000000001</v>
      </c>
      <c r="S13" s="1513">
        <v>1.1000000000000001</v>
      </c>
      <c r="T13" s="1513">
        <v>1.6</v>
      </c>
      <c r="U13" s="1513">
        <v>2.2999999999999998</v>
      </c>
      <c r="V13" s="1513">
        <v>2.2999999999999998</v>
      </c>
      <c r="W13" s="1514"/>
      <c r="X13" s="1513"/>
      <c r="Y13" s="1513"/>
      <c r="Z13" s="1513"/>
    </row>
    <row r="14" spans="2:26" ht="15.75">
      <c r="B14" t="s">
        <v>62</v>
      </c>
      <c r="C14">
        <f>ROUND(VLOOKUP(C4,Umrechnungsfaktoren_BeitraginEP,2)*C13,4)</f>
        <v>6.0244</v>
      </c>
      <c r="H14" s="1513">
        <v>34</v>
      </c>
      <c r="I14" s="1513">
        <v>1.7</v>
      </c>
      <c r="J14" s="1513">
        <v>1.7</v>
      </c>
      <c r="K14" s="1513">
        <v>1.7</v>
      </c>
      <c r="L14" s="1513">
        <v>2.1</v>
      </c>
      <c r="M14" s="1513">
        <v>3</v>
      </c>
      <c r="N14" s="1513">
        <v>3</v>
      </c>
      <c r="P14" s="1513">
        <v>34</v>
      </c>
      <c r="Q14" s="1513">
        <v>1.2</v>
      </c>
      <c r="R14" s="1513">
        <v>1.2</v>
      </c>
      <c r="S14" s="1513">
        <v>1.2</v>
      </c>
      <c r="T14" s="1513">
        <v>1.7</v>
      </c>
      <c r="U14" s="1513">
        <v>2.4</v>
      </c>
      <c r="V14" s="1513">
        <v>2.4</v>
      </c>
      <c r="W14" s="1514"/>
      <c r="X14" s="1513"/>
      <c r="Y14" s="1513"/>
      <c r="Z14" s="1513"/>
    </row>
    <row r="15" spans="2:26" ht="15.75">
      <c r="B15" t="s">
        <v>1415</v>
      </c>
      <c r="C15" s="149">
        <f>VLOOKUP(C4,aktRW,2)</f>
        <v>26.13</v>
      </c>
      <c r="H15" s="1513">
        <v>35</v>
      </c>
      <c r="I15" s="1513">
        <v>1.8</v>
      </c>
      <c r="J15" s="1513">
        <v>1.8</v>
      </c>
      <c r="K15" s="1513">
        <v>1.8</v>
      </c>
      <c r="L15" s="1513">
        <v>2.2000000000000002</v>
      </c>
      <c r="M15" s="1513">
        <v>3.1</v>
      </c>
      <c r="N15" s="1513">
        <v>3.1</v>
      </c>
      <c r="P15" s="1513">
        <v>35</v>
      </c>
      <c r="Q15" s="1513">
        <v>1.3</v>
      </c>
      <c r="R15" s="1513">
        <v>1.3</v>
      </c>
      <c r="S15" s="1513">
        <v>1.3</v>
      </c>
      <c r="T15" s="1513">
        <v>1.8</v>
      </c>
      <c r="U15" s="1513">
        <v>2.5</v>
      </c>
      <c r="V15" s="1513">
        <v>2.5</v>
      </c>
      <c r="W15" s="1514"/>
      <c r="X15" s="1513"/>
      <c r="Y15" s="1513"/>
      <c r="Z15" s="1513"/>
    </row>
    <row r="16" spans="2:26" ht="15.75">
      <c r="B16" t="s">
        <v>1447</v>
      </c>
      <c r="C16" s="149">
        <f>+C15*C14</f>
        <v>157.41757200000001</v>
      </c>
      <c r="H16" s="1513">
        <v>36</v>
      </c>
      <c r="I16" s="1513">
        <v>1.9</v>
      </c>
      <c r="J16" s="1513">
        <v>1.9</v>
      </c>
      <c r="K16" s="1513">
        <v>1.9</v>
      </c>
      <c r="L16" s="1513">
        <v>2.2999999999999998</v>
      </c>
      <c r="M16" s="1513">
        <v>3.2</v>
      </c>
      <c r="N16" s="1513">
        <v>3.2</v>
      </c>
      <c r="P16" s="1513">
        <v>36</v>
      </c>
      <c r="Q16" s="1513">
        <v>1.3</v>
      </c>
      <c r="R16" s="1513">
        <v>1.3</v>
      </c>
      <c r="S16" s="1513">
        <v>1.3</v>
      </c>
      <c r="T16" s="1513">
        <v>1.9</v>
      </c>
      <c r="U16" s="1513">
        <v>2.7</v>
      </c>
      <c r="V16" s="1513">
        <v>2.7</v>
      </c>
      <c r="W16" s="1514"/>
      <c r="X16" s="1513"/>
      <c r="Y16" s="1513"/>
      <c r="Z16" s="1513"/>
    </row>
    <row r="17" spans="2:26" ht="15.75">
      <c r="B17" t="s">
        <v>502</v>
      </c>
      <c r="C17" s="149">
        <f>+C16/2</f>
        <v>78.708786000000003</v>
      </c>
      <c r="H17" s="1513">
        <v>37</v>
      </c>
      <c r="I17" s="1513">
        <v>2</v>
      </c>
      <c r="J17" s="1513">
        <v>2</v>
      </c>
      <c r="K17" s="1513">
        <v>2</v>
      </c>
      <c r="L17" s="1513">
        <v>2.5</v>
      </c>
      <c r="M17" s="1513">
        <v>3.4</v>
      </c>
      <c r="N17" s="1513">
        <v>3.4</v>
      </c>
      <c r="P17" s="1513">
        <v>37</v>
      </c>
      <c r="Q17" s="1513">
        <v>1.4</v>
      </c>
      <c r="R17" s="1513">
        <v>1.4</v>
      </c>
      <c r="S17" s="1513">
        <v>1.4</v>
      </c>
      <c r="T17" s="1513">
        <v>2</v>
      </c>
      <c r="U17" s="1513">
        <v>2.8</v>
      </c>
      <c r="V17" s="1513">
        <v>2.8</v>
      </c>
      <c r="W17" s="1514"/>
      <c r="X17" s="1513"/>
      <c r="Y17" s="1513"/>
      <c r="Z17" s="1513"/>
    </row>
    <row r="18" spans="2:26" ht="15.75">
      <c r="B18" t="s">
        <v>1449</v>
      </c>
      <c r="C18" s="149">
        <f ca="1">VLOOKUP(C3,aktRW,2)</f>
        <v>39.32</v>
      </c>
      <c r="H18" s="1513">
        <v>38</v>
      </c>
      <c r="I18" s="1513">
        <v>2.1</v>
      </c>
      <c r="J18" s="1513">
        <v>2.1</v>
      </c>
      <c r="K18" s="1513">
        <v>2.1</v>
      </c>
      <c r="L18" s="1513">
        <v>2.6</v>
      </c>
      <c r="M18" s="1513">
        <v>3.5</v>
      </c>
      <c r="N18" s="1513">
        <v>3.5</v>
      </c>
      <c r="P18" s="1513">
        <v>38</v>
      </c>
      <c r="Q18" s="1513">
        <v>1.5</v>
      </c>
      <c r="R18" s="1513">
        <v>1.5</v>
      </c>
      <c r="S18" s="1513">
        <v>1.5</v>
      </c>
      <c r="T18" s="1513">
        <v>2.1</v>
      </c>
      <c r="U18" s="1513">
        <v>2.9</v>
      </c>
      <c r="V18" s="1513">
        <v>2.9</v>
      </c>
      <c r="W18" s="1514"/>
      <c r="X18" s="1513"/>
      <c r="Y18" s="1513"/>
      <c r="Z18" s="1513"/>
    </row>
    <row r="19" spans="2:26" ht="15.75">
      <c r="B19" t="s">
        <v>1214</v>
      </c>
      <c r="C19" s="149">
        <f ca="1">+C17*C18/C15</f>
        <v>118.43970400000001</v>
      </c>
      <c r="H19" s="1513">
        <v>39</v>
      </c>
      <c r="I19" s="1513">
        <v>2.2000000000000002</v>
      </c>
      <c r="J19" s="1513">
        <v>2.2000000000000002</v>
      </c>
      <c r="K19" s="1513">
        <v>2.2000000000000002</v>
      </c>
      <c r="L19" s="1513">
        <v>2.7</v>
      </c>
      <c r="M19" s="1513">
        <v>3.7</v>
      </c>
      <c r="N19" s="1513">
        <v>3.7</v>
      </c>
      <c r="P19" s="1513">
        <v>39</v>
      </c>
      <c r="Q19" s="1513">
        <v>1.6</v>
      </c>
      <c r="R19" s="1513">
        <v>1.6</v>
      </c>
      <c r="S19" s="1513">
        <v>1.6</v>
      </c>
      <c r="T19" s="1513">
        <v>2.2000000000000002</v>
      </c>
      <c r="U19" s="1513">
        <v>3.1</v>
      </c>
      <c r="V19" s="1513">
        <v>3.1</v>
      </c>
      <c r="W19" s="1514"/>
      <c r="X19" s="1513"/>
      <c r="Y19" s="1513"/>
      <c r="Z19" s="1513"/>
    </row>
    <row r="20" spans="2:26" ht="15.75">
      <c r="B20" t="s">
        <v>303</v>
      </c>
      <c r="C20" s="149">
        <f ca="1">+C16-C19</f>
        <v>38.977868000000001</v>
      </c>
      <c r="H20" s="1513">
        <v>40</v>
      </c>
      <c r="I20" s="1513">
        <v>2.2999999999999998</v>
      </c>
      <c r="J20" s="1513">
        <v>2.2999999999999998</v>
      </c>
      <c r="K20" s="1513">
        <v>2.2999999999999998</v>
      </c>
      <c r="L20" s="1513">
        <v>2.9</v>
      </c>
      <c r="M20" s="1513">
        <v>3.8</v>
      </c>
      <c r="N20" s="1513">
        <v>3.8</v>
      </c>
      <c r="P20" s="1513">
        <v>40</v>
      </c>
      <c r="Q20" s="1513">
        <v>1.7</v>
      </c>
      <c r="R20" s="1513">
        <v>1.7</v>
      </c>
      <c r="S20" s="1513">
        <v>1.7</v>
      </c>
      <c r="T20" s="1513">
        <v>2.2999999999999998</v>
      </c>
      <c r="U20" s="1513">
        <v>3.2</v>
      </c>
      <c r="V20" s="1513">
        <v>3.2</v>
      </c>
      <c r="W20" s="1514"/>
      <c r="X20" s="1513"/>
      <c r="Y20" s="1513"/>
      <c r="Z20" s="1513"/>
    </row>
    <row r="21" spans="2:26" ht="15.75">
      <c r="B21" t="s">
        <v>1450</v>
      </c>
      <c r="C21" s="559">
        <f ca="1">+C19/C16-1</f>
        <v>-0.24760811327975507</v>
      </c>
      <c r="H21" s="1513">
        <v>41</v>
      </c>
      <c r="I21" s="1513">
        <v>2.4</v>
      </c>
      <c r="J21" s="1513">
        <v>2.4</v>
      </c>
      <c r="K21" s="1513">
        <v>2.4</v>
      </c>
      <c r="L21" s="1513">
        <v>3</v>
      </c>
      <c r="M21" s="1513">
        <v>4</v>
      </c>
      <c r="N21" s="1513">
        <v>4</v>
      </c>
      <c r="P21" s="1513">
        <v>41</v>
      </c>
      <c r="Q21" s="1513">
        <v>1.8</v>
      </c>
      <c r="R21" s="1513">
        <v>1.8</v>
      </c>
      <c r="S21" s="1513">
        <v>1.8</v>
      </c>
      <c r="T21" s="1513">
        <v>2.5</v>
      </c>
      <c r="U21" s="1513">
        <v>3.4</v>
      </c>
      <c r="V21" s="1513">
        <v>3.4</v>
      </c>
      <c r="W21" s="1514"/>
      <c r="X21" s="1513"/>
      <c r="Y21" s="1513"/>
      <c r="Z21" s="1513"/>
    </row>
    <row r="22" spans="2:26" ht="15.75">
      <c r="B22" t="s">
        <v>1451</v>
      </c>
      <c r="C22">
        <f ca="1">VLOOKUP(YEAR(C3),MonatlicheBezugsgröße,4)</f>
        <v>37.450000000000003</v>
      </c>
      <c r="H22" s="1513">
        <v>42</v>
      </c>
      <c r="I22" s="1513">
        <v>2.5</v>
      </c>
      <c r="J22" s="1513">
        <v>2.5</v>
      </c>
      <c r="K22" s="1513">
        <v>2.5</v>
      </c>
      <c r="L22" s="1513">
        <v>3.2</v>
      </c>
      <c r="M22" s="1513">
        <v>4.2</v>
      </c>
      <c r="N22" s="1513">
        <v>4.2</v>
      </c>
      <c r="P22" s="1513">
        <v>42</v>
      </c>
      <c r="Q22" s="1513">
        <v>1.9</v>
      </c>
      <c r="R22" s="1513">
        <v>1.9</v>
      </c>
      <c r="S22" s="1513">
        <v>1.9</v>
      </c>
      <c r="T22" s="1513">
        <v>2.6</v>
      </c>
      <c r="U22" s="1513">
        <v>3.5</v>
      </c>
      <c r="V22" s="1513">
        <v>3.5</v>
      </c>
      <c r="W22" s="1514"/>
      <c r="X22" s="1513"/>
      <c r="Y22" s="1513"/>
      <c r="Z22" s="1513"/>
    </row>
    <row r="23" spans="2:26" ht="15.75">
      <c r="H23" s="1513">
        <v>43</v>
      </c>
      <c r="I23" s="1513">
        <v>2.7</v>
      </c>
      <c r="J23" s="1513">
        <v>2.7</v>
      </c>
      <c r="K23" s="1513">
        <v>2.7</v>
      </c>
      <c r="L23" s="1513">
        <v>3.4</v>
      </c>
      <c r="M23" s="1513">
        <v>4.4000000000000004</v>
      </c>
      <c r="N23" s="1513">
        <v>4.4000000000000004</v>
      </c>
      <c r="P23" s="1513">
        <v>43</v>
      </c>
      <c r="Q23" s="1513">
        <v>2</v>
      </c>
      <c r="R23" s="1513">
        <v>2</v>
      </c>
      <c r="S23" s="1513">
        <v>2</v>
      </c>
      <c r="T23" s="1513">
        <v>2.8</v>
      </c>
      <c r="U23" s="1513">
        <v>3.7</v>
      </c>
      <c r="V23" s="1513">
        <v>3.7</v>
      </c>
      <c r="W23" s="1514"/>
      <c r="X23" s="1513"/>
      <c r="Y23" s="1513"/>
      <c r="Z23" s="1513"/>
    </row>
    <row r="24" spans="2:26" ht="15.75">
      <c r="H24" s="1513">
        <v>44</v>
      </c>
      <c r="I24" s="1513">
        <v>2.8</v>
      </c>
      <c r="J24" s="1513">
        <v>2.8</v>
      </c>
      <c r="K24" s="1513">
        <v>2.8</v>
      </c>
      <c r="L24" s="1513">
        <v>3.6</v>
      </c>
      <c r="M24" s="1513">
        <v>4.5999999999999996</v>
      </c>
      <c r="N24" s="1513">
        <v>4.5999999999999996</v>
      </c>
      <c r="P24" s="1513">
        <v>44</v>
      </c>
      <c r="Q24" s="1513">
        <v>2.1</v>
      </c>
      <c r="R24" s="1513">
        <v>2.1</v>
      </c>
      <c r="S24" s="1513">
        <v>2.1</v>
      </c>
      <c r="T24" s="1513">
        <v>2.9</v>
      </c>
      <c r="U24" s="1513">
        <v>3.9</v>
      </c>
      <c r="V24" s="1513">
        <v>3.9</v>
      </c>
      <c r="W24" s="1514"/>
      <c r="X24" s="1513"/>
      <c r="Y24" s="1513"/>
      <c r="Z24" s="1513"/>
    </row>
    <row r="25" spans="2:26" ht="15.75">
      <c r="H25" s="1513">
        <v>45</v>
      </c>
      <c r="I25" s="1513">
        <v>3</v>
      </c>
      <c r="J25" s="1513">
        <v>3</v>
      </c>
      <c r="K25" s="1513">
        <v>3</v>
      </c>
      <c r="L25" s="1513">
        <v>3.8</v>
      </c>
      <c r="M25" s="1513">
        <v>4.8</v>
      </c>
      <c r="N25" s="1513">
        <v>4.8</v>
      </c>
      <c r="P25" s="1513">
        <v>45</v>
      </c>
      <c r="Q25" s="1513">
        <v>2.2999999999999998</v>
      </c>
      <c r="R25" s="1513">
        <v>2.2999999999999998</v>
      </c>
      <c r="S25" s="1513">
        <v>2.2999999999999998</v>
      </c>
      <c r="T25" s="1513">
        <v>3.1</v>
      </c>
      <c r="U25" s="1513">
        <v>4</v>
      </c>
      <c r="V25" s="1513">
        <v>4</v>
      </c>
      <c r="W25" s="1514"/>
      <c r="X25" s="1516"/>
      <c r="Y25" s="1513"/>
      <c r="Z25" s="1513"/>
    </row>
    <row r="26" spans="2:26" ht="15">
      <c r="H26" s="1513">
        <v>46</v>
      </c>
      <c r="I26" s="1513">
        <v>3.2</v>
      </c>
      <c r="J26" s="1513">
        <v>3.2</v>
      </c>
      <c r="K26" s="1513">
        <v>3.2</v>
      </c>
      <c r="L26" s="1513">
        <v>4</v>
      </c>
      <c r="M26" s="1513">
        <v>5</v>
      </c>
      <c r="N26" s="1513">
        <v>5</v>
      </c>
      <c r="P26" s="1513">
        <v>46</v>
      </c>
      <c r="Q26" s="1513">
        <v>2.4</v>
      </c>
      <c r="R26" s="1513">
        <v>2.4</v>
      </c>
      <c r="S26" s="1513">
        <v>2.4</v>
      </c>
      <c r="T26" s="1513">
        <v>3.3</v>
      </c>
      <c r="U26" s="1513">
        <v>4.2</v>
      </c>
      <c r="V26" s="1513">
        <v>4.2</v>
      </c>
    </row>
    <row r="27" spans="2:26" ht="15">
      <c r="H27" s="1513">
        <v>47</v>
      </c>
      <c r="I27" s="1513">
        <v>3.3</v>
      </c>
      <c r="J27" s="1513">
        <v>3.3</v>
      </c>
      <c r="K27" s="1513">
        <v>3.3</v>
      </c>
      <c r="L27" s="1513">
        <v>4.2</v>
      </c>
      <c r="M27" s="1513">
        <v>5.2</v>
      </c>
      <c r="N27" s="1513">
        <v>5.2</v>
      </c>
      <c r="P27" s="1513">
        <v>47</v>
      </c>
      <c r="Q27" s="1513">
        <v>2.6</v>
      </c>
      <c r="R27" s="1513">
        <v>2.6</v>
      </c>
      <c r="S27" s="1513">
        <v>2.6</v>
      </c>
      <c r="T27" s="1513">
        <v>3.5</v>
      </c>
      <c r="U27" s="1513">
        <v>4.5</v>
      </c>
      <c r="V27" s="1513">
        <v>4.5</v>
      </c>
    </row>
    <row r="28" spans="2:26" ht="15">
      <c r="H28" s="1513">
        <v>48</v>
      </c>
      <c r="I28" s="1513">
        <v>3.5</v>
      </c>
      <c r="J28" s="1513">
        <v>3.5</v>
      </c>
      <c r="K28" s="1513">
        <v>3.5</v>
      </c>
      <c r="L28" s="1513">
        <v>4.4000000000000004</v>
      </c>
      <c r="M28" s="1513">
        <v>5.4</v>
      </c>
      <c r="N28" s="1513">
        <v>5.4</v>
      </c>
      <c r="P28" s="1513">
        <v>48</v>
      </c>
      <c r="Q28" s="1513">
        <v>2.7</v>
      </c>
      <c r="R28" s="1513">
        <v>2.7</v>
      </c>
      <c r="S28" s="1513">
        <v>2.7</v>
      </c>
      <c r="T28" s="1513">
        <v>3.7</v>
      </c>
      <c r="U28" s="1513">
        <v>4.7</v>
      </c>
      <c r="V28" s="1513">
        <v>4.7</v>
      </c>
    </row>
    <row r="29" spans="2:26" ht="15">
      <c r="H29" s="1513">
        <v>49</v>
      </c>
      <c r="I29" s="1513">
        <v>3.7</v>
      </c>
      <c r="J29" s="1513">
        <v>3.7</v>
      </c>
      <c r="K29" s="1513">
        <v>3.7</v>
      </c>
      <c r="L29" s="1513">
        <v>4.5999999999999996</v>
      </c>
      <c r="M29" s="1513">
        <v>5.7</v>
      </c>
      <c r="N29" s="1513">
        <v>5.7</v>
      </c>
      <c r="P29" s="1513">
        <v>49</v>
      </c>
      <c r="Q29" s="1513">
        <v>2.9</v>
      </c>
      <c r="R29" s="1513">
        <v>2.9</v>
      </c>
      <c r="S29" s="1513">
        <v>2.9</v>
      </c>
      <c r="T29" s="1513">
        <v>3.9</v>
      </c>
      <c r="U29" s="1513">
        <v>4.9000000000000004</v>
      </c>
      <c r="V29" s="1513">
        <v>4.9000000000000004</v>
      </c>
    </row>
    <row r="30" spans="2:26" ht="15">
      <c r="H30" s="1513">
        <v>50</v>
      </c>
      <c r="I30" s="1513">
        <v>3.9</v>
      </c>
      <c r="J30" s="1513">
        <v>3.9</v>
      </c>
      <c r="K30" s="1513">
        <v>3.9</v>
      </c>
      <c r="L30" s="1513">
        <v>4.9000000000000004</v>
      </c>
      <c r="M30" s="1513">
        <v>5.9</v>
      </c>
      <c r="N30" s="1513">
        <v>5.9</v>
      </c>
      <c r="P30" s="1513">
        <v>50</v>
      </c>
      <c r="Q30" s="1513">
        <v>3.1</v>
      </c>
      <c r="R30" s="1513">
        <v>3.1</v>
      </c>
      <c r="S30" s="1513">
        <v>3.1</v>
      </c>
      <c r="T30" s="1513">
        <v>4.0999999999999996</v>
      </c>
      <c r="U30" s="1513">
        <v>5.0999999999999996</v>
      </c>
      <c r="V30" s="1513">
        <v>5.0999999999999996</v>
      </c>
    </row>
    <row r="31" spans="2:26" ht="15">
      <c r="H31" s="1513">
        <v>51</v>
      </c>
      <c r="I31" s="1513">
        <v>4.2</v>
      </c>
      <c r="J31" s="1513">
        <v>4.2</v>
      </c>
      <c r="K31" s="1513">
        <v>4.2</v>
      </c>
      <c r="L31" s="1513">
        <v>5.0999999999999996</v>
      </c>
      <c r="M31" s="1513">
        <v>6.2</v>
      </c>
      <c r="N31" s="1513">
        <v>6.2</v>
      </c>
      <c r="P31" s="1513">
        <v>51</v>
      </c>
      <c r="Q31" s="1513">
        <v>3.3</v>
      </c>
      <c r="R31" s="1513">
        <v>3.3</v>
      </c>
      <c r="S31" s="1513">
        <v>3.3</v>
      </c>
      <c r="T31" s="1513">
        <v>4.4000000000000004</v>
      </c>
      <c r="U31" s="1513">
        <v>5.4</v>
      </c>
      <c r="V31" s="1513">
        <v>5.4</v>
      </c>
    </row>
    <row r="32" spans="2:26" ht="15">
      <c r="H32" s="1513">
        <v>52</v>
      </c>
      <c r="I32" s="1513">
        <v>4.4000000000000004</v>
      </c>
      <c r="J32" s="1513">
        <v>4.4000000000000004</v>
      </c>
      <c r="K32" s="1513">
        <v>4.4000000000000004</v>
      </c>
      <c r="L32" s="1513">
        <v>5.4</v>
      </c>
      <c r="M32" s="1513">
        <v>6.5</v>
      </c>
      <c r="N32" s="1513">
        <v>6.5</v>
      </c>
      <c r="P32" s="1513">
        <v>52</v>
      </c>
      <c r="Q32" s="1513">
        <v>3.5</v>
      </c>
      <c r="R32" s="1513">
        <v>3.5</v>
      </c>
      <c r="S32" s="1513">
        <v>3.5</v>
      </c>
      <c r="T32" s="1513">
        <v>4.7</v>
      </c>
      <c r="U32" s="1513">
        <v>5.7</v>
      </c>
      <c r="V32" s="1513">
        <v>5.7</v>
      </c>
    </row>
    <row r="33" spans="8:22" ht="15">
      <c r="H33" s="1513">
        <v>53</v>
      </c>
      <c r="I33" s="1513">
        <v>4.5999999999999996</v>
      </c>
      <c r="J33" s="1513">
        <v>4.5999999999999996</v>
      </c>
      <c r="K33" s="1513">
        <v>4.5999999999999996</v>
      </c>
      <c r="L33" s="1513">
        <v>5.7</v>
      </c>
      <c r="M33" s="1513">
        <v>6.8</v>
      </c>
      <c r="N33" s="1513">
        <v>6.8</v>
      </c>
      <c r="P33" s="1513">
        <v>53</v>
      </c>
      <c r="Q33" s="1513">
        <v>3.7</v>
      </c>
      <c r="R33" s="1513">
        <v>3.7</v>
      </c>
      <c r="S33" s="1513">
        <v>3.7</v>
      </c>
      <c r="T33" s="1513">
        <v>5</v>
      </c>
      <c r="U33" s="1513">
        <v>6</v>
      </c>
      <c r="V33" s="1513">
        <v>6</v>
      </c>
    </row>
    <row r="34" spans="8:22" ht="15">
      <c r="H34" s="1513">
        <v>54</v>
      </c>
      <c r="I34" s="1513">
        <v>4.9000000000000004</v>
      </c>
      <c r="J34" s="1513">
        <v>4.9000000000000004</v>
      </c>
      <c r="K34" s="1513">
        <v>4.9000000000000004</v>
      </c>
      <c r="L34" s="1513">
        <v>6</v>
      </c>
      <c r="M34" s="1513">
        <v>7.1</v>
      </c>
      <c r="N34" s="1513">
        <v>7.1</v>
      </c>
      <c r="P34" s="1513">
        <v>54</v>
      </c>
      <c r="Q34" s="1513">
        <v>4</v>
      </c>
      <c r="R34" s="1513">
        <v>4</v>
      </c>
      <c r="S34" s="1513">
        <v>4</v>
      </c>
      <c r="T34" s="1513">
        <v>5.3</v>
      </c>
      <c r="U34" s="1513">
        <v>6.3</v>
      </c>
      <c r="V34" s="1513">
        <v>6.3</v>
      </c>
    </row>
    <row r="35" spans="8:22" ht="15">
      <c r="H35" s="1513">
        <v>55</v>
      </c>
      <c r="I35" s="1513">
        <v>5.0999999999999996</v>
      </c>
      <c r="J35" s="1513">
        <v>5.0999999999999996</v>
      </c>
      <c r="K35" s="1513">
        <v>5.0999999999999996</v>
      </c>
      <c r="L35" s="1513">
        <v>6.3</v>
      </c>
      <c r="M35" s="1513">
        <v>7.4</v>
      </c>
      <c r="N35" s="1513">
        <v>7.4</v>
      </c>
      <c r="P35" s="1513">
        <v>55</v>
      </c>
      <c r="Q35" s="1513">
        <v>4.3</v>
      </c>
      <c r="R35" s="1513">
        <v>4.3</v>
      </c>
      <c r="S35" s="1513">
        <v>4.3</v>
      </c>
      <c r="T35" s="1513">
        <v>5.6</v>
      </c>
      <c r="U35" s="1513">
        <v>6.6</v>
      </c>
      <c r="V35" s="1513">
        <v>6.6</v>
      </c>
    </row>
    <row r="36" spans="8:22" ht="15">
      <c r="H36" s="1513">
        <v>56</v>
      </c>
      <c r="I36" s="1513">
        <v>5.4</v>
      </c>
      <c r="J36" s="1513">
        <v>5.4</v>
      </c>
      <c r="K36" s="1513">
        <v>5.4</v>
      </c>
      <c r="L36" s="1513">
        <v>6.6</v>
      </c>
      <c r="M36" s="1513">
        <v>7.7</v>
      </c>
      <c r="N36" s="1513">
        <v>7.7</v>
      </c>
      <c r="P36" s="1513">
        <v>56</v>
      </c>
      <c r="Q36" s="1513">
        <v>4.5999999999999996</v>
      </c>
      <c r="R36" s="1513">
        <v>4.5999999999999996</v>
      </c>
      <c r="S36" s="1513">
        <v>4.5999999999999996</v>
      </c>
      <c r="T36" s="1513">
        <v>5.9</v>
      </c>
      <c r="U36" s="1513">
        <v>7</v>
      </c>
      <c r="V36" s="1513">
        <v>7</v>
      </c>
    </row>
    <row r="37" spans="8:22" ht="15">
      <c r="H37" s="1513">
        <v>57</v>
      </c>
      <c r="I37" s="1513">
        <v>5.7</v>
      </c>
      <c r="J37" s="1513">
        <v>5.7</v>
      </c>
      <c r="K37" s="1513">
        <v>5.7</v>
      </c>
      <c r="L37" s="1513">
        <v>6.9</v>
      </c>
      <c r="M37" s="1513">
        <v>8</v>
      </c>
      <c r="N37" s="1513">
        <v>8</v>
      </c>
      <c r="P37" s="1513">
        <v>57</v>
      </c>
      <c r="Q37" s="1513">
        <v>4.9000000000000004</v>
      </c>
      <c r="R37" s="1513">
        <v>4.9000000000000004</v>
      </c>
      <c r="S37" s="1513">
        <v>4.9000000000000004</v>
      </c>
      <c r="T37" s="1513">
        <v>6.3</v>
      </c>
      <c r="U37" s="1513">
        <v>7.3</v>
      </c>
      <c r="V37" s="1513">
        <v>7.3</v>
      </c>
    </row>
    <row r="38" spans="8:22" ht="15">
      <c r="H38" s="1513">
        <v>58</v>
      </c>
      <c r="I38" s="1513">
        <v>6</v>
      </c>
      <c r="J38" s="1513">
        <v>6</v>
      </c>
      <c r="K38" s="1513">
        <v>6</v>
      </c>
      <c r="L38" s="1513">
        <v>7.3</v>
      </c>
      <c r="M38" s="1513">
        <v>8.3000000000000007</v>
      </c>
      <c r="N38" s="1513">
        <v>8.3000000000000007</v>
      </c>
      <c r="P38" s="1513">
        <v>58</v>
      </c>
      <c r="Q38" s="1513">
        <v>5.2</v>
      </c>
      <c r="R38" s="1513">
        <v>5.2</v>
      </c>
      <c r="S38" s="1513">
        <v>5.2</v>
      </c>
      <c r="T38" s="1513">
        <v>6.7</v>
      </c>
      <c r="U38" s="1513">
        <v>7.7</v>
      </c>
      <c r="V38" s="1513">
        <v>7.7</v>
      </c>
    </row>
    <row r="39" spans="8:22" ht="15">
      <c r="H39" s="1513">
        <v>59</v>
      </c>
      <c r="I39" s="1513">
        <v>6.3</v>
      </c>
      <c r="J39" s="1513">
        <v>6.3</v>
      </c>
      <c r="K39" s="1513">
        <v>6.3</v>
      </c>
      <c r="L39" s="1513">
        <v>7.6</v>
      </c>
      <c r="M39" s="1513">
        <v>8.6999999999999993</v>
      </c>
      <c r="N39" s="1513">
        <v>8.6999999999999993</v>
      </c>
      <c r="P39" s="1513">
        <v>59</v>
      </c>
      <c r="Q39" s="1513">
        <v>5.6</v>
      </c>
      <c r="R39" s="1513">
        <v>5.6</v>
      </c>
      <c r="S39" s="1513">
        <v>5.6</v>
      </c>
      <c r="T39" s="1513">
        <v>7.2</v>
      </c>
      <c r="U39" s="1513">
        <v>8.1</v>
      </c>
      <c r="V39" s="1513">
        <v>8.1</v>
      </c>
    </row>
    <row r="40" spans="8:22" ht="15">
      <c r="H40" s="1513">
        <v>60</v>
      </c>
      <c r="I40" s="1513">
        <v>6.6</v>
      </c>
      <c r="J40" s="1513">
        <v>6.6</v>
      </c>
      <c r="K40" s="1513">
        <v>6.6</v>
      </c>
      <c r="L40" s="1513">
        <v>8</v>
      </c>
      <c r="M40" s="1513">
        <v>9</v>
      </c>
      <c r="N40" s="1513">
        <v>9</v>
      </c>
      <c r="P40" s="1513">
        <v>60</v>
      </c>
      <c r="Q40" s="1513">
        <v>6.1</v>
      </c>
      <c r="R40" s="1513">
        <v>6.1</v>
      </c>
      <c r="S40" s="1513">
        <v>6.1</v>
      </c>
      <c r="T40" s="1513">
        <v>7.6</v>
      </c>
      <c r="U40" s="1513">
        <v>8.6</v>
      </c>
      <c r="V40" s="1513">
        <v>8.6</v>
      </c>
    </row>
    <row r="41" spans="8:22" ht="15">
      <c r="H41" s="1513">
        <v>61</v>
      </c>
      <c r="I41" s="1513">
        <v>7</v>
      </c>
      <c r="J41" s="1513">
        <v>7</v>
      </c>
      <c r="K41" s="1513">
        <v>7</v>
      </c>
      <c r="L41" s="1513">
        <v>8.4</v>
      </c>
      <c r="M41" s="1513">
        <v>9.4</v>
      </c>
      <c r="N41" s="1513">
        <v>9.4</v>
      </c>
      <c r="P41" s="1513">
        <v>61</v>
      </c>
      <c r="Q41" s="1513">
        <v>6.5</v>
      </c>
      <c r="R41" s="1513">
        <v>6.5</v>
      </c>
      <c r="S41" s="1513">
        <v>6.5</v>
      </c>
      <c r="T41" s="1513">
        <v>8.1</v>
      </c>
      <c r="U41" s="1513">
        <v>9.1</v>
      </c>
      <c r="V41" s="1513">
        <v>9.1</v>
      </c>
    </row>
    <row r="42" spans="8:22" ht="15">
      <c r="H42" s="1513">
        <v>62</v>
      </c>
      <c r="I42" s="1513">
        <v>7.4</v>
      </c>
      <c r="J42" s="1513">
        <v>7.4</v>
      </c>
      <c r="K42" s="1513">
        <v>7.4</v>
      </c>
      <c r="L42" s="1513">
        <v>8.8000000000000007</v>
      </c>
      <c r="M42" s="1513">
        <v>9.8000000000000007</v>
      </c>
      <c r="N42" s="1513">
        <v>9.8000000000000007</v>
      </c>
      <c r="P42" s="1513">
        <v>62</v>
      </c>
      <c r="Q42" s="1513">
        <v>7</v>
      </c>
      <c r="R42" s="1513">
        <v>7</v>
      </c>
      <c r="S42" s="1513">
        <v>7</v>
      </c>
      <c r="T42" s="1513">
        <v>8.6999999999999993</v>
      </c>
      <c r="U42" s="1513">
        <v>9.6</v>
      </c>
      <c r="V42" s="1513">
        <v>9.6</v>
      </c>
    </row>
    <row r="43" spans="8:22" ht="15">
      <c r="H43" s="1513">
        <v>63</v>
      </c>
      <c r="I43" s="1513">
        <v>7.8</v>
      </c>
      <c r="J43" s="1513">
        <v>7.8</v>
      </c>
      <c r="K43" s="1513">
        <v>7.8</v>
      </c>
      <c r="L43" s="1513">
        <v>9.3000000000000007</v>
      </c>
      <c r="M43" s="1513">
        <v>10.199999999999999</v>
      </c>
      <c r="N43" s="1513">
        <v>10.199999999999999</v>
      </c>
      <c r="P43" s="1513">
        <v>63</v>
      </c>
      <c r="Q43" s="1513">
        <v>7.6</v>
      </c>
      <c r="R43" s="1513">
        <v>7.6</v>
      </c>
      <c r="S43" s="1513">
        <v>7.6</v>
      </c>
      <c r="T43" s="1513">
        <v>9.1999999999999993</v>
      </c>
      <c r="U43" s="1513">
        <v>10.1</v>
      </c>
      <c r="V43" s="1513">
        <v>10.1</v>
      </c>
    </row>
    <row r="44" spans="8:22" ht="15">
      <c r="H44" s="1513">
        <v>64</v>
      </c>
      <c r="I44" s="1513">
        <v>8.4</v>
      </c>
      <c r="J44" s="1513">
        <v>8.4</v>
      </c>
      <c r="K44" s="1513">
        <v>8.4</v>
      </c>
      <c r="L44" s="1513">
        <v>9.9</v>
      </c>
      <c r="M44" s="1513">
        <v>10.7</v>
      </c>
      <c r="N44" s="1513">
        <v>10.7</v>
      </c>
      <c r="P44" s="1513">
        <v>64</v>
      </c>
      <c r="Q44" s="1513">
        <v>8.3000000000000007</v>
      </c>
      <c r="R44" s="1513">
        <v>8.3000000000000007</v>
      </c>
      <c r="S44" s="1513">
        <v>8.3000000000000007</v>
      </c>
      <c r="T44" s="1513">
        <v>9.9</v>
      </c>
      <c r="U44" s="1513">
        <v>10.7</v>
      </c>
      <c r="V44" s="1513">
        <v>10.7</v>
      </c>
    </row>
    <row r="45" spans="8:22" ht="15">
      <c r="H45" s="1513">
        <v>65</v>
      </c>
      <c r="I45" s="1513">
        <v>9</v>
      </c>
      <c r="J45" s="1513">
        <v>9</v>
      </c>
      <c r="K45" s="1513">
        <v>9</v>
      </c>
      <c r="L45" s="1513">
        <v>10.199999999999999</v>
      </c>
      <c r="M45" s="1513">
        <v>11</v>
      </c>
      <c r="N45" s="1513">
        <v>11</v>
      </c>
      <c r="P45" s="1513">
        <v>65</v>
      </c>
      <c r="Q45" s="1513">
        <v>9</v>
      </c>
      <c r="R45" s="1513">
        <v>9</v>
      </c>
      <c r="S45" s="1513">
        <v>9</v>
      </c>
      <c r="T45" s="1513">
        <v>10.199999999999999</v>
      </c>
      <c r="U45" s="1513">
        <v>11</v>
      </c>
      <c r="V45" s="1513">
        <v>11</v>
      </c>
    </row>
    <row r="46" spans="8:22">
      <c r="H46" t="s">
        <v>1442</v>
      </c>
      <c r="I46" s="1517">
        <v>0.08</v>
      </c>
      <c r="J46" s="1518">
        <v>0.08</v>
      </c>
      <c r="K46" s="1517">
        <v>0.08</v>
      </c>
      <c r="L46" s="1517">
        <v>0.08</v>
      </c>
      <c r="M46" s="1517">
        <v>7.4999999999999997E-2</v>
      </c>
      <c r="N46" s="1517">
        <v>7.4999999999999997E-2</v>
      </c>
      <c r="P46" t="s">
        <v>1442</v>
      </c>
      <c r="Q46" s="1517">
        <v>0.14000000000000001</v>
      </c>
      <c r="R46" s="1518">
        <v>0.14000000000000001</v>
      </c>
      <c r="S46" s="1517">
        <v>0.14000000000000001</v>
      </c>
      <c r="T46" s="1517">
        <v>0.12</v>
      </c>
      <c r="U46" s="1517">
        <v>0.105</v>
      </c>
      <c r="V46" s="1517">
        <v>0.105</v>
      </c>
    </row>
    <row r="47" spans="8:22">
      <c r="H47" t="s">
        <v>1439</v>
      </c>
      <c r="I47" s="128" t="s">
        <v>1443</v>
      </c>
      <c r="J47" s="1518" t="s">
        <v>1443</v>
      </c>
      <c r="K47" s="128" t="s">
        <v>1444</v>
      </c>
      <c r="L47" s="128" t="s">
        <v>1444</v>
      </c>
      <c r="M47" s="128" t="s">
        <v>1444</v>
      </c>
      <c r="N47" s="128" t="s">
        <v>1444</v>
      </c>
      <c r="P47" t="s">
        <v>1439</v>
      </c>
      <c r="Q47" s="128"/>
      <c r="R47" s="1518"/>
      <c r="S47" s="128"/>
      <c r="T47" s="128"/>
      <c r="U47" s="128"/>
      <c r="V47" s="128"/>
    </row>
    <row r="48" spans="8:22">
      <c r="H48" t="s">
        <v>1445</v>
      </c>
      <c r="I48" s="1519">
        <v>0.05</v>
      </c>
      <c r="J48" s="1518">
        <v>0.05</v>
      </c>
      <c r="K48" s="1519">
        <v>0.05</v>
      </c>
      <c r="L48" s="1519">
        <v>0.05</v>
      </c>
      <c r="M48" s="1519">
        <v>0.05</v>
      </c>
      <c r="N48" s="1519">
        <v>0.05</v>
      </c>
      <c r="P48" t="s">
        <v>1445</v>
      </c>
      <c r="Q48" s="1519">
        <v>0.09</v>
      </c>
      <c r="R48" s="1518">
        <v>0.09</v>
      </c>
      <c r="S48" s="1519">
        <v>0.09</v>
      </c>
      <c r="T48" s="1519">
        <v>0.09</v>
      </c>
      <c r="U48" s="1519">
        <v>8.5000000000000006E-2</v>
      </c>
      <c r="V48" s="1519">
        <v>8.5000000000000006E-2</v>
      </c>
    </row>
    <row r="49" spans="8:22">
      <c r="H49" t="s">
        <v>1439</v>
      </c>
      <c r="I49" s="1519">
        <v>0.25</v>
      </c>
      <c r="J49" s="1518">
        <v>0.25</v>
      </c>
      <c r="K49" s="1519">
        <v>0.25</v>
      </c>
      <c r="L49" s="1519">
        <v>0.3</v>
      </c>
      <c r="M49" s="128">
        <v>35</v>
      </c>
      <c r="N49" s="1519">
        <v>0.35</v>
      </c>
      <c r="P49" t="s">
        <v>1439</v>
      </c>
      <c r="Q49" s="1519">
        <v>0.75</v>
      </c>
      <c r="R49" s="1518">
        <v>0.75</v>
      </c>
      <c r="S49" s="1519">
        <v>0.75</v>
      </c>
      <c r="T49" s="1519">
        <v>0.7</v>
      </c>
      <c r="U49" s="128">
        <v>0.65</v>
      </c>
      <c r="V49" s="1519">
        <v>0.65</v>
      </c>
    </row>
    <row r="50" spans="8:22">
      <c r="H50" t="s">
        <v>1446</v>
      </c>
      <c r="I50" s="128"/>
      <c r="J50" s="1519">
        <v>0.6</v>
      </c>
      <c r="K50" s="1519">
        <v>0.6</v>
      </c>
      <c r="L50" s="1519">
        <v>0.65</v>
      </c>
      <c r="M50" s="1519">
        <v>0.5</v>
      </c>
      <c r="N50" s="1519">
        <v>0.5</v>
      </c>
      <c r="P50" t="s">
        <v>1446</v>
      </c>
      <c r="Q50" s="128"/>
      <c r="R50" s="1519">
        <v>0.55000000000000004</v>
      </c>
      <c r="S50" s="1519">
        <v>0.55000000000000004</v>
      </c>
      <c r="T50" s="1519">
        <v>0.8</v>
      </c>
      <c r="U50" s="1519">
        <v>0.65</v>
      </c>
      <c r="V50" s="1519">
        <v>0.65</v>
      </c>
    </row>
    <row r="51" spans="8:22">
      <c r="V51" s="1519"/>
    </row>
  </sheetData>
  <mergeCells count="2">
    <mergeCell ref="H3:N3"/>
    <mergeCell ref="P3:V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25"/>
  <cols>
    <col min="3" max="3" width="20.125" customWidth="1"/>
    <col min="4" max="8" width="8.5" style="128" customWidth="1"/>
    <col min="9" max="9" width="39" customWidth="1"/>
  </cols>
  <sheetData>
    <row r="4" spans="2:10">
      <c r="D4" s="128" t="s">
        <v>126</v>
      </c>
      <c r="E4" s="128" t="s">
        <v>1268</v>
      </c>
      <c r="F4" s="128" t="s">
        <v>1266</v>
      </c>
      <c r="G4" s="128" t="s">
        <v>1227</v>
      </c>
      <c r="H4" s="128" t="s">
        <v>1267</v>
      </c>
      <c r="I4" s="128" t="s">
        <v>1289</v>
      </c>
      <c r="J4" s="128" t="s">
        <v>645</v>
      </c>
    </row>
    <row r="5" spans="2:10">
      <c r="B5" s="58">
        <v>28307</v>
      </c>
      <c r="C5" t="s">
        <v>1265</v>
      </c>
      <c r="F5" s="128">
        <v>3</v>
      </c>
      <c r="G5" s="128">
        <v>4</v>
      </c>
      <c r="H5" s="128">
        <v>5</v>
      </c>
    </row>
    <row r="6" spans="2:10">
      <c r="B6" s="58">
        <v>31413</v>
      </c>
      <c r="C6" t="s">
        <v>1269</v>
      </c>
      <c r="D6" s="128">
        <v>1</v>
      </c>
      <c r="I6" t="s">
        <v>1270</v>
      </c>
    </row>
    <row r="7" spans="2:10">
      <c r="B7" s="58">
        <v>33604</v>
      </c>
      <c r="C7" t="s">
        <v>1271</v>
      </c>
      <c r="E7" s="128">
        <v>2</v>
      </c>
      <c r="I7" t="s">
        <v>1274</v>
      </c>
      <c r="J7" t="s">
        <v>1272</v>
      </c>
    </row>
    <row r="8" spans="2:10">
      <c r="B8" s="58">
        <v>33604</v>
      </c>
      <c r="C8" t="s">
        <v>1269</v>
      </c>
      <c r="D8" s="128">
        <v>1</v>
      </c>
      <c r="I8" t="s">
        <v>1273</v>
      </c>
    </row>
    <row r="9" spans="2:10">
      <c r="B9" s="58">
        <v>36526</v>
      </c>
      <c r="C9" t="s">
        <v>1265</v>
      </c>
      <c r="F9" s="128">
        <v>3</v>
      </c>
      <c r="G9" s="128">
        <v>4</v>
      </c>
      <c r="H9" s="128">
        <v>5</v>
      </c>
    </row>
    <row r="10" spans="2:10">
      <c r="B10" s="58">
        <v>37622</v>
      </c>
      <c r="C10" t="s">
        <v>1271</v>
      </c>
      <c r="E10" s="128">
        <v>2</v>
      </c>
      <c r="I10" t="s">
        <v>1275</v>
      </c>
      <c r="J10" t="s">
        <v>1272</v>
      </c>
    </row>
    <row r="11" spans="2:10">
      <c r="B11" s="58">
        <v>37622</v>
      </c>
      <c r="C11" t="s">
        <v>1265</v>
      </c>
      <c r="F11" s="128">
        <v>3</v>
      </c>
      <c r="G11" s="128">
        <v>4</v>
      </c>
      <c r="H11" s="128">
        <v>5</v>
      </c>
      <c r="I11" t="s">
        <v>1276</v>
      </c>
    </row>
    <row r="12" spans="2:10">
      <c r="B12" s="58">
        <v>38869</v>
      </c>
      <c r="C12" t="s">
        <v>1265</v>
      </c>
      <c r="F12" s="128">
        <v>3</v>
      </c>
      <c r="G12" s="128">
        <v>4</v>
      </c>
      <c r="H12" s="128">
        <v>5</v>
      </c>
      <c r="I12" t="s">
        <v>1277</v>
      </c>
    </row>
    <row r="13" spans="2:10">
      <c r="B13" s="58">
        <v>39448</v>
      </c>
      <c r="C13" t="s">
        <v>279</v>
      </c>
      <c r="D13" s="128">
        <v>1</v>
      </c>
      <c r="I13" t="s">
        <v>1278</v>
      </c>
      <c r="J13" t="s">
        <v>1279</v>
      </c>
    </row>
    <row r="14" spans="2:10">
      <c r="B14" s="58">
        <v>39630</v>
      </c>
      <c r="C14" t="s">
        <v>1265</v>
      </c>
      <c r="F14" s="128">
        <v>3</v>
      </c>
      <c r="G14" s="128">
        <v>4</v>
      </c>
      <c r="H14" s="128">
        <v>5</v>
      </c>
      <c r="I14" t="s">
        <v>1280</v>
      </c>
    </row>
    <row r="15" spans="2:10">
      <c r="B15" s="58">
        <v>39856</v>
      </c>
      <c r="C15" t="s">
        <v>279</v>
      </c>
      <c r="E15" s="128">
        <v>2</v>
      </c>
      <c r="I15" t="s">
        <v>1278</v>
      </c>
      <c r="J15" t="s">
        <v>1281</v>
      </c>
    </row>
    <row r="16" spans="2:10">
      <c r="B16" s="58">
        <v>40057</v>
      </c>
      <c r="C16" t="s">
        <v>1282</v>
      </c>
      <c r="F16" s="128">
        <v>3</v>
      </c>
      <c r="G16" s="128">
        <v>4</v>
      </c>
      <c r="H16" s="128">
        <v>5</v>
      </c>
    </row>
    <row r="17" spans="2:10">
      <c r="B17" s="58">
        <v>41821</v>
      </c>
      <c r="C17" t="s">
        <v>1269</v>
      </c>
      <c r="D17" s="128">
        <v>1</v>
      </c>
      <c r="I17" s="401" t="s">
        <v>1284</v>
      </c>
      <c r="J17" t="s">
        <v>1283</v>
      </c>
    </row>
    <row r="18" spans="2:10">
      <c r="B18" s="58">
        <v>43466</v>
      </c>
      <c r="C18" t="s">
        <v>1269</v>
      </c>
      <c r="D18" s="128">
        <v>1</v>
      </c>
      <c r="I18" s="401" t="s">
        <v>1285</v>
      </c>
      <c r="J18" t="s">
        <v>1283</v>
      </c>
    </row>
    <row r="19" spans="2:10">
      <c r="B19" s="58">
        <v>44197</v>
      </c>
      <c r="C19" t="s">
        <v>1286</v>
      </c>
      <c r="D19" s="128">
        <v>1</v>
      </c>
      <c r="I19" t="s">
        <v>1287</v>
      </c>
      <c r="J19" t="s">
        <v>1288</v>
      </c>
    </row>
    <row r="24" spans="2:10">
      <c r="B24" s="58"/>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showRowColHeaders="0" zoomScale="115" zoomScaleNormal="115" workbookViewId="0">
      <selection activeCell="D31" sqref="D31"/>
    </sheetView>
  </sheetViews>
  <sheetFormatPr baseColWidth="10" defaultColWidth="0" defaultRowHeight="0" customHeight="1" zeroHeight="1"/>
  <cols>
    <col min="1" max="1" width="3.5" customWidth="1"/>
    <col min="2" max="2" width="52" customWidth="1"/>
    <col min="3" max="3" width="11" customWidth="1"/>
    <col min="4" max="4" width="12.125" customWidth="1"/>
    <col min="5" max="5" width="13.125" customWidth="1"/>
    <col min="6" max="6" width="1.125" customWidth="1"/>
    <col min="7" max="7" width="3.125" style="252" customWidth="1"/>
    <col min="8" max="8" width="36.125" style="252" customWidth="1"/>
    <col min="9" max="10" width="5.625" style="252" customWidth="1"/>
    <col min="11" max="12" width="11" style="252" customWidth="1"/>
    <col min="13" max="14" width="10.125" style="252" customWidth="1"/>
    <col min="15" max="15" width="3.125" customWidth="1"/>
    <col min="16" max="19" width="11.625" hidden="1" customWidth="1"/>
    <col min="20" max="20" width="7.625" hidden="1" customWidth="1"/>
    <col min="21" max="21" width="11.125" customWidth="1"/>
    <col min="22" max="22" width="19.125" customWidth="1"/>
    <col min="23" max="27" width="7.625" hidden="1" customWidth="1"/>
    <col min="28" max="28" width="39.625" customWidth="1"/>
    <col min="29" max="29" width="12.625" customWidth="1"/>
    <col min="30" max="30" width="17.625" customWidth="1"/>
    <col min="31" max="31" width="4.625" customWidth="1"/>
    <col min="32" max="54" width="7.625" hidden="1" customWidth="1"/>
    <col min="55" max="16384" width="1.625" hidden="1"/>
  </cols>
  <sheetData>
    <row r="1" spans="1:31" ht="15.75" thickBot="1">
      <c r="A1" s="2771"/>
      <c r="B1" s="2771"/>
      <c r="C1" s="2771"/>
      <c r="D1" s="2771"/>
      <c r="E1" s="2771"/>
      <c r="F1" s="2771"/>
      <c r="G1" s="2771"/>
      <c r="H1" s="2771"/>
      <c r="I1" s="2771"/>
      <c r="J1" s="2771"/>
      <c r="K1" s="2771"/>
      <c r="L1" s="2771"/>
      <c r="M1" s="2771"/>
      <c r="N1" s="2771"/>
      <c r="O1" s="2771"/>
      <c r="P1" s="15" t="b">
        <v>1</v>
      </c>
      <c r="Q1" t="s">
        <v>1316</v>
      </c>
      <c r="R1" t="s">
        <v>192</v>
      </c>
      <c r="S1" t="s">
        <v>193</v>
      </c>
      <c r="U1" s="3599" t="s">
        <v>1292</v>
      </c>
      <c r="V1" s="3600"/>
      <c r="W1" s="3600"/>
      <c r="X1" s="3600"/>
      <c r="Y1" s="3600"/>
      <c r="Z1" s="3600"/>
      <c r="AA1" s="3600"/>
      <c r="AB1" s="3600"/>
      <c r="AC1" s="3601"/>
      <c r="AD1" s="1454"/>
      <c r="AE1" s="409"/>
    </row>
    <row r="2" spans="1:31" ht="14.25" customHeight="1" thickTop="1">
      <c r="A2" s="3610" t="s">
        <v>533</v>
      </c>
      <c r="B2" s="3604" t="s">
        <v>1430</v>
      </c>
      <c r="C2" s="3605"/>
      <c r="D2" s="3679" t="s">
        <v>847</v>
      </c>
      <c r="E2" s="3680"/>
      <c r="F2" s="448"/>
      <c r="G2" s="3614" t="str">
        <f>IF(OR(E8="",E5=""),"Stammdaten (EzE) eingeben!","Abänderungsampel in Sachen "&amp;D4)</f>
        <v>Stammdaten (EzE) eingeben!</v>
      </c>
      <c r="H2" s="3615"/>
      <c r="I2" s="3620" t="s">
        <v>898</v>
      </c>
      <c r="J2" s="3620"/>
      <c r="K2" s="824" t="str">
        <f>IFERROR("Mann"&amp;IF(K3&gt;0,"("&amp;TEXT(YEARFRAC(K3,C8,0),"0,0")&amp;")",""),"")</f>
        <v/>
      </c>
      <c r="L2" s="827" t="str">
        <f>IFERROR("Frau"&amp;IF(L3&gt;0,"("&amp;TEXT(YEARFRAC(L3,C8,0),"0,0")&amp;")",""),"")</f>
        <v/>
      </c>
      <c r="M2" s="3563" t="str">
        <f>"Barw. Altersrente ab Reg.Altersgr. ReZins: "&amp;IFERROR(TEXT(R2,"0,00%"),"")</f>
        <v>Barw. Altersrente ab Reg.Altersgr. ReZins: 5,50%</v>
      </c>
      <c r="N2" s="3565"/>
      <c r="O2" s="3621" t="s">
        <v>1294</v>
      </c>
      <c r="P2" t="s">
        <v>619</v>
      </c>
      <c r="Q2" s="559">
        <f>_xlfn.IFNA(IF(D9&gt;0,D9,VLOOKUP(Abänderungsdatum,BilmoGZins,16)/100),0.055)</f>
        <v>5.5E-2</v>
      </c>
      <c r="R2" s="146">
        <f>IF(AbändBilMoG_Wahl,S2,Q2)</f>
        <v>5.5E-2</v>
      </c>
      <c r="S2" s="146" t="e">
        <f>VLOOKUP(Abänderungsdatum,BilMoG10,16)/100</f>
        <v>#N/A</v>
      </c>
      <c r="U2" s="887" t="s">
        <v>60</v>
      </c>
      <c r="V2" s="1194" t="s">
        <v>1293</v>
      </c>
      <c r="W2" s="161" t="s">
        <v>126</v>
      </c>
      <c r="X2" s="161" t="s">
        <v>1268</v>
      </c>
      <c r="Y2" s="161" t="s">
        <v>1266</v>
      </c>
      <c r="Z2" s="161" t="s">
        <v>1227</v>
      </c>
      <c r="AA2" s="161" t="s">
        <v>1267</v>
      </c>
      <c r="AB2" s="161" t="s">
        <v>1289</v>
      </c>
      <c r="AC2" s="161" t="s">
        <v>645</v>
      </c>
      <c r="AD2" s="314" t="s">
        <v>1290</v>
      </c>
    </row>
    <row r="3" spans="1:31" ht="14.25" customHeight="1">
      <c r="A3" s="3611"/>
      <c r="B3" s="3606"/>
      <c r="C3" s="3607"/>
      <c r="D3" s="3681"/>
      <c r="E3" s="3682"/>
      <c r="F3" s="448"/>
      <c r="G3" s="3616"/>
      <c r="H3" s="3617"/>
      <c r="I3" s="3602"/>
      <c r="J3" s="3603"/>
      <c r="K3" s="1321" t="str">
        <f>IF(AND(Dat_GebDat_M&gt;0,K4=0),Dat_GebDat_M,K4)</f>
        <v/>
      </c>
      <c r="L3" s="1321" t="str">
        <f>IF(AND(Dat_GebDat_F&gt;0,L4=0),Dat_GebDat_F,L4)</f>
        <v/>
      </c>
      <c r="M3" s="3567"/>
      <c r="N3" s="3568"/>
      <c r="O3" s="3621"/>
      <c r="Q3" s="559"/>
      <c r="R3" s="146"/>
      <c r="S3" s="146"/>
      <c r="U3" s="887"/>
      <c r="V3" s="1194"/>
      <c r="W3" s="161"/>
      <c r="X3" s="161"/>
      <c r="Y3" s="161"/>
      <c r="Z3" s="161"/>
      <c r="AA3" s="161"/>
      <c r="AB3" s="161"/>
      <c r="AC3" s="161"/>
      <c r="AD3" s="314"/>
    </row>
    <row r="4" spans="1:31" ht="14.25" customHeight="1" thickBot="1">
      <c r="A4" s="3612"/>
      <c r="B4" s="3608"/>
      <c r="C4" s="3609"/>
      <c r="D4" s="3623"/>
      <c r="E4" s="3624"/>
      <c r="F4" s="448"/>
      <c r="G4" s="3618"/>
      <c r="H4" s="3619"/>
      <c r="I4" s="3625" t="s">
        <v>618</v>
      </c>
      <c r="J4" s="3625"/>
      <c r="K4" s="1322"/>
      <c r="L4" s="1322"/>
      <c r="M4" s="3567"/>
      <c r="N4" s="3568"/>
      <c r="O4" s="3622"/>
      <c r="P4" t="s">
        <v>1492</v>
      </c>
      <c r="Q4" t="s">
        <v>620</v>
      </c>
      <c r="R4" t="e">
        <f>VLOOKUP(YEAR(K3),Regelaltersgrenze,3)</f>
        <v>#VALUE!</v>
      </c>
      <c r="S4" t="e">
        <f>VLOOKUP(YEAR(L3),Regelaltersgrenze,3)</f>
        <v>#VALUE!</v>
      </c>
      <c r="U4" s="641">
        <v>28307</v>
      </c>
      <c r="V4" s="545" t="s">
        <v>1265</v>
      </c>
      <c r="W4" s="66"/>
      <c r="X4" s="66"/>
      <c r="Y4" s="66">
        <v>3</v>
      </c>
      <c r="Z4" s="66">
        <v>4</v>
      </c>
      <c r="AA4" s="66">
        <v>5</v>
      </c>
      <c r="AB4" s="545"/>
      <c r="AC4" s="545"/>
      <c r="AD4" s="1195" t="s">
        <v>1291</v>
      </c>
    </row>
    <row r="5" spans="1:31" ht="14.25" customHeight="1">
      <c r="A5" s="3612"/>
      <c r="B5" s="3687" t="s">
        <v>512</v>
      </c>
      <c r="C5" s="3598"/>
      <c r="D5" s="1480"/>
      <c r="E5" s="1483" t="str">
        <f>IFERROR("aktRW: "&amp;TEXT(Q11,"0,00 €"),"")</f>
        <v/>
      </c>
      <c r="F5" s="25"/>
      <c r="G5" s="3626" t="s">
        <v>529</v>
      </c>
      <c r="H5" s="566" t="str">
        <f>IF(C8="","Bitte das Ehezeitende im Stammdatenblock eingeben!","EzE: "&amp;TEXT(C8,"TT.MM.JJJJ")&amp;"; Ber.Datum: "&amp;TEXT(D5,"TT.MM.JJJJ"))</f>
        <v>Bitte das Ehezeitende im Stammdatenblock eingeben!</v>
      </c>
      <c r="I5" s="549" t="s">
        <v>617</v>
      </c>
      <c r="J5" s="549" t="s">
        <v>623</v>
      </c>
      <c r="K5" s="3629" t="s">
        <v>1298</v>
      </c>
      <c r="L5" s="3630"/>
      <c r="M5" s="836" t="s">
        <v>1299</v>
      </c>
      <c r="N5" s="1141" t="s">
        <v>1300</v>
      </c>
      <c r="O5" s="3622"/>
      <c r="P5" s="15" t="b">
        <v>0</v>
      </c>
      <c r="Q5" t="s">
        <v>7</v>
      </c>
      <c r="R5" s="91" t="e">
        <f>YEARFRAC(K3,Abänderungsdatum,0)</f>
        <v>#VALUE!</v>
      </c>
      <c r="S5" s="91" t="e">
        <f>YEARFRAC(L3,Abänderungsdatum,0)</f>
        <v>#VALUE!</v>
      </c>
      <c r="U5" s="641">
        <v>31413</v>
      </c>
      <c r="V5" s="545" t="s">
        <v>1269</v>
      </c>
      <c r="W5" s="66">
        <v>1</v>
      </c>
      <c r="X5" s="66"/>
      <c r="Y5" s="66"/>
      <c r="Z5" s="66"/>
      <c r="AA5" s="66"/>
      <c r="AB5" s="545" t="s">
        <v>1270</v>
      </c>
      <c r="AC5" s="545"/>
      <c r="AD5" s="1195" t="s">
        <v>126</v>
      </c>
    </row>
    <row r="6" spans="1:31" ht="14.25" customHeight="1">
      <c r="A6" s="3612"/>
      <c r="B6" s="3687" t="s">
        <v>541</v>
      </c>
      <c r="C6" s="3598"/>
      <c r="D6" s="366"/>
      <c r="E6" s="1484" t="str">
        <f>IFERROR("mon.Bezgr."&amp;TEXT(VLOOKUP(YEAR($C$8),MonatlicheBezugsgroesse,2),"#.##0 €"),"")</f>
        <v/>
      </c>
      <c r="F6" s="25"/>
      <c r="G6" s="3627"/>
      <c r="H6" s="1268" t="s">
        <v>527</v>
      </c>
      <c r="I6" s="3631">
        <f>+I23</f>
        <v>2.5999999999999999E-2</v>
      </c>
      <c r="J6" s="3632"/>
      <c r="K6" s="402">
        <v>1244.77</v>
      </c>
      <c r="L6" s="828"/>
      <c r="M6" s="551" t="str">
        <f>IFERROR(-PV(R$2-RententrendDRV,IF(R$4-R$5&lt;0,0,R$4-R$5),0,-PV(R$2-RententrendDRV,R$6,K6*12,))*VLOOKUP(R$4,G_Kohorte_M,YEAR(K$3)-1900+2)/VLOOKUP(R$5,G_Kohorte_M,YEAR(K$3)-1900+2),"")</f>
        <v/>
      </c>
      <c r="N6" s="550" t="str">
        <f>IF($L$3=0,"",IFERROR(-PV(R$2-RententrendDRV,IF(S$4-S$5&lt;0,0,S$4-S$5),0,-PV(R$2-RententrendDRV,S$6,L6*12,))*VLOOKUP(S$4,G_Kohorte_F,YEAR(L$3)-1900+2)/VLOOKUP(S$5,G_Kohorte_F,YEAR(L$3)-1900+2),""))</f>
        <v/>
      </c>
      <c r="O6" s="3622"/>
      <c r="Q6" t="s">
        <v>621</v>
      </c>
      <c r="R6" s="91" t="e">
        <f>VLOOKUP(IF(R5&gt;R4,R5,R4),Lebenserwartung_M_V2,YEAR(K3)-1900+2)</f>
        <v>#VALUE!</v>
      </c>
      <c r="S6" s="91" t="e">
        <f>VLOOKUP(IF(S5&gt;S4,S5,S4),Lebenserwartung_F_V2,YEAR(L3)-1900+2)</f>
        <v>#VALUE!</v>
      </c>
      <c r="U6" s="641">
        <v>33604</v>
      </c>
      <c r="V6" s="545" t="s">
        <v>1271</v>
      </c>
      <c r="W6" s="66"/>
      <c r="X6" s="66">
        <v>2</v>
      </c>
      <c r="Y6" s="66"/>
      <c r="Z6" s="66"/>
      <c r="AA6" s="66"/>
      <c r="AB6" s="545" t="s">
        <v>1274</v>
      </c>
      <c r="AC6" s="928" t="s">
        <v>1272</v>
      </c>
      <c r="AD6" s="1195" t="s">
        <v>1268</v>
      </c>
    </row>
    <row r="7" spans="1:31" ht="14.25" customHeight="1">
      <c r="A7" s="3612"/>
      <c r="B7" s="3633" t="str">
        <f>IF(D6&lt;&gt;"ja","Abänderung kann nach § 226 II FamFG frühestens 12 Monate vor dem ersten Rentenbezug eingeleitet werden.","")</f>
        <v>Abänderung kann nach § 226 II FamFG frühestens 12 Monate vor dem ersten Rentenbezug eingeleitet werden.</v>
      </c>
      <c r="C7" s="3634"/>
      <c r="D7" s="3634"/>
      <c r="E7" s="3635"/>
      <c r="F7" s="25"/>
      <c r="G7" s="3627"/>
      <c r="H7" s="1268" t="s">
        <v>209</v>
      </c>
      <c r="I7" s="3631">
        <f>+I6</f>
        <v>2.5999999999999999E-2</v>
      </c>
      <c r="J7" s="3632"/>
      <c r="K7" s="402"/>
      <c r="L7" s="828">
        <v>692.56</v>
      </c>
      <c r="M7" s="551" t="str">
        <f>IFERROR(-PV(R$2-RententrendDRV,IF(R$4-R$5&lt;0,0,R$4-R$5),0,-PV(R$2-RententrendDRV,R$6,K7*12,))*VLOOKUP(R$4,G_Kohorte_M,YEAR(K$3)-1900+2)/VLOOKUP(R$5,G_Kohorte_M,YEAR(K$3)-1900+2),"")</f>
        <v/>
      </c>
      <c r="N7" s="550" t="str">
        <f>IF($L$3=0,"",IFERROR(-PV(R$2-RententrendDRV,IF(S$4-S$5&lt;0,0,S$4-S$5),0,-PV(R$2-RententrendDRV,S$6,L7*12,))*VLOOKUP(S$4,G_Kohorte_F,YEAR(L$3)-1900+2)/VLOOKUP(S$5,G_Kohorte_F,YEAR(L$3)-1900+2),""))</f>
        <v/>
      </c>
      <c r="O7" s="3622"/>
      <c r="Q7" t="s">
        <v>690</v>
      </c>
      <c r="R7" s="15" t="b">
        <v>0</v>
      </c>
      <c r="U7" s="641">
        <v>33604</v>
      </c>
      <c r="V7" s="545" t="s">
        <v>1269</v>
      </c>
      <c r="W7" s="66">
        <v>1</v>
      </c>
      <c r="X7" s="66"/>
      <c r="Y7" s="66"/>
      <c r="Z7" s="66"/>
      <c r="AA7" s="66"/>
      <c r="AB7" s="545" t="s">
        <v>1273</v>
      </c>
      <c r="AC7" s="545"/>
      <c r="AD7" s="1195" t="s">
        <v>126</v>
      </c>
    </row>
    <row r="8" spans="1:31" ht="14.25" customHeight="1">
      <c r="A8" s="3612"/>
      <c r="B8" s="1445" t="str">
        <f>IF(AND(Dat_EzE&gt;0,D8=0),"Ehezeitende aus 'Fallerfassung' übernommen","Ehezeitende (EzE) eingeben:")</f>
        <v>Ehezeitende (EzE) eingeben:</v>
      </c>
      <c r="C8" s="1323" t="str">
        <f>IF(AND(D8="",Dat_EzE=""),"",IF(AND(Dat_EzE&gt;0,D8=""),Dat_EzE,D8))</f>
        <v/>
      </c>
      <c r="D8" s="903"/>
      <c r="E8" s="1483" t="str">
        <f>IFERROR("aktRW: "&amp;TEXT(Q14,"0,00 €"),"")</f>
        <v/>
      </c>
      <c r="F8" s="25"/>
      <c r="G8" s="3627"/>
      <c r="H8" s="1269" t="s">
        <v>528</v>
      </c>
      <c r="I8" s="3584">
        <v>5.0000000000000001E-3</v>
      </c>
      <c r="J8" s="3584"/>
      <c r="K8" s="402"/>
      <c r="L8" s="828"/>
      <c r="M8" s="551" t="str">
        <f>IFERROR(-PV(R$2-I8,IF(R$4-R$5&lt;0,0,R$4-R$5),0,-PV(R$2-I8,R$6,K8*12,))*VLOOKUP(R$4,G_Kohorte_M,YEAR(K$3)-1900+2)/VLOOKUP(R$5,G_Kohorte_M,YEAR(K$3)-1900+2),"")</f>
        <v/>
      </c>
      <c r="N8" s="550" t="str">
        <f>IF($L$3=0,"",IFERROR(-PV(R$2-RententrendDRV,IF(S$4-S$5&lt;0,0,S$4-S$5),0,-PV(R$2-RententrendDRV,S$6,L8*12,))*VLOOKUP(S$4,G_Kohorte_F,YEAR(L$3)-1900+2)/VLOOKUP(S$5,G_Kohorte_F,YEAR(L$3)-1900+2),""))</f>
        <v/>
      </c>
      <c r="O8" s="3622"/>
      <c r="U8" s="641">
        <v>36526</v>
      </c>
      <c r="V8" s="545" t="s">
        <v>1265</v>
      </c>
      <c r="W8" s="66"/>
      <c r="X8" s="66"/>
      <c r="Y8" s="66">
        <v>3</v>
      </c>
      <c r="Z8" s="66">
        <v>4</v>
      </c>
      <c r="AA8" s="66">
        <v>5</v>
      </c>
      <c r="AB8" s="545"/>
      <c r="AC8" s="545"/>
      <c r="AD8" s="1195" t="s">
        <v>1291</v>
      </c>
    </row>
    <row r="9" spans="1:31" ht="14.25" customHeight="1">
      <c r="A9" s="3612"/>
      <c r="B9" s="3579" t="str">
        <f>IFERROR("Rechnungszins zum "&amp;TEXT(Abänderungsdatum,"TT.MM.JJ")&amp;": "&amp;TEXT(VLOOKUP(Abänderungsdatum,BilmoGZins,16)/100,"0,00%")&amp;" / alternativen Rezins eingeben:","Rechnungszins")</f>
        <v>Rechnungszins</v>
      </c>
      <c r="C9" s="3580"/>
      <c r="D9" s="1309"/>
      <c r="E9" s="1485" t="str">
        <f>IFERROR("Rechnung mit "&amp;TEXT(R2,"#,##%"),"ReZins eingeben!")</f>
        <v>Rechnung mit 5,5%</v>
      </c>
      <c r="F9" s="25"/>
      <c r="G9" s="3627"/>
      <c r="H9" s="1270" t="s">
        <v>1297</v>
      </c>
      <c r="I9" s="572"/>
      <c r="J9" s="1206">
        <v>0.01</v>
      </c>
      <c r="K9" s="402"/>
      <c r="L9" s="828"/>
      <c r="M9" s="551" t="str">
        <f t="shared" ref="M9:M14" si="0">IFERROR(-PV(R$2-I9,IF(R$4-R$5&lt;0,0,R$4-R$5),0,-PV(R$2-J9,R$6,K9*12,))*VLOOKUP(R$4,G_Kohorte_M,YEAR(K$3)-1900+2)/VLOOKUP(R$5,G_Kohorte_M,YEAR(K$3)-1900+2),"")</f>
        <v/>
      </c>
      <c r="N9" s="550" t="str">
        <f t="shared" ref="N9:N14" si="1">IF($L$3=0,"",IFERROR(-PV(R$2-I9,IF(S$4-S$5&lt;0,0,S$4-S$5),0,-PV(R$2-J9,S$6,L9*12,))*VLOOKUP(S$4,G_Kohorte_F,YEAR(L$3)-1900+2)/VLOOKUP(S$5,G_Kohorte_F,YEAR(L$3)-1900+2),""))</f>
        <v/>
      </c>
      <c r="O9" s="3622"/>
      <c r="Q9" t="s">
        <v>1315</v>
      </c>
      <c r="R9" s="15" t="e">
        <f>VLOOKUP(Abänderungsdatum,BilmoGZins,16)</f>
        <v>#N/A</v>
      </c>
      <c r="S9" s="15"/>
      <c r="U9" s="641">
        <v>37622</v>
      </c>
      <c r="V9" s="545" t="s">
        <v>1271</v>
      </c>
      <c r="W9" s="66"/>
      <c r="X9" s="66">
        <v>2</v>
      </c>
      <c r="Y9" s="66"/>
      <c r="Z9" s="66"/>
      <c r="AA9" s="66"/>
      <c r="AB9" s="545" t="s">
        <v>1275</v>
      </c>
      <c r="AC9" s="928" t="s">
        <v>1272</v>
      </c>
      <c r="AD9" s="1195" t="s">
        <v>1268</v>
      </c>
    </row>
    <row r="10" spans="1:31" ht="14.25" customHeight="1">
      <c r="A10" s="3612"/>
      <c r="B10" s="3581" t="s">
        <v>508</v>
      </c>
      <c r="C10" s="3448"/>
      <c r="D10" s="1480"/>
      <c r="E10" s="3585" t="str">
        <f>IFERROR("1% mon.Bezugsgr.:"&amp;CHAR(10)&amp;TEXT(VLOOKUP(YEAR($C$8),MonatlicheBezugsgroesse,2)*0.01,"#.##0,00 €"),"")</f>
        <v/>
      </c>
      <c r="F10" s="25"/>
      <c r="G10" s="3627"/>
      <c r="H10" s="414" t="s">
        <v>1493</v>
      </c>
      <c r="I10" s="572"/>
      <c r="J10" s="1206">
        <v>0.01</v>
      </c>
      <c r="K10" s="402"/>
      <c r="L10" s="828"/>
      <c r="M10" s="551" t="str">
        <f t="shared" si="0"/>
        <v/>
      </c>
      <c r="N10" s="550" t="str">
        <f t="shared" si="1"/>
        <v/>
      </c>
      <c r="O10" s="3622"/>
      <c r="U10" s="641">
        <v>37622</v>
      </c>
      <c r="V10" s="545" t="s">
        <v>1265</v>
      </c>
      <c r="W10" s="66"/>
      <c r="X10" s="66"/>
      <c r="Y10" s="66">
        <v>3</v>
      </c>
      <c r="Z10" s="66">
        <v>4</v>
      </c>
      <c r="AA10" s="66">
        <v>5</v>
      </c>
      <c r="AB10" s="545" t="s">
        <v>1276</v>
      </c>
      <c r="AC10" s="545"/>
      <c r="AD10" s="1195" t="s">
        <v>1291</v>
      </c>
    </row>
    <row r="11" spans="1:31" ht="14.25" customHeight="1" thickBot="1">
      <c r="A11" s="3613"/>
      <c r="B11" s="3636" t="s">
        <v>834</v>
      </c>
      <c r="C11" s="3637"/>
      <c r="D11" s="1482"/>
      <c r="E11" s="3586"/>
      <c r="F11" s="25"/>
      <c r="G11" s="3627"/>
      <c r="H11" s="414" t="s">
        <v>1926</v>
      </c>
      <c r="I11" s="572"/>
      <c r="J11" s="1206">
        <v>0.01</v>
      </c>
      <c r="K11" s="402">
        <v>747.78</v>
      </c>
      <c r="L11" s="828"/>
      <c r="M11" s="551" t="str">
        <f t="shared" si="0"/>
        <v/>
      </c>
      <c r="N11" s="550" t="str">
        <f t="shared" si="1"/>
        <v/>
      </c>
      <c r="O11" s="3622"/>
      <c r="Q11" s="149" t="e">
        <f>VLOOKUP(D5,aktRW,IF(S13,3,2))</f>
        <v>#N/A</v>
      </c>
      <c r="U11" s="641">
        <v>38869</v>
      </c>
      <c r="V11" s="545" t="s">
        <v>1265</v>
      </c>
      <c r="W11" s="66"/>
      <c r="X11" s="66"/>
      <c r="Y11" s="66">
        <v>3</v>
      </c>
      <c r="Z11" s="66">
        <v>4</v>
      </c>
      <c r="AA11" s="66">
        <v>5</v>
      </c>
      <c r="AB11" s="545" t="s">
        <v>1277</v>
      </c>
      <c r="AC11" s="545"/>
      <c r="AD11" s="1195" t="s">
        <v>1291</v>
      </c>
    </row>
    <row r="12" spans="1:31" s="570" customFormat="1" ht="14.25" customHeight="1">
      <c r="A12" s="3638" t="s">
        <v>534</v>
      </c>
      <c r="B12" s="3587" t="s">
        <v>521</v>
      </c>
      <c r="C12" s="3588"/>
      <c r="D12" s="3588"/>
      <c r="E12" s="3589"/>
      <c r="F12" s="569"/>
      <c r="G12" s="3627"/>
      <c r="H12" s="414" t="s">
        <v>1470</v>
      </c>
      <c r="I12" s="572"/>
      <c r="J12" s="1206">
        <v>0.01</v>
      </c>
      <c r="K12" s="568"/>
      <c r="L12" s="829"/>
      <c r="M12" s="551" t="str">
        <f t="shared" si="0"/>
        <v/>
      </c>
      <c r="N12" s="550" t="str">
        <f t="shared" si="1"/>
        <v/>
      </c>
      <c r="O12" s="3622"/>
      <c r="Q12" s="571" t="s">
        <v>475</v>
      </c>
      <c r="U12" s="641">
        <v>39448</v>
      </c>
      <c r="V12" s="545" t="s">
        <v>279</v>
      </c>
      <c r="W12" s="66">
        <v>1</v>
      </c>
      <c r="X12" s="66"/>
      <c r="Y12" s="66"/>
      <c r="Z12" s="66"/>
      <c r="AA12" s="66"/>
      <c r="AB12" s="545" t="s">
        <v>1278</v>
      </c>
      <c r="AC12" s="928" t="s">
        <v>1279</v>
      </c>
      <c r="AD12" s="1195" t="s">
        <v>126</v>
      </c>
    </row>
    <row r="13" spans="1:31" ht="14.25" customHeight="1">
      <c r="A13" s="3639"/>
      <c r="B13" s="3590" t="s">
        <v>1635</v>
      </c>
      <c r="C13" s="3591"/>
      <c r="D13" s="29" t="s">
        <v>509</v>
      </c>
      <c r="E13" s="1486" t="s">
        <v>510</v>
      </c>
      <c r="F13" s="25"/>
      <c r="G13" s="3627"/>
      <c r="H13" s="414" t="s">
        <v>531</v>
      </c>
      <c r="I13" s="572"/>
      <c r="J13" s="1206">
        <v>0.01</v>
      </c>
      <c r="K13" s="402"/>
      <c r="L13" s="828"/>
      <c r="M13" s="551" t="str">
        <f t="shared" si="0"/>
        <v/>
      </c>
      <c r="N13" s="550" t="str">
        <f t="shared" si="1"/>
        <v/>
      </c>
      <c r="O13" s="3622"/>
      <c r="Q13" s="4" t="s">
        <v>469</v>
      </c>
      <c r="R13" t="s">
        <v>522</v>
      </c>
      <c r="S13" s="15" t="b">
        <v>0</v>
      </c>
      <c r="U13" s="641">
        <v>39630</v>
      </c>
      <c r="V13" s="545" t="s">
        <v>1265</v>
      </c>
      <c r="W13" s="66"/>
      <c r="X13" s="66"/>
      <c r="Y13" s="66">
        <v>3</v>
      </c>
      <c r="Z13" s="66">
        <v>4</v>
      </c>
      <c r="AA13" s="66">
        <v>5</v>
      </c>
      <c r="AB13" s="545" t="s">
        <v>1280</v>
      </c>
      <c r="AC13" s="545"/>
      <c r="AD13" s="1195" t="s">
        <v>1291</v>
      </c>
    </row>
    <row r="14" spans="1:31" ht="14.25" customHeight="1">
      <c r="A14" s="3639"/>
      <c r="B14" s="3592" t="str">
        <f>IF(D11="ja","DRV in Euro","DRV in Entgeltpunkten (EP)")</f>
        <v>DRV in Entgeltpunkten (EP)</v>
      </c>
      <c r="C14" s="3593"/>
      <c r="D14" s="1204"/>
      <c r="E14" s="919"/>
      <c r="F14" s="25"/>
      <c r="G14" s="3627"/>
      <c r="H14" s="414" t="s">
        <v>532</v>
      </c>
      <c r="I14" s="572"/>
      <c r="J14" s="1206">
        <v>0.01</v>
      </c>
      <c r="K14" s="402"/>
      <c r="L14" s="828"/>
      <c r="M14" s="551" t="str">
        <f t="shared" si="0"/>
        <v/>
      </c>
      <c r="N14" s="550" t="str">
        <f t="shared" si="1"/>
        <v/>
      </c>
      <c r="O14" s="3622"/>
      <c r="Q14" s="149" t="e">
        <f>VLOOKUP(C8,aktRW,IF(S13,3,2))</f>
        <v>#N/A</v>
      </c>
      <c r="U14" s="641">
        <v>39856</v>
      </c>
      <c r="V14" s="545" t="s">
        <v>279</v>
      </c>
      <c r="W14" s="66"/>
      <c r="X14" s="66">
        <v>2</v>
      </c>
      <c r="Y14" s="66"/>
      <c r="Z14" s="66"/>
      <c r="AA14" s="66"/>
      <c r="AB14" s="545" t="s">
        <v>1278</v>
      </c>
      <c r="AC14" s="928" t="s">
        <v>1421</v>
      </c>
      <c r="AD14" s="1195" t="s">
        <v>1268</v>
      </c>
    </row>
    <row r="15" spans="1:31" ht="14.25" customHeight="1">
      <c r="A15" s="3639"/>
      <c r="B15" s="3691" t="s">
        <v>526</v>
      </c>
      <c r="C15" s="3692"/>
      <c r="D15" s="370"/>
      <c r="E15" s="1487" t="str">
        <f>IF(D11="ja","Rentenänderung","KoKa Änderung")</f>
        <v>KoKa Änderung</v>
      </c>
      <c r="F15" s="25"/>
      <c r="G15" s="3627"/>
      <c r="H15" s="3596" t="s">
        <v>189</v>
      </c>
      <c r="I15" s="3597"/>
      <c r="J15" s="3598"/>
      <c r="K15" s="823">
        <f>SUM(K6:K14)</f>
        <v>1992.55</v>
      </c>
      <c r="L15" s="833">
        <f>SUM(L6:L14)</f>
        <v>692.56</v>
      </c>
      <c r="M15" s="826">
        <f>SUM(M6:M14)</f>
        <v>0</v>
      </c>
      <c r="N15" s="1205">
        <f>SUM(N6:N14)</f>
        <v>0</v>
      </c>
      <c r="O15" s="3622"/>
      <c r="S15" t="e">
        <f>ROUND(S17*1.2,2)</f>
        <v>#VALUE!</v>
      </c>
      <c r="U15" s="641">
        <v>40057</v>
      </c>
      <c r="V15" s="545" t="s">
        <v>1282</v>
      </c>
      <c r="W15" s="66"/>
      <c r="X15" s="66"/>
      <c r="Y15" s="66">
        <v>3</v>
      </c>
      <c r="Z15" s="66">
        <v>4</v>
      </c>
      <c r="AA15" s="66">
        <v>5</v>
      </c>
      <c r="AB15" s="545"/>
      <c r="AC15" s="545"/>
      <c r="AD15" s="1195" t="s">
        <v>1291</v>
      </c>
    </row>
    <row r="16" spans="1:31" ht="14.25" customHeight="1">
      <c r="A16" s="3639"/>
      <c r="B16" s="3691" t="str">
        <f>IFERROR("Änderung des Ausgleichswerts: "&amp;IF(D15&gt;0,TEXT(D15,"0,0000")&amp;" EP / 2 x "&amp;TEXT(Q14,"0,00"),"("&amp;TEXT(E14,"#.##0,00")&amp;" - "&amp;TEXT(D14,"#.##0,00")&amp;") / 2  ="),"")</f>
        <v>Änderung des Ausgleichswerts: (0,00 - 0,00) / 2  =</v>
      </c>
      <c r="C16" s="3692"/>
      <c r="D16" s="1481">
        <f>IFERROR(IF(D11="ja",IF(D15&gt;0,D15/2*Q14,(E14-D14)/2),IF(D15&gt;0,D15/2,(E14-D14)/2)),"")</f>
        <v>0</v>
      </c>
      <c r="E16" s="1488" t="str">
        <f>IFERROR(IF(D11="ja",D16,D16*VLOOKUP(D8,UmrechnungEP_Kap,IF(S13,3,2))),"")</f>
        <v/>
      </c>
      <c r="F16" s="25"/>
      <c r="G16" s="3627"/>
      <c r="H16" s="3596" t="s">
        <v>303</v>
      </c>
      <c r="I16" s="3597"/>
      <c r="J16" s="3598"/>
      <c r="K16" s="3508">
        <f>ABS(K15-L15)</f>
        <v>1299.99</v>
      </c>
      <c r="L16" s="3702"/>
      <c r="M16" s="3648">
        <f>ABS(M15-N15)</f>
        <v>0</v>
      </c>
      <c r="N16" s="3649"/>
      <c r="O16" s="3622"/>
      <c r="P16" s="367"/>
      <c r="R16" t="s">
        <v>523</v>
      </c>
      <c r="S16" s="149" t="e">
        <f>VLOOKUP(YEAR(C8),MonatlicheBezugsgroesse,IF(S13,3,2))*0.01</f>
        <v>#VALUE!</v>
      </c>
      <c r="U16" s="641">
        <v>41821</v>
      </c>
      <c r="V16" s="545" t="s">
        <v>1269</v>
      </c>
      <c r="W16" s="66">
        <v>1</v>
      </c>
      <c r="X16" s="66"/>
      <c r="Y16" s="66"/>
      <c r="Z16" s="66"/>
      <c r="AA16" s="66"/>
      <c r="AB16" s="545" t="s">
        <v>1284</v>
      </c>
      <c r="AC16" s="928" t="s">
        <v>1283</v>
      </c>
      <c r="AD16" s="1195" t="s">
        <v>126</v>
      </c>
    </row>
    <row r="17" spans="1:30" ht="14.25" customHeight="1" thickBot="1">
      <c r="A17" s="3639"/>
      <c r="B17" s="3691" t="str">
        <f>IFERROR("Absolute Wesentlichkeitsgrenze § 225 II FamFG: "&amp;IF(D11="nein","120%","1%")&amp;" von "&amp;TEXT(S17,"#.##0,00"),"")</f>
        <v/>
      </c>
      <c r="C17" s="3692"/>
      <c r="D17" s="1148" t="str">
        <f>IFERROR(IF(D11="nein",MonBezugsgr_120,absWGrenze),"")</f>
        <v/>
      </c>
      <c r="E17" s="1486" t="str">
        <f>IF(E14+D14=0,"",IF(E16&gt;=D17,"überschritten","unterschritten"))</f>
        <v/>
      </c>
      <c r="F17" s="25"/>
      <c r="G17" s="3627"/>
      <c r="H17" s="3650" t="s">
        <v>530</v>
      </c>
      <c r="I17" s="3651"/>
      <c r="J17" s="3652"/>
      <c r="K17" s="945">
        <f>IF(K15&gt;L15,-K16/2,K16/2)</f>
        <v>-649.995</v>
      </c>
      <c r="L17" s="946">
        <f>IF(L15&gt;K15,-K16/2,K16/2)</f>
        <v>649.995</v>
      </c>
      <c r="M17" s="831"/>
      <c r="N17" s="832"/>
      <c r="O17" s="3622"/>
      <c r="P17" s="367"/>
      <c r="S17" s="149" t="e">
        <f>VLOOKUP(YEAR(C8),MonatlicheBezugsgroesse,IF(S13,3,2))</f>
        <v>#VALUE!</v>
      </c>
      <c r="U17" s="641">
        <v>43466</v>
      </c>
      <c r="V17" s="545" t="s">
        <v>1269</v>
      </c>
      <c r="W17" s="66">
        <v>1</v>
      </c>
      <c r="X17" s="66"/>
      <c r="Y17" s="66"/>
      <c r="Z17" s="66"/>
      <c r="AA17" s="66"/>
      <c r="AB17" s="545" t="s">
        <v>1296</v>
      </c>
      <c r="AC17" s="928" t="s">
        <v>1283</v>
      </c>
      <c r="AD17" s="1195" t="s">
        <v>126</v>
      </c>
    </row>
    <row r="18" spans="1:30" ht="14.25" customHeight="1">
      <c r="A18" s="3639"/>
      <c r="B18" s="3693" t="str">
        <f>"Wesentlichkeitsgrenze § 225 II FamFG (5% vom Ausglwert alt), tasächlich:"</f>
        <v>Wesentlichkeitsgrenze § 225 II FamFG (5% vom Ausglwert alt), tasächlich:</v>
      </c>
      <c r="C18" s="3694"/>
      <c r="D18" s="225" t="str">
        <f>IFERROR((D16/D14)/2,"")</f>
        <v/>
      </c>
      <c r="E18" s="1486" t="str">
        <f>IF(E17="","",IFERROR(IF(D18&gt;=5%,"überschritten","unterschritten"),""))</f>
        <v/>
      </c>
      <c r="F18" s="25"/>
      <c r="G18" s="3627"/>
      <c r="H18" s="3653" t="s">
        <v>900</v>
      </c>
      <c r="I18" s="3654"/>
      <c r="J18" s="3654"/>
      <c r="K18" s="3703" t="str">
        <f>IF(AND(K19&lt;&gt;0,L19&lt;&gt;0),"bitte nur beim Ausglpfl. eintragen!",IF(OR(L19&gt;0,K19&gt;0),"bitte nur negative Werte!",IF(P21&gt;0,"bitte Vorzeichen korrigieren!","")))</f>
        <v/>
      </c>
      <c r="L18" s="3704"/>
      <c r="M18" s="1055"/>
      <c r="N18" s="830"/>
      <c r="O18" s="3622"/>
      <c r="P18" s="367"/>
      <c r="S18" s="149" t="e">
        <f>VLOOKUP(YEAR(D5),MonatlicheBezugsgroesse,IF(S14,3,2))</f>
        <v>#N/A</v>
      </c>
      <c r="U18" s="641">
        <v>44197</v>
      </c>
      <c r="V18" s="545" t="s">
        <v>1286</v>
      </c>
      <c r="W18" s="66">
        <v>1</v>
      </c>
      <c r="X18" s="66"/>
      <c r="Y18" s="66"/>
      <c r="Z18" s="66"/>
      <c r="AA18" s="66"/>
      <c r="AB18" s="545" t="s">
        <v>1287</v>
      </c>
      <c r="AC18" s="928" t="s">
        <v>1288</v>
      </c>
      <c r="AD18" s="1195" t="s">
        <v>126</v>
      </c>
    </row>
    <row r="19" spans="1:30" ht="14.25" customHeight="1">
      <c r="A19" s="3639"/>
      <c r="B19" s="3669" t="s">
        <v>513</v>
      </c>
      <c r="C19" s="3670"/>
      <c r="D19" s="749" t="str">
        <f>IF(D14+E14=0,"",IF(AND(E17="überschritten",E18="überschritten"),"Ja","Nein"))</f>
        <v/>
      </c>
      <c r="E19" s="1483"/>
      <c r="F19" s="25"/>
      <c r="G19" s="3627"/>
      <c r="H19" s="3655"/>
      <c r="I19" s="3656"/>
      <c r="J19" s="3657"/>
      <c r="K19" s="837"/>
      <c r="L19" s="1058"/>
      <c r="M19" s="1056" t="str">
        <f>IFERROR(IF(K19+L19=0,"",IF(K19+L19=0,"",IFERROR(-PV(BilMoG7-RententrendDRV,R$4-R$5,0,-PV(BilMoG7-RententrendDRV,R$6,IF(K19=0,-L19,K19*12),))*VLOOKUP(R$4,IF(divers,G_Kohorte_N,G_Kohorte_M),YEAR(K$3)-1900+2)/VLOOKUP(R$5,IF(divers,G_Kohorte_N,G_Kohorte_M),YEAR(K$3)-1900+2),""))),"")</f>
        <v/>
      </c>
      <c r="N19" s="825" t="str">
        <f>IFERROR(IF(K19+L19=0,"",IFERROR(-PV(BilMoG7-RententrendDRV,S$4-S$5,0,-PV(BilMoG7-RententrendDRV,S$6,IF(L19=0,-K19,L19)*12,))*VLOOKUP(S$4,IF(divers,G_Kohorte_N,G_Kohorte_F),YEAR(L$3)-1900+2)/VLOOKUP(S$5,IF(divers,G_Kohorte_N,G_Kohorte_F),YEAR(L$3)-1900+2),"")),"")</f>
        <v/>
      </c>
      <c r="O19" s="25"/>
      <c r="P19" s="367">
        <f>IF(OR(AND(L17&gt;0,L19&lt;0),AND(L17&lt;0,L19&gt;0)),1,0)</f>
        <v>0</v>
      </c>
      <c r="U19" s="3660" t="s">
        <v>1422</v>
      </c>
      <c r="V19" s="3660"/>
      <c r="W19" s="3660"/>
      <c r="X19" s="3660"/>
      <c r="Y19" s="3660"/>
      <c r="Z19" s="3660"/>
      <c r="AA19" s="3660"/>
      <c r="AB19" s="3660"/>
      <c r="AC19" s="3660"/>
      <c r="AD19" s="3660"/>
    </row>
    <row r="20" spans="1:30" ht="14.25" customHeight="1" thickBot="1">
      <c r="A20" s="3639"/>
      <c r="B20" s="3688" t="s">
        <v>1636</v>
      </c>
      <c r="C20" s="3689"/>
      <c r="D20" s="3690"/>
      <c r="E20" s="1489" t="str">
        <f>IFERROR(D16/Q14*Q11,"")</f>
        <v/>
      </c>
      <c r="F20" s="25"/>
      <c r="G20" s="3628"/>
      <c r="H20" s="3714" t="s">
        <v>897</v>
      </c>
      <c r="I20" s="3715"/>
      <c r="J20" s="3715"/>
      <c r="K20" s="3715"/>
      <c r="L20" s="3716"/>
      <c r="M20" s="1057" t="str">
        <f>IFERROR(+M15+M19,"")</f>
        <v/>
      </c>
      <c r="N20" s="972" t="str">
        <f>IFERROR(+N19+N15,"")</f>
        <v/>
      </c>
      <c r="O20" s="25"/>
      <c r="P20" s="367">
        <f>IF(OR(AND(K17&gt;0,K19&lt;0),AND(K17&lt;0,K19&gt;0)),1,0)</f>
        <v>0</v>
      </c>
    </row>
    <row r="21" spans="1:30" ht="14.25" customHeight="1" thickTop="1" thickBot="1">
      <c r="A21" s="3640"/>
      <c r="B21" s="3582" t="s">
        <v>209</v>
      </c>
      <c r="C21" s="3583"/>
      <c r="D21" s="3594" t="s">
        <v>983</v>
      </c>
      <c r="E21" s="3595"/>
      <c r="F21" s="25"/>
      <c r="G21" s="3711" t="s">
        <v>899</v>
      </c>
      <c r="H21" s="3712"/>
      <c r="I21" s="3712"/>
      <c r="J21" s="3712"/>
      <c r="K21" s="3712"/>
      <c r="L21" s="3712"/>
      <c r="M21" s="3712"/>
      <c r="N21" s="3713"/>
      <c r="O21" s="25"/>
      <c r="P21" s="367">
        <f>+P20+P19</f>
        <v>0</v>
      </c>
    </row>
    <row r="22" spans="1:30" ht="14.25" customHeight="1">
      <c r="A22" s="3640"/>
      <c r="B22" s="3641" t="s">
        <v>511</v>
      </c>
      <c r="C22" s="3580"/>
      <c r="D22" s="29" t="s">
        <v>509</v>
      </c>
      <c r="E22" s="363" t="s">
        <v>510</v>
      </c>
      <c r="F22" s="25"/>
      <c r="G22" s="3644" t="s">
        <v>632</v>
      </c>
      <c r="H22" s="1020" t="s">
        <v>624</v>
      </c>
      <c r="I22" s="549" t="s">
        <v>617</v>
      </c>
      <c r="J22" s="549" t="s">
        <v>623</v>
      </c>
      <c r="K22" s="889" t="s">
        <v>175</v>
      </c>
      <c r="L22" s="1021" t="s">
        <v>176</v>
      </c>
      <c r="M22" s="1022" t="s">
        <v>622</v>
      </c>
      <c r="N22" s="1023" t="s">
        <v>176</v>
      </c>
      <c r="O22" s="25"/>
      <c r="P22" s="367"/>
      <c r="Q22" s="368" t="s">
        <v>175</v>
      </c>
      <c r="R22" s="368" t="s">
        <v>176</v>
      </c>
    </row>
    <row r="23" spans="1:30" ht="14.25">
      <c r="A23" s="3640"/>
      <c r="B23" s="3641" t="s">
        <v>514</v>
      </c>
      <c r="C23" s="3580"/>
      <c r="D23" s="751"/>
      <c r="E23" s="997"/>
      <c r="F23" s="25"/>
      <c r="G23" s="3645"/>
      <c r="H23" s="1271" t="str">
        <f t="shared" ref="H23:H31" si="2">+H6</f>
        <v>Deutsche Rentenversicherung</v>
      </c>
      <c r="I23" s="3631">
        <f>'Dies &amp; Das'!E3</f>
        <v>2.5999999999999999E-2</v>
      </c>
      <c r="J23" s="3632"/>
      <c r="K23" s="402">
        <v>1244.77</v>
      </c>
      <c r="L23" s="828"/>
      <c r="M23" s="551" t="str">
        <f>IFERROR(-PV(R$2-RententrendDRV,IF(R$4-R$5&lt;0,0,R$4-R$5),0,-PV(R$2-RententrendDRV,R$6,K23*12,))*VLOOKUP(R$4,G_Kohorte_M,YEAR(K$3)-1900+2)/VLOOKUP(R$5,G_Kohorte_M,YEAR(K$3)-1900+2),"")</f>
        <v/>
      </c>
      <c r="N23" s="550" t="str">
        <f>IF($L$3=0,"",IFERROR(-PV(R$2-RententrendDRV,IF(S$4-S$5&lt;0,0,S$4-S$5),0,-PV(R$2-RententrendDRV,S$6,L23*12,))*VLOOKUP(S$4,G_Kohorte_F,YEAR(L$3)-1900+2)/VLOOKUP(S$5,G_Kohorte_F,YEAR(L$3)-1900+2),""))</f>
        <v/>
      </c>
      <c r="O23" s="25"/>
      <c r="P23" s="146" t="e">
        <f>ABS(+L23/L6-1)</f>
        <v>#DIV/0!</v>
      </c>
      <c r="Q23" s="203">
        <f t="shared" ref="Q23:Q31" si="3">+K23-K6</f>
        <v>0</v>
      </c>
      <c r="R23" s="203">
        <f>(L23-L6)</f>
        <v>0</v>
      </c>
    </row>
    <row r="24" spans="1:30" ht="14.25">
      <c r="A24" s="3640"/>
      <c r="B24" s="3641" t="s">
        <v>520</v>
      </c>
      <c r="C24" s="3580"/>
      <c r="D24" s="3646">
        <f>+E23-D23</f>
        <v>0</v>
      </c>
      <c r="E24" s="3647"/>
      <c r="F24" s="25"/>
      <c r="G24" s="3645"/>
      <c r="H24" s="1271" t="str">
        <f t="shared" si="2"/>
        <v>Beamtenversorgung</v>
      </c>
      <c r="I24" s="3631">
        <f>+I23</f>
        <v>2.5999999999999999E-2</v>
      </c>
      <c r="J24" s="3632"/>
      <c r="K24" s="402"/>
      <c r="L24" s="828">
        <v>692.56</v>
      </c>
      <c r="M24" s="551" t="str">
        <f>IFERROR(-PV(R$2-RententrendDRV,IF(R$4-R$5&lt;0,0,R$4-R$5),0,-PV(R$2-RententrendDRV,R$6,K24*12,))*VLOOKUP(R$4,G_Kohorte_M,YEAR(K$3)-1900+2)/VLOOKUP(R$5,G_Kohorte_M,YEAR(K$3)-1900+2),"")</f>
        <v/>
      </c>
      <c r="N24" s="550" t="str">
        <f>IF($L$3=0,"",IFERROR(-PV(R$2-RententrendDRV,IF(S$4-S$5&lt;0,0,S$4-S$5),0,-PV(R$2-RententrendDRV,S$6,L24*12,))*VLOOKUP(S$4,G_Kohorte_F,YEAR(L$3)-1900+2)/VLOOKUP(S$5,G_Kohorte_F,YEAR(L$3)-1900+2),""))</f>
        <v/>
      </c>
      <c r="O24" s="25"/>
      <c r="Q24" s="203">
        <f t="shared" si="3"/>
        <v>0</v>
      </c>
      <c r="R24" s="203">
        <f t="shared" ref="R24:R31" si="4">+L24-L7</f>
        <v>0</v>
      </c>
    </row>
    <row r="25" spans="1:30" ht="14.25">
      <c r="A25" s="3640"/>
      <c r="B25" s="3641" t="str">
        <f>+B17</f>
        <v/>
      </c>
      <c r="C25" s="3580"/>
      <c r="D25" s="939" t="str">
        <f>IFERROR(S16,"")</f>
        <v/>
      </c>
      <c r="E25" s="937"/>
      <c r="F25" s="25"/>
      <c r="G25" s="3645"/>
      <c r="H25" s="1271" t="str">
        <f t="shared" si="2"/>
        <v>berufsständische Versorgung</v>
      </c>
      <c r="I25" s="3709">
        <v>5.0000000000000001E-3</v>
      </c>
      <c r="J25" s="3710"/>
      <c r="K25" s="402"/>
      <c r="L25" s="828"/>
      <c r="M25" s="551" t="str">
        <f>IFERROR(-PV(R$2-I25,IF(R$4-R$5&lt;0,0,R$4-R$5),0,-PV(R$2-I25,R$6,K25*12,))*VLOOKUP(R$4,G_Kohorte_M,YEAR(K$3)-1900+2)/VLOOKUP(R$5,G_Kohorte_M,YEAR(K$3)-1900+2),"")</f>
        <v/>
      </c>
      <c r="N25" s="550" t="str">
        <f>IF($L$3=0,"",IFERROR(-PV(R$2-I25,IF(S$4-S$5&lt;0,0,S$4-S$5),0,-PV(R$2-I25,S$6,L25*12,))*VLOOKUP(S$4,G_Kohorte_F,YEAR(L$3)-1900+2)/VLOOKUP(S$5,G_Kohorte_F,YEAR(L$3)-1900+2),""))</f>
        <v/>
      </c>
      <c r="O25" s="25"/>
      <c r="Q25" s="203">
        <f t="shared" si="3"/>
        <v>0</v>
      </c>
      <c r="R25" s="203">
        <f t="shared" si="4"/>
        <v>0</v>
      </c>
    </row>
    <row r="26" spans="1:30" ht="14.25">
      <c r="A26" s="3640"/>
      <c r="B26" s="3685" t="str">
        <f>"Relative Wesentlichkeitsgrenze § 225 II FamFG (5% von "&amp;TEXT(D23,"#.##0,00")&amp;")"</f>
        <v>Relative Wesentlichkeitsgrenze § 225 II FamFG (5% von 0,00)</v>
      </c>
      <c r="C26" s="3686"/>
      <c r="D26" s="939">
        <f>+D23*0.05</f>
        <v>0</v>
      </c>
      <c r="E26" s="809" t="s">
        <v>524</v>
      </c>
      <c r="F26" s="25"/>
      <c r="G26" s="3645"/>
      <c r="H26" s="1271" t="str">
        <f t="shared" si="2"/>
        <v>Zusatzversorgung öffentlicher Dienst (ZVK)</v>
      </c>
      <c r="I26" s="1206">
        <v>0</v>
      </c>
      <c r="J26" s="1206">
        <v>0.01</v>
      </c>
      <c r="K26" s="402"/>
      <c r="L26" s="828"/>
      <c r="M26" s="551" t="str">
        <f t="shared" ref="M26:M31" si="5">IFERROR(-PV(R$2-I26,IF(R$4-R$5&lt;0,0,R$4-R$5),0,-PV(R$2-J26,R$6,K26*12,))*VLOOKUP(R$4,G_Kohorte_M,YEAR(K$3)-1900+2)/VLOOKUP(R$5,G_Kohorte_M,YEAR(K$3)-1900+2),"")</f>
        <v/>
      </c>
      <c r="N26" s="550" t="str">
        <f t="shared" ref="N26:N31" si="6">IF($L$3=0,"",IFERROR(-PV(R$2-I26,IF(S$4-S$5&lt;0,0,S$4-S$5),0,-PV(R$2-J26,S$6,L26*12,))*VLOOKUP(S$4,G_Kohorte_F,YEAR(L$3)-1900+2)/VLOOKUP(S$5,G_Kohorte_F,YEAR(L$3)-1900+2),""))</f>
        <v/>
      </c>
      <c r="O26" s="25"/>
      <c r="Q26" s="203">
        <f t="shared" si="3"/>
        <v>0</v>
      </c>
      <c r="R26" s="203">
        <f t="shared" si="4"/>
        <v>0</v>
      </c>
    </row>
    <row r="27" spans="1:30" ht="14.25" customHeight="1" thickBot="1">
      <c r="A27" s="3640"/>
      <c r="B27" s="3683" t="s">
        <v>513</v>
      </c>
      <c r="C27" s="3684"/>
      <c r="D27" s="940" t="str">
        <f>IF(D23+E23=0,"",IF(AND(ABS(E23-D23)&gt;=ABS(ABS(D26)),ABS(E23-D23)&gt;D25),"Ja","Nein"))</f>
        <v/>
      </c>
      <c r="E27" s="938" t="str">
        <f>IFERROR(+ABS(D24)*Q11/Q14,"")</f>
        <v/>
      </c>
      <c r="F27" s="25"/>
      <c r="G27" s="3645"/>
      <c r="H27" s="1271" t="str">
        <f t="shared" si="2"/>
        <v>VBL</v>
      </c>
      <c r="I27" s="1206">
        <v>0</v>
      </c>
      <c r="J27" s="1206">
        <v>0.01</v>
      </c>
      <c r="K27" s="402"/>
      <c r="L27" s="828"/>
      <c r="M27" s="551" t="str">
        <f t="shared" si="5"/>
        <v/>
      </c>
      <c r="N27" s="550" t="str">
        <f t="shared" si="6"/>
        <v/>
      </c>
      <c r="O27" s="25"/>
      <c r="Q27" s="203">
        <f t="shared" si="3"/>
        <v>0</v>
      </c>
      <c r="R27" s="203">
        <f t="shared" si="4"/>
        <v>0</v>
      </c>
      <c r="T27" t="e">
        <f>IF(AND(ABS($Q$23/2)&gt;=K6/2*5%,ABS($Q$23/2)&gt;=absWGrenze),"Ja","nein")</f>
        <v>#VALUE!</v>
      </c>
    </row>
    <row r="28" spans="1:30" ht="14.25" customHeight="1">
      <c r="A28" s="3640"/>
      <c r="B28" s="3661" t="s">
        <v>809</v>
      </c>
      <c r="C28" s="3662"/>
      <c r="D28" s="3588"/>
      <c r="E28" s="3663"/>
      <c r="F28" s="25"/>
      <c r="G28" s="3645"/>
      <c r="H28" s="1271" t="str">
        <f t="shared" si="2"/>
        <v>Versorgungsanstalt Kulturorchester</v>
      </c>
      <c r="I28" s="1206">
        <v>0.01</v>
      </c>
      <c r="J28" s="1206">
        <v>0.01</v>
      </c>
      <c r="K28" s="402">
        <v>1747.1</v>
      </c>
      <c r="L28" s="828"/>
      <c r="M28" s="551" t="str">
        <f t="shared" si="5"/>
        <v/>
      </c>
      <c r="N28" s="550" t="str">
        <f t="shared" si="6"/>
        <v/>
      </c>
      <c r="O28" s="25"/>
      <c r="Q28" s="203">
        <f t="shared" si="3"/>
        <v>999.31999999999994</v>
      </c>
      <c r="R28" s="203">
        <f t="shared" si="4"/>
        <v>0</v>
      </c>
    </row>
    <row r="29" spans="1:30" ht="14.25" customHeight="1">
      <c r="A29" s="3640"/>
      <c r="B29" s="3664" t="s">
        <v>518</v>
      </c>
      <c r="C29" s="3665"/>
      <c r="D29" s="3666"/>
      <c r="E29" s="3667"/>
      <c r="F29" s="25"/>
      <c r="G29" s="3645"/>
      <c r="H29" s="1271" t="str">
        <f t="shared" si="2"/>
        <v>Sonstige 2</v>
      </c>
      <c r="I29" s="1206">
        <f t="shared" ref="I29:J31" si="7">+I12</f>
        <v>0</v>
      </c>
      <c r="J29" s="1206">
        <f t="shared" si="7"/>
        <v>0.01</v>
      </c>
      <c r="K29" s="402"/>
      <c r="L29" s="828"/>
      <c r="M29" s="551" t="str">
        <f t="shared" si="5"/>
        <v/>
      </c>
      <c r="N29" s="550" t="str">
        <f t="shared" si="6"/>
        <v/>
      </c>
      <c r="O29" s="25"/>
      <c r="Q29" s="203">
        <f t="shared" si="3"/>
        <v>0</v>
      </c>
      <c r="R29" s="203">
        <f t="shared" si="4"/>
        <v>0</v>
      </c>
    </row>
    <row r="30" spans="1:30" ht="14.25" customHeight="1">
      <c r="A30" s="3640"/>
      <c r="B30" s="732" t="s">
        <v>560</v>
      </c>
      <c r="C30" s="1304"/>
      <c r="D30" s="1204"/>
      <c r="E30" s="364"/>
      <c r="F30" s="25"/>
      <c r="G30" s="3645"/>
      <c r="H30" s="1271" t="str">
        <f t="shared" si="2"/>
        <v>Sonstige 3</v>
      </c>
      <c r="I30" s="1206">
        <f t="shared" si="7"/>
        <v>0</v>
      </c>
      <c r="J30" s="1206">
        <f t="shared" si="7"/>
        <v>0.01</v>
      </c>
      <c r="K30" s="402"/>
      <c r="L30" s="828"/>
      <c r="M30" s="551" t="str">
        <f t="shared" si="5"/>
        <v/>
      </c>
      <c r="N30" s="550" t="str">
        <f t="shared" si="6"/>
        <v/>
      </c>
      <c r="O30" s="25"/>
      <c r="Q30" s="203">
        <f t="shared" si="3"/>
        <v>0</v>
      </c>
      <c r="R30" s="203">
        <f t="shared" si="4"/>
        <v>0</v>
      </c>
    </row>
    <row r="31" spans="1:30" ht="14.25" customHeight="1">
      <c r="A31" s="3640"/>
      <c r="B31" s="3641" t="s">
        <v>515</v>
      </c>
      <c r="C31" s="3580"/>
      <c r="D31" s="1204"/>
      <c r="E31" s="365"/>
      <c r="F31" s="25"/>
      <c r="G31" s="3645"/>
      <c r="H31" s="1271" t="str">
        <f t="shared" si="2"/>
        <v>Sonstige 4</v>
      </c>
      <c r="I31" s="1206">
        <f t="shared" si="7"/>
        <v>0</v>
      </c>
      <c r="J31" s="1206">
        <f t="shared" si="7"/>
        <v>0.01</v>
      </c>
      <c r="K31" s="402"/>
      <c r="L31" s="828"/>
      <c r="M31" s="551" t="str">
        <f t="shared" si="5"/>
        <v/>
      </c>
      <c r="N31" s="550" t="str">
        <f t="shared" si="6"/>
        <v/>
      </c>
      <c r="O31" s="25"/>
      <c r="Q31" s="203">
        <f t="shared" si="3"/>
        <v>0</v>
      </c>
      <c r="R31" s="203">
        <f t="shared" si="4"/>
        <v>0</v>
      </c>
    </row>
    <row r="32" spans="1:30" ht="14.25" customHeight="1">
      <c r="A32" s="3640"/>
      <c r="B32" s="3641" t="s">
        <v>516</v>
      </c>
      <c r="C32" s="3580"/>
      <c r="D32" s="941" t="str">
        <f>IFERROR(+Q14,"")</f>
        <v/>
      </c>
      <c r="E32" s="365"/>
      <c r="F32" s="25"/>
      <c r="G32" s="3645"/>
      <c r="H32" s="553" t="s">
        <v>189</v>
      </c>
      <c r="I32" s="553"/>
      <c r="J32" s="553"/>
      <c r="K32" s="823">
        <f>SUM(K23:K31)</f>
        <v>2991.87</v>
      </c>
      <c r="L32" s="833">
        <f>SUM(L23:L31)</f>
        <v>692.56</v>
      </c>
      <c r="M32" s="835">
        <f>SUM(M23:M31)</f>
        <v>0</v>
      </c>
      <c r="N32" s="552">
        <f>SUM(N23:N31)</f>
        <v>0</v>
      </c>
      <c r="O32" s="25"/>
      <c r="S32" s="3668" t="s">
        <v>126</v>
      </c>
    </row>
    <row r="33" spans="1:22" ht="14.25" customHeight="1">
      <c r="A33" s="3640"/>
      <c r="B33" s="3641" t="s">
        <v>517</v>
      </c>
      <c r="C33" s="3580"/>
      <c r="D33" s="941" t="str">
        <f>IFERROR(+Q11,"")</f>
        <v/>
      </c>
      <c r="E33" s="365"/>
      <c r="F33" s="25"/>
      <c r="G33" s="3645"/>
      <c r="H33" s="553" t="s">
        <v>303</v>
      </c>
      <c r="I33" s="553"/>
      <c r="J33" s="553"/>
      <c r="K33" s="3508">
        <f>ABS(K32-L32)</f>
        <v>2299.31</v>
      </c>
      <c r="L33" s="3702"/>
      <c r="M33" s="3648">
        <f>ABS(M32-N32)</f>
        <v>0</v>
      </c>
      <c r="N33" s="3649"/>
      <c r="O33" s="25"/>
      <c r="S33" s="3668"/>
    </row>
    <row r="34" spans="1:22" ht="14.25" customHeight="1">
      <c r="A34" s="3640"/>
      <c r="B34" s="3674" t="str">
        <f>"aktueller Wert d. dynamisierten Ausgleichswerts: "&amp;TEXT(D31,"#.##0,00")&amp;" x "&amp;TEXT(D33,"0,00")&amp;" / "&amp;TEXT(D32,"0,00")</f>
        <v xml:space="preserve">aktueller Wert d. dynamisierten Ausgleichswerts: 0,00 x  / </v>
      </c>
      <c r="C34" s="3675"/>
      <c r="D34" s="942" t="str">
        <f>IFERROR(+D31*D33/D32,"")</f>
        <v/>
      </c>
      <c r="E34" s="365"/>
      <c r="F34" s="25"/>
      <c r="G34" s="3645"/>
      <c r="H34" s="554" t="s">
        <v>530</v>
      </c>
      <c r="I34" s="554"/>
      <c r="J34" s="554"/>
      <c r="K34" s="555">
        <f>IF(K32&gt;L32,-K33/2,K33/2)</f>
        <v>-1149.655</v>
      </c>
      <c r="L34" s="834">
        <f>IF(L32&gt;K32,-K33/2,K33/2)</f>
        <v>1149.655</v>
      </c>
      <c r="M34" s="1014"/>
      <c r="N34" s="1015"/>
      <c r="O34" s="25"/>
      <c r="S34" s="3668"/>
    </row>
    <row r="35" spans="1:22" ht="14.25" customHeight="1" thickBot="1">
      <c r="A35" s="3640"/>
      <c r="B35" s="3641" t="str">
        <f>"Abweichung aktueller Wert vom Nominalwert: "&amp;TEXT(D30,"#.##0,00")&amp;" - "&amp;TEXT(D34,"#.##0,00")</f>
        <v xml:space="preserve">Abweichung aktueller Wert vom Nominalwert: 0,00 - </v>
      </c>
      <c r="C35" s="3580"/>
      <c r="D35" s="941" t="str">
        <f>IFERROR(ABS(D34-D30),"")</f>
        <v/>
      </c>
      <c r="E35" s="365"/>
      <c r="F35" s="25"/>
      <c r="G35" s="3645"/>
      <c r="H35" s="1017"/>
      <c r="I35" s="1017"/>
      <c r="J35" s="1017"/>
      <c r="K35" s="1018"/>
      <c r="L35" s="1019"/>
      <c r="M35" s="1014"/>
      <c r="N35" s="1015"/>
      <c r="O35" s="25"/>
      <c r="S35" s="3668"/>
    </row>
    <row r="36" spans="1:22" ht="14.25" customHeight="1">
      <c r="A36" s="3640"/>
      <c r="B36" s="3641" t="s">
        <v>535</v>
      </c>
      <c r="C36" s="3580"/>
      <c r="D36" s="823" t="str">
        <f>IFERROR(S18*0.02,"")</f>
        <v/>
      </c>
      <c r="E36" s="943" t="str">
        <f>IFERROR("2% x "&amp;TEXT(S18,"#.##0,00"),"")</f>
        <v/>
      </c>
      <c r="F36" s="25"/>
      <c r="G36" s="3705"/>
      <c r="H36" s="3708" t="s">
        <v>303</v>
      </c>
      <c r="I36" s="3708"/>
      <c r="J36" s="3708"/>
      <c r="K36" s="3678">
        <f>ABS(K34-K17)</f>
        <v>499.65999999999997</v>
      </c>
      <c r="L36" s="3678"/>
      <c r="M36" s="3676">
        <f>ABS(M33-M16)</f>
        <v>0</v>
      </c>
      <c r="N36" s="3677"/>
      <c r="O36" s="25"/>
      <c r="S36" s="3668"/>
    </row>
    <row r="37" spans="1:22" ht="14.25" customHeight="1">
      <c r="A37" s="3640"/>
      <c r="B37" s="3641"/>
      <c r="C37" s="3580"/>
      <c r="D37" s="823"/>
      <c r="E37" s="365"/>
      <c r="F37" s="25"/>
      <c r="G37" s="3706"/>
      <c r="H37" s="3643" t="s">
        <v>1207</v>
      </c>
      <c r="I37" s="3643"/>
      <c r="J37" s="3643"/>
      <c r="K37" s="3658">
        <f>IFERROR(ABS(1-ABS(K34)/ABS(K17)),"")</f>
        <v>0.76871360548927292</v>
      </c>
      <c r="L37" s="3658"/>
      <c r="M37" s="3658" t="str">
        <f>IFERROR(ABS(M36)/ABS(M16),"")</f>
        <v/>
      </c>
      <c r="N37" s="3659"/>
      <c r="O37" s="25"/>
      <c r="S37" s="502"/>
    </row>
    <row r="38" spans="1:22" ht="14.25" customHeight="1">
      <c r="A38" s="3640"/>
      <c r="B38" s="3641" t="s">
        <v>519</v>
      </c>
      <c r="C38" s="3580"/>
      <c r="D38" s="366" t="s">
        <v>475</v>
      </c>
      <c r="E38" s="809" t="s">
        <v>524</v>
      </c>
      <c r="F38" s="25"/>
      <c r="G38" s="3706"/>
      <c r="H38" s="3643" t="str">
        <f>IFERROR("abs. Wesentlichkeit: Rente 1% von "&amp;TEXT(VLOOKUP(YEAR(C8),MonatlicheBezugsgroesse,2),"#.##0 €")&amp;"/ Kapital: 120%","")</f>
        <v/>
      </c>
      <c r="I38" s="3643"/>
      <c r="J38" s="3643"/>
      <c r="K38" s="3696" t="str">
        <f>IFERROR(VLOOKUP(YEAR(C8),MonatlicheBezugsgroesse,2)*1%,"")</f>
        <v/>
      </c>
      <c r="L38" s="3697"/>
      <c r="M38" s="3696" t="str">
        <f>IFERROR(+K38*120,"")</f>
        <v/>
      </c>
      <c r="N38" s="3698"/>
      <c r="O38" s="25"/>
    </row>
    <row r="39" spans="1:22" ht="14.25" customHeight="1" thickBot="1">
      <c r="A39" s="3640"/>
      <c r="B39" s="3672" t="s">
        <v>513</v>
      </c>
      <c r="C39" s="3673"/>
      <c r="D39" s="361" t="str">
        <f>IF(D38="Ja","Nein, § 51 IV",IF(D35&gt;=D36,"Ja","Nein"))</f>
        <v>Nein, § 51 IV</v>
      </c>
      <c r="E39" s="944" t="str">
        <f>+D35</f>
        <v/>
      </c>
      <c r="F39" s="25"/>
      <c r="G39" s="3707"/>
      <c r="H39" s="3699" t="s">
        <v>1174</v>
      </c>
      <c r="I39" s="3699"/>
      <c r="J39" s="3699"/>
      <c r="K39" s="3700" t="str">
        <f>IFERROR(IF(AND(ABS(K37)&gt;=5%,ABS(K36)&gt;=ABS(K38)),"möglich","Unmöglich"),"")</f>
        <v/>
      </c>
      <c r="L39" s="3700"/>
      <c r="M39" s="3700" t="str">
        <f>IFERROR(IF(AND(ABS(M37&gt;=5%),ABS(M36)&gt;=ABS(M38)),"möglich","Unmöglich"),"")</f>
        <v/>
      </c>
      <c r="N39" s="3701"/>
      <c r="O39" s="25"/>
    </row>
    <row r="40" spans="1:22" s="71" customFormat="1" ht="24" customHeight="1">
      <c r="A40" s="64"/>
      <c r="B40" s="3671"/>
      <c r="C40" s="3671"/>
      <c r="D40" s="3671"/>
      <c r="E40" s="3671"/>
      <c r="F40" s="64"/>
      <c r="G40" s="1016"/>
      <c r="H40" s="1016"/>
      <c r="I40" s="1016"/>
      <c r="J40" s="1016"/>
      <c r="K40" s="1016"/>
      <c r="L40" s="1016"/>
      <c r="M40" s="1016"/>
      <c r="N40" s="1016"/>
      <c r="O40" s="64"/>
    </row>
    <row r="41" spans="1:22" ht="14.25" hidden="1" customHeight="1">
      <c r="R41" s="4" t="s">
        <v>176</v>
      </c>
    </row>
    <row r="42" spans="1:22" ht="15" hidden="1" customHeight="1">
      <c r="R42" s="507">
        <v>51</v>
      </c>
      <c r="T42" s="3"/>
      <c r="U42" s="50" t="s">
        <v>175</v>
      </c>
      <c r="V42" s="50" t="s">
        <v>176</v>
      </c>
    </row>
    <row r="43" spans="1:22" ht="14.25" hidden="1" customHeight="1">
      <c r="R43" s="149">
        <v>27.2</v>
      </c>
      <c r="T43" s="503" t="s">
        <v>21</v>
      </c>
      <c r="U43" s="504">
        <v>300</v>
      </c>
      <c r="V43" s="504">
        <v>300</v>
      </c>
    </row>
    <row r="44" spans="1:22" ht="14.25" hidden="1" customHeight="1">
      <c r="R44" s="1140">
        <f>+R42/R43</f>
        <v>1.875</v>
      </c>
      <c r="T44" s="3" t="s">
        <v>575</v>
      </c>
      <c r="U44" s="254">
        <v>27.2</v>
      </c>
      <c r="V44" s="3"/>
    </row>
    <row r="45" spans="1:22" ht="14.25" hidden="1" customHeight="1">
      <c r="R45" s="422">
        <v>6144.9210000000003</v>
      </c>
      <c r="T45" s="3" t="s">
        <v>62</v>
      </c>
      <c r="U45" s="505">
        <f>+U43/U44</f>
        <v>11.029411764705882</v>
      </c>
      <c r="V45" s="3"/>
    </row>
    <row r="46" spans="1:22" ht="15" hidden="1" customHeight="1">
      <c r="R46" s="507">
        <f>+R45*R44</f>
        <v>11521.726875</v>
      </c>
      <c r="T46" s="3" t="s">
        <v>574</v>
      </c>
      <c r="U46" s="506">
        <v>6144.9210000000003</v>
      </c>
      <c r="V46" s="254">
        <v>181.5</v>
      </c>
    </row>
    <row r="47" spans="1:22" ht="14.25" hidden="1" customHeight="1">
      <c r="P47" t="s">
        <v>539</v>
      </c>
      <c r="R47" s="149">
        <v>300</v>
      </c>
      <c r="T47" s="503" t="s">
        <v>576</v>
      </c>
      <c r="U47" s="504">
        <f>+U46*U45</f>
        <v>67774.863970588238</v>
      </c>
      <c r="V47" s="504">
        <f>+V46*V43</f>
        <v>54450</v>
      </c>
    </row>
    <row r="48" spans="1:22" ht="14.25" hidden="1" customHeight="1">
      <c r="P48" t="s">
        <v>577</v>
      </c>
      <c r="R48" s="149">
        <v>181.5</v>
      </c>
      <c r="T48" s="3" t="s">
        <v>579</v>
      </c>
      <c r="U48" s="3642">
        <f>+U47-V47</f>
        <v>13324.863970588238</v>
      </c>
      <c r="V48" s="2675"/>
    </row>
    <row r="49" spans="16:22" ht="15" hidden="1" customHeight="1">
      <c r="P49" s="409" t="s">
        <v>576</v>
      </c>
      <c r="R49" s="507">
        <f>+R48*R47</f>
        <v>54450</v>
      </c>
      <c r="T49" s="503" t="s">
        <v>580</v>
      </c>
      <c r="U49" s="504">
        <f>-U48/2</f>
        <v>-6662.4319852941189</v>
      </c>
      <c r="V49" s="504">
        <f>-U49</f>
        <v>6662.4319852941189</v>
      </c>
    </row>
    <row r="50" spans="16:22" ht="15" hidden="1" customHeight="1">
      <c r="P50" s="409" t="s">
        <v>143</v>
      </c>
      <c r="Q50" s="507">
        <f>+U47</f>
        <v>67774.863970588238</v>
      </c>
      <c r="R50" s="507">
        <f>+R49+R46</f>
        <v>65971.726874999993</v>
      </c>
      <c r="T50" s="3" t="s">
        <v>584</v>
      </c>
      <c r="U50" s="254">
        <f>+U49/U46*U44</f>
        <v>-29.490720873384706</v>
      </c>
      <c r="V50" s="254">
        <f>+V49/V46</f>
        <v>36.707614244044734</v>
      </c>
    </row>
    <row r="51" spans="16:22" ht="14.25" hidden="1" customHeight="1">
      <c r="P51" t="s">
        <v>578</v>
      </c>
      <c r="Q51" s="1203">
        <f>+Q50-R50</f>
        <v>1803.1370955882448</v>
      </c>
      <c r="R51" s="4"/>
      <c r="T51" s="556" t="s">
        <v>581</v>
      </c>
      <c r="U51" s="557">
        <f>+U43+U50</f>
        <v>270.5092791266153</v>
      </c>
      <c r="V51" s="557">
        <f>+V50+V43</f>
        <v>336.70761424404475</v>
      </c>
    </row>
    <row r="52" spans="16:22" ht="14.25" hidden="1" customHeight="1">
      <c r="P52" t="s">
        <v>530</v>
      </c>
      <c r="Q52" s="149">
        <f>+Q51/-2</f>
        <v>-901.56854779412242</v>
      </c>
      <c r="R52" s="149">
        <f>-Q52</f>
        <v>901.56854779412242</v>
      </c>
    </row>
    <row r="53" spans="16:22" ht="14.25" hidden="1" customHeight="1"/>
    <row r="54" spans="16:22" ht="14.25" hidden="1" customHeight="1"/>
    <row r="55" spans="16:22" ht="14.25" hidden="1" customHeight="1">
      <c r="Q55" s="4" t="s">
        <v>175</v>
      </c>
      <c r="R55" s="4" t="s">
        <v>176</v>
      </c>
    </row>
    <row r="56" spans="16:22" ht="15" hidden="1" customHeight="1">
      <c r="P56" s="409" t="s">
        <v>21</v>
      </c>
      <c r="Q56" s="507">
        <v>300</v>
      </c>
      <c r="R56" s="507">
        <v>300</v>
      </c>
    </row>
    <row r="57" spans="16:22" ht="14.25" hidden="1" customHeight="1">
      <c r="P57" t="s">
        <v>575</v>
      </c>
      <c r="Q57" s="149">
        <v>27.2</v>
      </c>
    </row>
    <row r="58" spans="16:22" ht="14.25" hidden="1" customHeight="1">
      <c r="P58" t="s">
        <v>62</v>
      </c>
      <c r="Q58" s="1140">
        <f>+Q56/Q57</f>
        <v>11.029411764705882</v>
      </c>
    </row>
    <row r="59" spans="16:22" ht="14.25" hidden="1" customHeight="1">
      <c r="P59" t="s">
        <v>574</v>
      </c>
      <c r="Q59" s="422">
        <v>6144.9210000000003</v>
      </c>
      <c r="R59" s="149">
        <v>181.5</v>
      </c>
    </row>
    <row r="60" spans="16:22" ht="15" hidden="1" customHeight="1">
      <c r="P60" s="409" t="s">
        <v>582</v>
      </c>
      <c r="Q60" s="507">
        <v>104805</v>
      </c>
      <c r="R60" s="507">
        <v>68891</v>
      </c>
    </row>
    <row r="61" spans="16:22" ht="14.25" hidden="1" customHeight="1">
      <c r="P61" t="s">
        <v>579</v>
      </c>
      <c r="Q61" s="3695">
        <f>+Q60-R60</f>
        <v>35914</v>
      </c>
      <c r="R61" s="2273"/>
    </row>
    <row r="62" spans="16:22" ht="15" hidden="1" customHeight="1">
      <c r="P62" s="409" t="s">
        <v>580</v>
      </c>
      <c r="Q62" s="507">
        <f>-Q61/2</f>
        <v>-17957</v>
      </c>
      <c r="R62" s="507">
        <f>-Q62</f>
        <v>17957</v>
      </c>
    </row>
    <row r="63" spans="16:22" ht="28.5" hidden="1" customHeight="1">
      <c r="P63" s="397" t="s">
        <v>583</v>
      </c>
      <c r="Q63" s="154">
        <f>+Q62/(Q60/Q56)</f>
        <v>-51.401173608129383</v>
      </c>
      <c r="R63" s="154">
        <f>R62/(R60/R56)</f>
        <v>78.197442336444539</v>
      </c>
    </row>
    <row r="64" spans="16:22" ht="15" hidden="1" customHeight="1">
      <c r="P64" s="409" t="s">
        <v>581</v>
      </c>
      <c r="Q64" s="507">
        <f>+Q56+Q63</f>
        <v>248.5988263918706</v>
      </c>
      <c r="R64" s="507">
        <f>+R63+R56</f>
        <v>378.19744233644451</v>
      </c>
    </row>
    <row r="65" spans="17:18" ht="14.25" hidden="1" customHeight="1">
      <c r="Q65" s="149">
        <v>79652</v>
      </c>
      <c r="R65">
        <v>91359</v>
      </c>
    </row>
  </sheetData>
  <sheetProtection algorithmName="SHA-512" hashValue="Tb7fnXk23T6omLqzlrpIEcrJYrZlr1+8PqboZq9RXFA41ZOaP/vBZB0gQIvyRR1T6NNhgllknR0M7jHt4ZfECA==" saltValue="Hq+RNbK10SxtBPxbOT4l6Q==" spinCount="100000" sheet="1" objects="1" scenarios="1" selectLockedCells="1"/>
  <mergeCells count="87">
    <mergeCell ref="K16:L16"/>
    <mergeCell ref="K18:L18"/>
    <mergeCell ref="K33:L33"/>
    <mergeCell ref="M33:N33"/>
    <mergeCell ref="G36:G39"/>
    <mergeCell ref="H36:J36"/>
    <mergeCell ref="I23:J23"/>
    <mergeCell ref="I24:J24"/>
    <mergeCell ref="I25:J25"/>
    <mergeCell ref="G21:N21"/>
    <mergeCell ref="H20:L20"/>
    <mergeCell ref="Q61:R61"/>
    <mergeCell ref="K38:L38"/>
    <mergeCell ref="M38:N38"/>
    <mergeCell ref="H39:J39"/>
    <mergeCell ref="K39:L39"/>
    <mergeCell ref="M39:N39"/>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B40:E40"/>
    <mergeCell ref="B39:C39"/>
    <mergeCell ref="B38:C38"/>
    <mergeCell ref="B34:C34"/>
    <mergeCell ref="M36:N36"/>
    <mergeCell ref="B37:C37"/>
    <mergeCell ref="B35:C35"/>
    <mergeCell ref="B36:C36"/>
    <mergeCell ref="H37:J37"/>
    <mergeCell ref="K37:L37"/>
    <mergeCell ref="K36:L36"/>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B9:C9"/>
    <mergeCell ref="B10:C10"/>
    <mergeCell ref="B21:C21"/>
    <mergeCell ref="I8:J8"/>
    <mergeCell ref="E10:E11"/>
    <mergeCell ref="B12:E12"/>
    <mergeCell ref="B13:C13"/>
    <mergeCell ref="B14:C14"/>
    <mergeCell ref="D21:E21"/>
    <mergeCell ref="H15:J15"/>
    <mergeCell ref="H16:J16"/>
  </mergeCells>
  <conditionalFormatting sqref="B19">
    <cfRule type="expression" dxfId="116" priority="1639">
      <formula>D14+E14=0</formula>
    </cfRule>
    <cfRule type="expression" dxfId="115" priority="1640">
      <formula>D19="Ja"</formula>
    </cfRule>
  </conditionalFormatting>
  <conditionalFormatting sqref="B39">
    <cfRule type="expression" dxfId="114" priority="144">
      <formula>$D$30=0</formula>
    </cfRule>
    <cfRule type="expression" dxfId="113" priority="150">
      <formula>D39="Ja"</formula>
    </cfRule>
    <cfRule type="expression" dxfId="112" priority="149">
      <formula>D39="Nein, § 51 IV"</formula>
    </cfRule>
  </conditionalFormatting>
  <conditionalFormatting sqref="B7:E7">
    <cfRule type="expression" dxfId="111" priority="127">
      <formula>$D$6="nein"</formula>
    </cfRule>
  </conditionalFormatting>
  <conditionalFormatting sqref="C8">
    <cfRule type="expression" dxfId="110" priority="21">
      <formula>AND(Dat_EzE&gt;0,$D$8=0)</formula>
    </cfRule>
  </conditionalFormatting>
  <conditionalFormatting sqref="D5">
    <cfRule type="expression" dxfId="109" priority="143">
      <formula>$D$5=""</formula>
    </cfRule>
  </conditionalFormatting>
  <conditionalFormatting sqref="D8">
    <cfRule type="expression" dxfId="108" priority="10">
      <formula>AND($D$8="",Dat_EzE=0)</formula>
    </cfRule>
  </conditionalFormatting>
  <conditionalFormatting sqref="D9">
    <cfRule type="expression" dxfId="107" priority="108">
      <formula>$R$2=NV</formula>
    </cfRule>
  </conditionalFormatting>
  <conditionalFormatting sqref="D14">
    <cfRule type="expression" dxfId="106" priority="9">
      <formula>$D$11="nein"</formula>
    </cfRule>
    <cfRule type="expression" dxfId="105" priority="753">
      <formula>AND(C8&lt;&gt;"",$D$14="")</formula>
    </cfRule>
    <cfRule type="expression" dxfId="104" priority="752">
      <formula>C8=""</formula>
    </cfRule>
  </conditionalFormatting>
  <conditionalFormatting sqref="D15">
    <cfRule type="expression" dxfId="103" priority="767">
      <formula>C8=""</formula>
    </cfRule>
    <cfRule type="expression" dxfId="102" priority="766">
      <formula>AND(C8&lt;&gt;"",E14="",D15="")</formula>
    </cfRule>
    <cfRule type="expression" dxfId="101" priority="765">
      <formula>E14&gt;0</formula>
    </cfRule>
  </conditionalFormatting>
  <conditionalFormatting sqref="D16">
    <cfRule type="expression" dxfId="100" priority="6">
      <formula>$D$11="nein"</formula>
    </cfRule>
  </conditionalFormatting>
  <conditionalFormatting sqref="D19">
    <cfRule type="expression" dxfId="99" priority="160">
      <formula>D19="Ja"</formula>
    </cfRule>
    <cfRule type="expression" dxfId="98" priority="156">
      <formula>D19="Nein"</formula>
    </cfRule>
    <cfRule type="expression" dxfId="97" priority="139">
      <formula>D14+E14=0</formula>
    </cfRule>
  </conditionalFormatting>
  <conditionalFormatting sqref="D23">
    <cfRule type="expression" dxfId="96" priority="761">
      <formula>C8=""</formula>
    </cfRule>
    <cfRule type="expression" dxfId="95" priority="760">
      <formula>AND(C8&lt;&gt;"",D23="")</formula>
    </cfRule>
  </conditionalFormatting>
  <conditionalFormatting sqref="D27">
    <cfRule type="expression" dxfId="94" priority="147">
      <formula>$D$23+$E$23=0</formula>
    </cfRule>
    <cfRule type="expression" dxfId="93" priority="152">
      <formula>D27="Nein"</formula>
    </cfRule>
  </conditionalFormatting>
  <conditionalFormatting sqref="D30">
    <cfRule type="expression" dxfId="92" priority="757">
      <formula>AND(D30="",C8&gt;0)</formula>
    </cfRule>
    <cfRule type="expression" dxfId="91" priority="756">
      <formula>C8=""</formula>
    </cfRule>
  </conditionalFormatting>
  <conditionalFormatting sqref="D31">
    <cfRule type="expression" dxfId="90" priority="759">
      <formula>D31=""</formula>
    </cfRule>
    <cfRule type="expression" dxfId="89" priority="758">
      <formula>C8=""</formula>
    </cfRule>
  </conditionalFormatting>
  <conditionalFormatting sqref="D39">
    <cfRule type="expression" dxfId="88" priority="145">
      <formula>OR(D39="Nein, § 51 IV",D39="Nein")</formula>
    </cfRule>
    <cfRule type="expression" dxfId="87" priority="151">
      <formula>$D$30=0</formula>
    </cfRule>
  </conditionalFormatting>
  <conditionalFormatting sqref="D27:E27">
    <cfRule type="expression" dxfId="86" priority="153">
      <formula>D27="Ja"</formula>
    </cfRule>
  </conditionalFormatting>
  <conditionalFormatting sqref="D39:E39">
    <cfRule type="expression" dxfId="85" priority="148">
      <formula>D39="Ja"</formula>
    </cfRule>
  </conditionalFormatting>
  <conditionalFormatting sqref="E14">
    <cfRule type="expression" dxfId="84" priority="764">
      <formula>AND(C8&lt;&gt;"",$E$14="")</formula>
    </cfRule>
    <cfRule type="expression" dxfId="83" priority="763">
      <formula>E8=""</formula>
    </cfRule>
    <cfRule type="expression" dxfId="82" priority="8">
      <formula>$D$11="nein"</formula>
    </cfRule>
    <cfRule type="expression" dxfId="81" priority="762">
      <formula>D15&gt;0</formula>
    </cfRule>
  </conditionalFormatting>
  <conditionalFormatting sqref="E17:E18">
    <cfRule type="expression" dxfId="80" priority="1">
      <formula>E17="unterschritten"</formula>
    </cfRule>
    <cfRule type="expression" dxfId="79" priority="2">
      <formula>E17="überschritten"</formula>
    </cfRule>
  </conditionalFormatting>
  <conditionalFormatting sqref="E23">
    <cfRule type="expression" dxfId="78" priority="755">
      <formula>AND(F8&lt;&gt;"",E23="")</formula>
    </cfRule>
    <cfRule type="expression" dxfId="77" priority="754">
      <formula>C8=""</formula>
    </cfRule>
  </conditionalFormatting>
  <conditionalFormatting sqref="F2:G3">
    <cfRule type="expression" dxfId="76" priority="739">
      <formula>OR(D5=0,C8=0)</formula>
    </cfRule>
  </conditionalFormatting>
  <conditionalFormatting sqref="G2:N2 G3:I3 H6:N14 K15:N16 K3:N3 M23:N31 G4:J4 M4:N4 G5:N5 H15:H17 K17:M17 G22:N22 H23:I25 H26:J31 H32:N33 H34:L35">
    <cfRule type="expression" dxfId="75" priority="740">
      <formula>$C$8=""</formula>
    </cfRule>
  </conditionalFormatting>
  <conditionalFormatting sqref="H18:N20">
    <cfRule type="expression" dxfId="74" priority="770">
      <formula>OR($C$8="",$D$11="nein")</formula>
    </cfRule>
  </conditionalFormatting>
  <conditionalFormatting sqref="K3">
    <cfRule type="expression" dxfId="73" priority="20">
      <formula>AND(Dat_GebDat_M&lt;&gt;"",K4=0)</formula>
    </cfRule>
  </conditionalFormatting>
  <conditionalFormatting sqref="K23">
    <cfRule type="expression" dxfId="72" priority="46">
      <formula>AND($Q23&lt;&gt;0,OR(ABS($K$23/$K$6-1)&lt;0.05,ABS($Q23)/2&lt;$S$16))</formula>
    </cfRule>
    <cfRule type="expression" dxfId="71" priority="45">
      <formula>AND($Q23&lt;&gt;0,ABS($K$23/$K$6-1)&gt;=0.05,ABS($Q23)/2&gt;=$S$16)</formula>
    </cfRule>
  </conditionalFormatting>
  <conditionalFormatting sqref="K24">
    <cfRule type="expression" dxfId="70" priority="48">
      <formula>AND($Q24&lt;&gt;0,OR(ABS($K$24/$K$7-1)&lt;0.05,ABS($Q24)/2&lt;$S$16))</formula>
    </cfRule>
    <cfRule type="expression" dxfId="69" priority="47">
      <formula>AND($Q24&lt;&gt;0,ABS($K$24/$K$7-1)&gt;=0.05,ABS($Q24)/2&gt;=$S$16)</formula>
    </cfRule>
  </conditionalFormatting>
  <conditionalFormatting sqref="K25">
    <cfRule type="expression" dxfId="68" priority="50">
      <formula>AND($Q25&lt;&gt;0,OR(ABS($K$25/$K$8-1)&lt;0.05,ABS($Q25)/2&lt;$S$16))</formula>
    </cfRule>
    <cfRule type="expression" dxfId="67" priority="49">
      <formula>AND($Q25&lt;&gt;0,ABS($K$25/$K$8-1)&gt;=0.05,ABS($Q25)/2&gt;=$S$16)</formula>
    </cfRule>
  </conditionalFormatting>
  <conditionalFormatting sqref="K26">
    <cfRule type="expression" dxfId="66" priority="51">
      <formula>AND($Q26&lt;&gt;0,ABS($K$26/$K$9-1)&gt;=0.05,ABS($Q26)/2&gt;=$S$16)</formula>
    </cfRule>
    <cfRule type="expression" dxfId="65" priority="52">
      <formula>AND($Q26&lt;&gt;0,OR(ABS($K$26/$K$9-1)&lt;0.05,ABS($Q26)/2&lt;$S$16))</formula>
    </cfRule>
  </conditionalFormatting>
  <conditionalFormatting sqref="K27">
    <cfRule type="expression" dxfId="64" priority="54">
      <formula>AND($Q27&lt;&gt;0,OR(ABS($K$27/$K$10-1)&lt;0.05,ABS($Q27)/2&lt;$S$16))</formula>
    </cfRule>
    <cfRule type="expression" dxfId="63" priority="53">
      <formula>AND($Q27&lt;&gt;0,ABS($K$27/$K$10-1)&gt;=0.05,ABS($Q27)/2&gt;=$S$16)</formula>
    </cfRule>
  </conditionalFormatting>
  <conditionalFormatting sqref="K28">
    <cfRule type="expression" dxfId="62" priority="657">
      <formula>AND($Q28&lt;&gt;0,OR(ABS($K$28/$K$11-1)&lt;0.05,ABS($Q28)/2&lt;$S$16))</formula>
    </cfRule>
    <cfRule type="expression" dxfId="61" priority="656">
      <formula>AND($Q28&lt;&gt;0,ABS($K$28/$K$11-1)&gt;=0.05,ABS($Q28)/2&gt;=$S$16)</formula>
    </cfRule>
  </conditionalFormatting>
  <conditionalFormatting sqref="K29:K30">
    <cfRule type="expression" dxfId="60" priority="42">
      <formula>AND($Q29&lt;&gt;0,OR(ABS($K29/$K$11-1)&lt;0.05,ABS($Q29)/2&lt;$S$16))</formula>
    </cfRule>
  </conditionalFormatting>
  <conditionalFormatting sqref="K29:K31">
    <cfRule type="expression" dxfId="59" priority="39">
      <formula>AND($Q29&lt;&gt;0,ABS($K29/$K12-1)&gt;=0.05,ABS($Q29)/2&gt;=$S$16)</formula>
    </cfRule>
  </conditionalFormatting>
  <conditionalFormatting sqref="K31">
    <cfRule type="expression" dxfId="58" priority="40">
      <formula>AND($Q31&lt;&gt;0,OR(ABS($K31/$K$14-1)&lt;0.05,ABS($Q31)/2&lt;$S$16))</formula>
    </cfRule>
  </conditionalFormatting>
  <conditionalFormatting sqref="K4:L4">
    <cfRule type="expression" dxfId="57" priority="17">
      <formula>AND(K3=0,K4=0)</formula>
    </cfRule>
  </conditionalFormatting>
  <conditionalFormatting sqref="K23:L31">
    <cfRule type="expression" dxfId="56" priority="773">
      <formula>$C$8=""</formula>
    </cfRule>
  </conditionalFormatting>
  <conditionalFormatting sqref="K39:N39">
    <cfRule type="expression" dxfId="55" priority="99">
      <formula>K39="möglich"</formula>
    </cfRule>
    <cfRule type="expression" dxfId="54" priority="100">
      <formula>K39="unmöglich"</formula>
    </cfRule>
  </conditionalFormatting>
  <conditionalFormatting sqref="L3">
    <cfRule type="expression" dxfId="53" priority="19">
      <formula>AND(Dat_GebDat_F&lt;&gt;"",L4=0)</formula>
    </cfRule>
  </conditionalFormatting>
  <conditionalFormatting sqref="L23:L31">
    <cfRule type="expression" dxfId="52" priority="24">
      <formula>AND($R23&lt;&gt;0,ABS($L23/$L6-1)&gt;=0.05,ABS($R23)/2&gt;=$S$16)</formula>
    </cfRule>
    <cfRule type="expression" dxfId="51" priority="23">
      <formula>AND($R23&lt;&gt;0,OR(ABS($L23/$L6-1)&lt;0.05,ABS($R23)/2&lt;$S$16))</formula>
    </cfRule>
  </conditionalFormatting>
  <conditionalFormatting sqref="M6:M15">
    <cfRule type="expression" dxfId="50" priority="130">
      <formula>M6="nein"</formula>
    </cfRule>
    <cfRule type="expression" dxfId="49" priority="129">
      <formula>M6="ja"</formula>
    </cfRule>
  </conditionalFormatting>
  <conditionalFormatting sqref="M8:N8">
    <cfRule type="expression" dxfId="48" priority="134">
      <formula>M8="nein"</formula>
    </cfRule>
    <cfRule type="expression" dxfId="47" priority="133">
      <formula>M8="ja"</formula>
    </cfRule>
  </conditionalFormatting>
  <conditionalFormatting sqref="M23:N31">
    <cfRule type="expression" dxfId="46" priority="12">
      <formula>M23="nein"</formula>
    </cfRule>
    <cfRule type="expression" dxfId="45" priority="11">
      <formula>M23="ja"</formula>
    </cfRule>
  </conditionalFormatting>
  <conditionalFormatting sqref="N6:N14">
    <cfRule type="expression" dxfId="44" priority="132">
      <formula>N6="nein"</formula>
    </cfRule>
    <cfRule type="expression" dxfId="43" priority="131">
      <formula>N6="ja"</formula>
    </cfRule>
  </conditionalFormatting>
  <conditionalFormatting sqref="U4:AD18">
    <cfRule type="expression" dxfId="42" priority="772">
      <formula>$U4&lt;$C$8</formula>
    </cfRule>
  </conditionalFormatting>
  <dataValidations disablePrompts="1"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561975</xdr:colOff>
                    <xdr:row>4</xdr:row>
                    <xdr:rowOff>28575</xdr:rowOff>
                  </from>
                  <to>
                    <xdr:col>12</xdr:col>
                    <xdr:colOff>561975</xdr:colOff>
                    <xdr:row>4</xdr:row>
                    <xdr:rowOff>180975</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104775</xdr:colOff>
                    <xdr:row>2</xdr:row>
                    <xdr:rowOff>142875</xdr:rowOff>
                  </from>
                  <to>
                    <xdr:col>13</xdr:col>
                    <xdr:colOff>66675</xdr:colOff>
                    <xdr:row>3</xdr:row>
                    <xdr:rowOff>142875</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3571875</xdr:colOff>
                    <xdr:row>13</xdr:row>
                    <xdr:rowOff>0</xdr:rowOff>
                  </from>
                  <to>
                    <xdr:col>2</xdr:col>
                    <xdr:colOff>523875</xdr:colOff>
                    <xdr:row>13</xdr:row>
                    <xdr:rowOff>180975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6" sqref="J26"/>
    </sheetView>
  </sheetViews>
  <sheetFormatPr baseColWidth="10" defaultColWidth="0" defaultRowHeight="14.25" zeroHeight="1"/>
  <cols>
    <col min="1" max="7" width="10.625" hidden="1" customWidth="1"/>
    <col min="8" max="8" width="2" customWidth="1"/>
    <col min="9" max="9" width="45.125" customWidth="1"/>
    <col min="10" max="12" width="14.625" customWidth="1"/>
    <col min="13" max="13" width="2.125" customWidth="1"/>
    <col min="14" max="14" width="9" hidden="1" customWidth="1"/>
    <col min="15" max="15" width="9.625" hidden="1" customWidth="1"/>
    <col min="16" max="16" width="10.125" hidden="1" customWidth="1"/>
    <col min="17" max="17" width="6.125" hidden="1" customWidth="1"/>
    <col min="18" max="18" width="8.625" hidden="1" customWidth="1"/>
    <col min="19" max="19" width="6.125" style="4" hidden="1" customWidth="1"/>
    <col min="20" max="20" width="15.625" style="4" hidden="1" customWidth="1"/>
    <col min="21" max="21" width="1.125" hidden="1" customWidth="1"/>
    <col min="22" max="22" width="10.625" hidden="1" customWidth="1"/>
    <col min="23" max="23" width="11.5" hidden="1" customWidth="1"/>
    <col min="24" max="24" width="10.625" hidden="1" customWidth="1"/>
    <col min="25" max="25" width="11.625" hidden="1" customWidth="1"/>
    <col min="26" max="26" width="11.625" style="405" hidden="1" customWidth="1"/>
    <col min="27" max="29" width="11.625" hidden="1" customWidth="1"/>
    <col min="30" max="16384" width="10.625" hidden="1"/>
  </cols>
  <sheetData>
    <row r="1" spans="1:23" hidden="1">
      <c r="A1" s="25"/>
      <c r="B1" s="25"/>
      <c r="C1" s="25"/>
      <c r="D1" s="25"/>
      <c r="E1" s="25"/>
      <c r="F1" s="25"/>
      <c r="G1" s="25"/>
      <c r="H1" s="25"/>
      <c r="I1" s="25"/>
      <c r="J1" s="25"/>
      <c r="K1" s="25"/>
      <c r="L1" s="25"/>
      <c r="M1" s="25"/>
    </row>
    <row r="2" spans="1:23" ht="20.25" hidden="1" customHeight="1">
      <c r="A2" s="2771"/>
      <c r="B2" s="2771"/>
      <c r="C2" s="2771"/>
      <c r="D2" s="2771"/>
      <c r="E2" s="2771"/>
      <c r="F2" s="2771"/>
      <c r="G2" s="2771"/>
      <c r="H2" s="2771"/>
      <c r="I2" s="458"/>
      <c r="J2" s="458"/>
      <c r="K2" s="458"/>
      <c r="L2" s="458"/>
      <c r="M2" s="458"/>
      <c r="N2" s="458"/>
      <c r="O2" s="458"/>
      <c r="P2" s="458"/>
      <c r="Q2" s="458"/>
      <c r="R2" s="458"/>
      <c r="S2" s="458"/>
      <c r="T2" s="458"/>
      <c r="U2" s="2273"/>
    </row>
    <row r="3" spans="1:23" ht="17.25" hidden="1" customHeight="1">
      <c r="A3" s="2771"/>
      <c r="B3" s="2771"/>
      <c r="C3" s="2771"/>
      <c r="D3" s="2771"/>
      <c r="E3" s="2771"/>
      <c r="F3" s="2771"/>
      <c r="G3" s="2771"/>
      <c r="H3" s="2771"/>
      <c r="I3" s="458"/>
      <c r="J3" s="458"/>
      <c r="K3" s="458"/>
      <c r="L3" s="458"/>
      <c r="M3" s="458"/>
      <c r="N3" s="458"/>
      <c r="O3" s="458"/>
      <c r="P3" s="458"/>
      <c r="Q3" s="458"/>
      <c r="R3" s="458"/>
      <c r="S3" s="458"/>
      <c r="T3" s="458"/>
      <c r="U3" s="2273"/>
    </row>
    <row r="4" spans="1:23" ht="17.25" hidden="1" customHeight="1">
      <c r="A4" s="2771"/>
      <c r="B4" s="2771"/>
      <c r="C4" s="2771"/>
      <c r="D4" s="2771"/>
      <c r="E4" s="2771"/>
      <c r="F4" s="2771"/>
      <c r="G4" s="2771"/>
      <c r="H4" s="2771"/>
      <c r="I4" s="458"/>
      <c r="J4" s="458"/>
      <c r="K4" s="458"/>
      <c r="L4" s="458"/>
      <c r="M4" s="458"/>
      <c r="N4" s="458"/>
      <c r="O4" s="458"/>
      <c r="P4" s="458"/>
      <c r="Q4" s="458"/>
      <c r="R4" s="458"/>
      <c r="S4" s="458"/>
      <c r="T4" s="458"/>
      <c r="U4" s="2273"/>
    </row>
    <row r="5" spans="1:23" ht="17.25" hidden="1" customHeight="1">
      <c r="A5" s="2771"/>
      <c r="B5" s="2771"/>
      <c r="C5" s="2771"/>
      <c r="D5" s="2771"/>
      <c r="E5" s="2771"/>
      <c r="F5" s="2771"/>
      <c r="G5" s="2771"/>
      <c r="H5" s="2771"/>
      <c r="I5" s="458"/>
      <c r="J5" s="458"/>
      <c r="K5" s="458"/>
      <c r="L5" s="458"/>
      <c r="M5" s="458"/>
      <c r="N5" s="458"/>
      <c r="O5" s="458"/>
      <c r="P5" s="458"/>
      <c r="Q5" s="458"/>
      <c r="R5" s="458"/>
      <c r="S5" s="458"/>
      <c r="T5" s="458"/>
      <c r="U5" s="2273"/>
    </row>
    <row r="6" spans="1:23" ht="17.25" hidden="1" customHeight="1">
      <c r="A6" s="2771"/>
      <c r="B6" s="2771"/>
      <c r="C6" s="2771"/>
      <c r="D6" s="2771"/>
      <c r="E6" s="2771"/>
      <c r="F6" s="2771"/>
      <c r="G6" s="2771"/>
      <c r="H6" s="2771"/>
      <c r="I6" s="458"/>
      <c r="J6" s="458"/>
      <c r="K6" s="458"/>
      <c r="L6" s="458"/>
      <c r="M6" s="458"/>
      <c r="N6" s="458"/>
      <c r="O6" s="458"/>
      <c r="P6" s="458"/>
      <c r="Q6" s="458"/>
      <c r="R6" s="458"/>
      <c r="S6" s="458"/>
      <c r="T6" s="458"/>
      <c r="U6" s="2273"/>
    </row>
    <row r="7" spans="1:23" ht="14.1" hidden="1" customHeight="1">
      <c r="H7" s="25"/>
      <c r="I7" s="458"/>
      <c r="J7" s="458"/>
      <c r="K7" s="458"/>
      <c r="L7" s="458"/>
      <c r="M7" s="458"/>
      <c r="N7" s="458"/>
      <c r="O7" s="458"/>
      <c r="P7" s="458"/>
      <c r="Q7" s="458"/>
      <c r="R7" s="458"/>
      <c r="S7" s="458"/>
      <c r="T7" s="458"/>
      <c r="U7" s="2273"/>
    </row>
    <row r="8" spans="1:23" ht="18.75" hidden="1" customHeight="1">
      <c r="H8" s="25"/>
      <c r="I8" s="458"/>
      <c r="J8" s="458"/>
      <c r="K8" s="458"/>
      <c r="L8" s="458"/>
      <c r="M8" s="458"/>
      <c r="N8" s="458"/>
      <c r="O8" s="458"/>
      <c r="P8" s="458"/>
      <c r="Q8" s="458"/>
      <c r="R8" s="458"/>
      <c r="S8" s="458"/>
      <c r="T8" s="458"/>
    </row>
    <row r="9" spans="1:23" ht="18.75" hidden="1" customHeight="1">
      <c r="H9" s="25"/>
      <c r="I9" s="458"/>
      <c r="J9" s="458"/>
      <c r="K9" s="458"/>
      <c r="L9" s="458"/>
      <c r="M9" s="458"/>
      <c r="N9" s="458"/>
      <c r="O9" s="458"/>
      <c r="P9" s="458"/>
      <c r="Q9" s="458"/>
      <c r="R9" s="458"/>
      <c r="S9" s="458"/>
      <c r="T9" s="458"/>
    </row>
    <row r="10" spans="1:23" ht="18" hidden="1" customHeight="1">
      <c r="H10" s="25"/>
      <c r="I10" s="458"/>
      <c r="J10" s="458"/>
      <c r="K10" s="458"/>
      <c r="L10" s="458"/>
      <c r="M10" s="458"/>
      <c r="N10" s="458"/>
      <c r="O10" s="458"/>
      <c r="P10" s="458"/>
      <c r="Q10" s="458"/>
      <c r="R10" s="458"/>
      <c r="S10" s="458"/>
      <c r="T10" s="458"/>
    </row>
    <row r="11" spans="1:23" ht="23.1" hidden="1" customHeight="1">
      <c r="H11" s="25"/>
      <c r="I11" s="458"/>
      <c r="J11" s="458"/>
      <c r="K11" s="458"/>
      <c r="L11" s="458"/>
      <c r="M11" s="458"/>
      <c r="N11" s="458"/>
      <c r="O11" s="458"/>
      <c r="P11" s="458"/>
      <c r="Q11" s="458"/>
      <c r="R11" s="458"/>
      <c r="S11" s="458"/>
      <c r="T11" s="458"/>
      <c r="V11" s="3452"/>
    </row>
    <row r="12" spans="1:23" ht="14.25" hidden="1" customHeight="1">
      <c r="H12" s="25"/>
      <c r="I12" s="458"/>
      <c r="J12" s="458"/>
      <c r="K12" s="458"/>
      <c r="L12" s="458"/>
      <c r="M12" s="458"/>
      <c r="N12" s="458"/>
      <c r="O12" s="458"/>
      <c r="P12" s="458"/>
      <c r="Q12" s="458"/>
      <c r="R12" s="458"/>
      <c r="S12" s="458"/>
      <c r="T12" s="458"/>
      <c r="V12" s="3452"/>
    </row>
    <row r="13" spans="1:23" ht="14.1" hidden="1" customHeight="1">
      <c r="H13" s="25"/>
      <c r="I13" s="458"/>
      <c r="J13" s="458"/>
      <c r="K13" s="458"/>
      <c r="L13" s="458"/>
      <c r="M13" s="458"/>
      <c r="N13" s="458"/>
      <c r="O13" s="458"/>
      <c r="P13" s="458"/>
      <c r="Q13" s="458"/>
      <c r="R13" s="458"/>
      <c r="S13" s="458"/>
      <c r="T13" s="458"/>
      <c r="V13" s="3452"/>
      <c r="W13" s="146"/>
    </row>
    <row r="14" spans="1:23" ht="14.25" hidden="1" customHeight="1">
      <c r="H14" s="25"/>
      <c r="I14" s="458"/>
      <c r="J14" s="458"/>
      <c r="K14" s="458"/>
      <c r="L14" s="458"/>
      <c r="M14" s="458"/>
      <c r="N14" s="458"/>
      <c r="O14" s="458"/>
      <c r="P14" s="458"/>
      <c r="Q14" s="458"/>
      <c r="R14" s="458"/>
      <c r="S14" s="458"/>
      <c r="T14" s="458"/>
      <c r="W14" s="146"/>
    </row>
    <row r="15" spans="1:23" ht="14.25" hidden="1" customHeight="1">
      <c r="H15" s="25"/>
      <c r="I15" s="458"/>
      <c r="J15" s="458"/>
      <c r="K15" s="458"/>
      <c r="L15" s="458"/>
      <c r="M15" s="458"/>
      <c r="N15" s="458"/>
      <c r="O15" s="458"/>
      <c r="P15" s="458"/>
      <c r="Q15" s="458"/>
      <c r="R15" s="458"/>
      <c r="S15" s="458"/>
      <c r="T15" s="458"/>
      <c r="W15" s="146"/>
    </row>
    <row r="16" spans="1:23" ht="14.1" hidden="1" customHeight="1">
      <c r="H16" s="25"/>
      <c r="I16" s="458"/>
      <c r="J16" s="458"/>
      <c r="K16" s="458"/>
      <c r="L16" s="458"/>
      <c r="M16" s="458"/>
      <c r="N16" s="458"/>
      <c r="O16" s="458"/>
      <c r="P16" s="458"/>
      <c r="Q16" s="458"/>
      <c r="R16" s="458"/>
      <c r="S16" s="458"/>
      <c r="T16" s="458"/>
      <c r="W16" s="146"/>
    </row>
    <row r="17" spans="1:26" s="403" customFormat="1" ht="28.5" hidden="1" customHeight="1">
      <c r="H17" s="407"/>
      <c r="I17" s="458"/>
      <c r="J17" s="458"/>
      <c r="K17" s="458"/>
      <c r="L17" s="458"/>
      <c r="M17" s="458"/>
      <c r="N17" s="458"/>
      <c r="Q17" s="458"/>
      <c r="R17" s="458"/>
      <c r="S17" s="458"/>
      <c r="T17" s="458"/>
      <c r="Z17" s="406"/>
    </row>
    <row r="18" spans="1:26" s="403" customFormat="1" ht="28.5" hidden="1" customHeight="1" thickBot="1">
      <c r="H18" s="407"/>
      <c r="I18" s="458"/>
      <c r="J18" s="458"/>
      <c r="K18" s="458"/>
      <c r="L18" s="458"/>
      <c r="M18" s="458"/>
      <c r="N18" s="458"/>
      <c r="O18" s="458"/>
      <c r="P18" s="458"/>
      <c r="Q18" s="458"/>
      <c r="R18" s="458"/>
      <c r="S18" s="458"/>
      <c r="T18" s="458"/>
      <c r="Z18" s="406"/>
    </row>
    <row r="19" spans="1:26" ht="14.25" hidden="1" customHeight="1">
      <c r="A19" s="25"/>
      <c r="B19" s="25"/>
      <c r="C19" s="25"/>
      <c r="D19" s="25"/>
      <c r="E19" s="25"/>
      <c r="F19" s="25"/>
      <c r="G19" s="25"/>
      <c r="H19" s="25"/>
      <c r="I19" s="3457" t="s">
        <v>550</v>
      </c>
      <c r="J19" s="3458"/>
      <c r="K19" s="923"/>
      <c r="L19" s="924"/>
      <c r="M19" s="25"/>
    </row>
    <row r="20" spans="1:26" ht="14.1" customHeight="1">
      <c r="A20" s="25"/>
      <c r="B20" s="25"/>
      <c r="C20" s="25"/>
      <c r="D20" s="25"/>
      <c r="E20" s="25"/>
      <c r="F20" s="25"/>
      <c r="G20" s="25"/>
      <c r="H20" s="25"/>
      <c r="I20" s="2921"/>
      <c r="J20" s="3459"/>
      <c r="K20" s="3462" t="s">
        <v>1032</v>
      </c>
      <c r="L20" s="3463"/>
      <c r="M20" s="25"/>
    </row>
    <row r="21" spans="1:26" ht="14.25" customHeight="1" thickBot="1">
      <c r="A21" s="25"/>
      <c r="B21" s="25"/>
      <c r="C21" s="25"/>
      <c r="D21" s="25"/>
      <c r="E21" s="25"/>
      <c r="F21" s="25"/>
      <c r="G21" s="25"/>
      <c r="H21" s="25"/>
      <c r="I21" s="3460"/>
      <c r="J21" s="3461"/>
      <c r="K21" s="3455" t="s">
        <v>1031</v>
      </c>
      <c r="L21" s="3456"/>
      <c r="M21" s="25"/>
    </row>
    <row r="22" spans="1:26">
      <c r="A22" s="25"/>
      <c r="B22" s="25"/>
      <c r="C22" s="25"/>
      <c r="D22" s="25"/>
      <c r="E22" s="25"/>
      <c r="F22" s="25"/>
      <c r="G22" s="25"/>
      <c r="H22" s="25"/>
      <c r="I22" s="1037" t="s">
        <v>552</v>
      </c>
      <c r="J22" s="1202"/>
      <c r="K22" s="3464"/>
      <c r="L22" s="3465"/>
      <c r="M22" s="25"/>
      <c r="N22" t="s">
        <v>1231</v>
      </c>
      <c r="O22" s="15" t="b">
        <v>0</v>
      </c>
      <c r="P22">
        <f>IF(EPOst=FALSE,0,1)</f>
        <v>0</v>
      </c>
      <c r="V22" s="58"/>
      <c r="X22" s="149"/>
      <c r="Y22" s="404"/>
    </row>
    <row r="23" spans="1:26" ht="15">
      <c r="A23" s="25"/>
      <c r="B23" s="25"/>
      <c r="C23" s="25"/>
      <c r="D23" s="25"/>
      <c r="E23" s="25"/>
      <c r="F23" s="25"/>
      <c r="G23" s="25"/>
      <c r="H23" s="25"/>
      <c r="I23" s="1035" t="str">
        <f>IF(AND(J23="",AufZinsEzE=""),"Ehezeitende eingeben",IF(AND(J23="",AufZinsEzE&gt;0),"Ehezeitende aus Fallerfassung übernommen","Ehezeitende"))</f>
        <v>Ehezeitende eingeben</v>
      </c>
      <c r="J23" s="1320"/>
      <c r="K23" s="1218" t="str">
        <f>IF(J23="",IF(Dat_EzE&gt;1,Dat_EzE,""),Verzinsung!J23)</f>
        <v/>
      </c>
      <c r="L23" s="1219"/>
      <c r="M23" s="25"/>
      <c r="N23" t="s">
        <v>1456</v>
      </c>
      <c r="O23" s="1063">
        <f>IFERROR(VLOOKUP(K23,IF(Vertins_BilMoG10,BilMoG10,BilmoGZins),16)/100,0.055)</f>
        <v>5.5E-2</v>
      </c>
      <c r="P23" s="3466" t="b">
        <v>0</v>
      </c>
      <c r="V23" s="58"/>
      <c r="X23" s="149"/>
      <c r="Y23" s="404"/>
    </row>
    <row r="24" spans="1:26">
      <c r="A24" s="25"/>
      <c r="B24" s="25"/>
      <c r="C24" s="25"/>
      <c r="D24" s="25"/>
      <c r="E24" s="25"/>
      <c r="F24" s="25"/>
      <c r="G24" s="25"/>
      <c r="H24" s="25"/>
      <c r="I24" s="1036" t="s">
        <v>544</v>
      </c>
      <c r="J24" s="350"/>
      <c r="K24" s="430"/>
      <c r="L24" s="431" t="str">
        <f>IFERROR(VLOOKUP(IF(J23&gt;0,J23,K23),IF(Vertins_BilMoG10,BilMoG10,BilmoGZins),16)/100,"")</f>
        <v/>
      </c>
      <c r="M24" s="25"/>
      <c r="N24" t="s">
        <v>1455</v>
      </c>
      <c r="O24" s="146">
        <f>IFERROR(IF(J14&gt;0,J14,VLOOKUP(K23,BilMoG10,16)/100),0.055)</f>
        <v>5.5E-2</v>
      </c>
      <c r="P24" s="3466"/>
      <c r="V24" s="58"/>
      <c r="X24" s="149"/>
      <c r="Y24" s="404"/>
    </row>
    <row r="25" spans="1:26">
      <c r="A25" s="25"/>
      <c r="B25" s="25"/>
      <c r="C25" s="25"/>
      <c r="D25" s="25"/>
      <c r="E25" s="25"/>
      <c r="F25" s="25"/>
      <c r="G25" s="25"/>
      <c r="H25" s="25"/>
      <c r="I25" s="1263" t="str">
        <f>"BilMoG-"&amp;IF(Vertins_BilMoG10,"10","7")&amp;"-Zins zum Ehezeitende:"</f>
        <v>BilMoG-7-Zins zum Ehezeitende:</v>
      </c>
      <c r="J25" s="1262" t="str">
        <f>IF(J26&gt;0,J26,L24)</f>
        <v/>
      </c>
      <c r="K25" s="3435"/>
      <c r="L25" s="3436"/>
      <c r="M25" s="25"/>
      <c r="V25" s="58"/>
      <c r="X25" s="149"/>
      <c r="Y25" s="404"/>
    </row>
    <row r="26" spans="1:26">
      <c r="A26" s="25"/>
      <c r="B26" s="25"/>
      <c r="C26" s="25"/>
      <c r="D26" s="25"/>
      <c r="E26" s="25"/>
      <c r="F26" s="25"/>
      <c r="G26" s="25"/>
      <c r="H26" s="25"/>
      <c r="I26" s="732" t="s">
        <v>549</v>
      </c>
      <c r="J26" s="432"/>
      <c r="K26" s="3439"/>
      <c r="L26" s="3440"/>
      <c r="M26" s="25"/>
      <c r="V26" s="58"/>
      <c r="X26" s="149"/>
      <c r="Y26" s="404"/>
    </row>
    <row r="27" spans="1:26">
      <c r="A27" s="25"/>
      <c r="B27" s="25"/>
      <c r="C27" s="25"/>
      <c r="D27" s="25"/>
      <c r="E27" s="25"/>
      <c r="F27" s="25"/>
      <c r="G27" s="25"/>
      <c r="H27" s="25"/>
      <c r="I27" s="1037" t="s">
        <v>551</v>
      </c>
      <c r="J27" s="597" t="s">
        <v>545</v>
      </c>
      <c r="K27" s="597" t="s">
        <v>133</v>
      </c>
      <c r="L27" s="598" t="s">
        <v>194</v>
      </c>
      <c r="M27" s="25"/>
      <c r="N27" s="15">
        <v>3</v>
      </c>
      <c r="V27" s="58"/>
      <c r="X27" s="149"/>
      <c r="Y27" s="404"/>
    </row>
    <row r="28" spans="1:26">
      <c r="A28" s="25"/>
      <c r="B28" s="25"/>
      <c r="C28" s="25"/>
      <c r="D28" s="25"/>
      <c r="E28" s="25"/>
      <c r="F28" s="25"/>
      <c r="G28" s="25"/>
      <c r="H28" s="25"/>
      <c r="I28" s="732" t="s">
        <v>543</v>
      </c>
      <c r="J28" s="424">
        <f>J22</f>
        <v>0</v>
      </c>
      <c r="K28" s="3435" t="s">
        <v>566</v>
      </c>
      <c r="L28" s="3436"/>
      <c r="M28" s="25"/>
      <c r="V28" s="58"/>
      <c r="X28" s="149"/>
      <c r="Y28" s="404"/>
    </row>
    <row r="29" spans="1:26">
      <c r="A29" s="25"/>
      <c r="B29" s="25"/>
      <c r="C29" s="25"/>
      <c r="D29" s="25"/>
      <c r="E29" s="25"/>
      <c r="F29" s="25"/>
      <c r="G29" s="25"/>
      <c r="H29" s="25"/>
      <c r="I29" s="732" t="s">
        <v>546</v>
      </c>
      <c r="J29" s="1825" t="str">
        <f>IFERROR(ROUND(VLOOKUP($K$23,UmrechnungEP_Kap,2+P$22),10),"")</f>
        <v/>
      </c>
      <c r="K29" s="3437"/>
      <c r="L29" s="3438"/>
      <c r="M29" s="25"/>
      <c r="V29" s="58"/>
      <c r="X29" s="149"/>
      <c r="Y29" s="404"/>
    </row>
    <row r="30" spans="1:26">
      <c r="A30" s="25"/>
      <c r="B30" s="25"/>
      <c r="C30" s="25"/>
      <c r="D30" s="25"/>
      <c r="E30" s="25"/>
      <c r="F30" s="25"/>
      <c r="G30" s="25"/>
      <c r="H30" s="25"/>
      <c r="I30" s="732" t="str">
        <f>"Versorgungserwerb im EzE: "&amp;TEXT(J28,"#.##0")&amp;" x  "&amp;TEXT(J29,"0,0000")&amp;" = "</f>
        <v xml:space="preserve">Versorgungserwerb im EzE: 0 x   = </v>
      </c>
      <c r="J30" s="425" t="str">
        <f>IFERROR(ROUND(+J28/J29,4),"")</f>
        <v/>
      </c>
      <c r="K30" s="3437"/>
      <c r="L30" s="3438"/>
      <c r="M30" s="25"/>
      <c r="V30" s="58"/>
      <c r="X30" s="149"/>
      <c r="Y30" s="404"/>
    </row>
    <row r="31" spans="1:26">
      <c r="A31" s="25"/>
      <c r="B31" s="25"/>
      <c r="C31" s="25"/>
      <c r="D31" s="25"/>
      <c r="E31" s="25"/>
      <c r="F31" s="25"/>
      <c r="G31" s="25"/>
      <c r="H31" s="25"/>
      <c r="I31" s="732" t="s">
        <v>547</v>
      </c>
      <c r="J31" s="426" t="str">
        <f>IFERROR(VLOOKUP(AufZinsEzE,aktRW,2+P22),"")</f>
        <v/>
      </c>
      <c r="K31" s="3437"/>
      <c r="L31" s="3438"/>
      <c r="M31" s="25"/>
      <c r="V31" s="58"/>
      <c r="X31" s="149"/>
      <c r="Y31" s="404"/>
    </row>
    <row r="32" spans="1:26" ht="15">
      <c r="A32" s="25"/>
      <c r="B32" s="25"/>
      <c r="C32" s="25"/>
      <c r="D32" s="25"/>
      <c r="E32" s="25"/>
      <c r="F32" s="25"/>
      <c r="G32" s="25"/>
      <c r="H32" s="25"/>
      <c r="I32" s="807" t="str">
        <f>IFERROR("Rentenerwerb im EzE: "&amp;TEXT(J30,"0,0000")&amp;" EP x "&amp;TEXT(J31,"0,00 €")&amp;" = ","")</f>
        <v xml:space="preserve">Rentenerwerb im EzE:  EP x  = </v>
      </c>
      <c r="J32" s="1476" t="str">
        <f>IFERROR(+J31*J30,"")</f>
        <v/>
      </c>
      <c r="K32" s="3439"/>
      <c r="L32" s="3440"/>
      <c r="M32" s="25"/>
      <c r="V32" s="58"/>
      <c r="X32" s="149"/>
      <c r="Y32" s="404"/>
    </row>
    <row r="33" spans="1:25">
      <c r="A33" s="25"/>
      <c r="B33" s="25"/>
      <c r="C33" s="25"/>
      <c r="D33" s="25"/>
      <c r="E33" s="25"/>
      <c r="F33" s="25"/>
      <c r="G33" s="25"/>
      <c r="H33" s="25"/>
      <c r="I33" s="3453" t="str">
        <f>"AusglWert zum "&amp;TEXT(J24,"TT.MM.JJJJ")&amp;": "&amp;TEXT(VerzinsungAusgleichswert,"#.##0")&amp;" x (1 + "&amp;TEXT(YEARFRAC(J23,J24,3),"0,00")&amp;" x "&amp;TEXT(J25,"0,00%")&amp;") bzw:"&amp;TEXT(VerzinsungAusgleichswert,"#.##0")&amp;" x (1 + "&amp;TEXT(J25,"0,00%")&amp;")^"&amp;TEXT(YEARFRAC(J23,J24,3),"0,00")</f>
        <v>AusglWert zum 00.01.1900: 0 x (1 + 0,00 x ) bzw:0 x (1 + )^0,00</v>
      </c>
      <c r="J33" s="3454"/>
      <c r="K33" s="1479" t="str">
        <f>IFERROR(J28+J25*J28*YEARFRAC(AufZinsEzE,J24,4),"")</f>
        <v/>
      </c>
      <c r="L33" s="1069" t="str">
        <f>IFERROR(-FV(J25,YEARFRAC(AufZinsEzE,J24,4),,J28),"")</f>
        <v/>
      </c>
      <c r="M33" s="25"/>
      <c r="V33" s="58"/>
      <c r="X33" s="149"/>
      <c r="Y33" s="404"/>
    </row>
    <row r="34" spans="1:25">
      <c r="A34" s="25"/>
      <c r="B34" s="25"/>
      <c r="C34" s="25"/>
      <c r="D34" s="25"/>
      <c r="E34" s="25"/>
      <c r="F34" s="25"/>
      <c r="G34" s="25"/>
      <c r="H34" s="25"/>
      <c r="I34" s="3447" t="str">
        <f>"Umrechnungsfaktor (Beitrag in EP) zum "&amp;TEXT(J24,"TT.MM.JJJJ")</f>
        <v>Umrechnungsfaktor (Beitrag in EP) zum 00.01.1900</v>
      </c>
      <c r="J34" s="3448"/>
      <c r="K34" s="1477" t="str">
        <f>IFERROR(ROUND(VLOOKUP(J24,UmrechnungEP_Kap,2+P22),4),"")</f>
        <v/>
      </c>
      <c r="L34" s="1478" t="str">
        <f>IFERROR(VLOOKUP(J24,UmrechnungEP_Kap,2+P22,TRUE),"")</f>
        <v/>
      </c>
      <c r="M34" s="25"/>
      <c r="V34" s="58"/>
      <c r="X34" s="149"/>
      <c r="Y34" s="404"/>
    </row>
    <row r="35" spans="1:25">
      <c r="A35" s="25"/>
      <c r="B35" s="25"/>
      <c r="C35" s="25"/>
      <c r="D35" s="25"/>
      <c r="E35" s="25"/>
      <c r="F35" s="25"/>
      <c r="G35" s="25"/>
      <c r="H35" s="25"/>
      <c r="I35" s="3447" t="str">
        <f>"Versorgungserwerb in EP (Ausgleichswert / Umrechnungsfaktor) "</f>
        <v xml:space="preserve">Versorgungserwerb in EP (Ausgleichswert / Umrechnungsfaktor) </v>
      </c>
      <c r="J35" s="3448"/>
      <c r="K35" s="425" t="str">
        <f>IFERROR(ROUND(+K33/K34,4),"")</f>
        <v/>
      </c>
      <c r="L35" s="427" t="str">
        <f>IFERROR(ROUND(+L33/L34,4),"")</f>
        <v/>
      </c>
      <c r="M35" s="25"/>
      <c r="V35" s="58"/>
      <c r="X35" s="149"/>
      <c r="Y35" s="404"/>
    </row>
    <row r="36" spans="1:25">
      <c r="A36" s="25"/>
      <c r="B36" s="25"/>
      <c r="C36" s="25"/>
      <c r="D36" s="25"/>
      <c r="E36" s="25"/>
      <c r="F36" s="25"/>
      <c r="G36" s="25"/>
      <c r="H36" s="25"/>
      <c r="I36" s="732" t="str">
        <f>"aktueller Rentenwert am "&amp;TEXT(J24,"TT.MM.JJJJ")</f>
        <v>aktueller Rentenwert am 00.01.1900</v>
      </c>
      <c r="J36" s="3449" t="str">
        <f>IFERROR(VLOOKUP(J24,aktRW,2+$P$22),"")</f>
        <v/>
      </c>
      <c r="K36" s="3450"/>
      <c r="L36" s="3451"/>
      <c r="M36" s="25"/>
      <c r="V36" s="58"/>
      <c r="X36" s="149"/>
      <c r="Y36" s="404"/>
    </row>
    <row r="37" spans="1:25" ht="15" thickBot="1">
      <c r="A37" s="25"/>
      <c r="B37" s="25"/>
      <c r="C37" s="25"/>
      <c r="D37" s="25"/>
      <c r="E37" s="25"/>
      <c r="F37" s="25"/>
      <c r="G37" s="25"/>
      <c r="H37" s="25"/>
      <c r="I37" s="935" t="str">
        <f>"Rentenerwerb zum "&amp;TEXT(J24,"TT.MM.JJJJ")&amp;" in DRV: EP x aktRW"</f>
        <v>Rentenerwerb zum 00.01.1900 in DRV: EP x aktRW</v>
      </c>
      <c r="J37" s="428" t="str">
        <f>IFERROR(J32*J36/J31,"")</f>
        <v/>
      </c>
      <c r="K37" s="428" t="str">
        <f>IFERROR(J36*K35,"")</f>
        <v/>
      </c>
      <c r="L37" s="429" t="str">
        <f>IFERROR(+J36*L35,"")</f>
        <v/>
      </c>
      <c r="M37" s="25"/>
      <c r="V37" s="58"/>
      <c r="X37" s="149"/>
      <c r="Y37" s="404"/>
    </row>
    <row r="38" spans="1:25" ht="14.85" customHeight="1">
      <c r="A38" s="25"/>
      <c r="B38" s="25"/>
      <c r="C38" s="25"/>
      <c r="D38" s="25"/>
      <c r="E38" s="25"/>
      <c r="F38" s="25"/>
      <c r="G38" s="25"/>
      <c r="H38" s="25"/>
      <c r="I38" s="599" t="s">
        <v>688</v>
      </c>
      <c r="J38" s="596"/>
      <c r="K38" s="596"/>
      <c r="L38" s="600"/>
      <c r="M38" s="25"/>
      <c r="V38" s="58"/>
      <c r="X38" s="149"/>
      <c r="Y38" s="404"/>
    </row>
    <row r="39" spans="1:25" ht="23.85" customHeight="1">
      <c r="H39" s="25"/>
      <c r="I39" s="3441"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442"/>
      <c r="K39" s="3442"/>
      <c r="L39" s="3438"/>
      <c r="M39" s="25"/>
      <c r="V39" s="58"/>
      <c r="Y39" s="404"/>
    </row>
    <row r="40" spans="1:25" ht="23.85" customHeight="1" thickBot="1">
      <c r="H40" s="25"/>
      <c r="I40" s="3443"/>
      <c r="J40" s="3444"/>
      <c r="K40" s="3444"/>
      <c r="L40" s="3445"/>
      <c r="M40" s="25"/>
    </row>
    <row r="41" spans="1:25">
      <c r="H41" s="25"/>
      <c r="I41" s="3446" t="s">
        <v>689</v>
      </c>
      <c r="J41" s="3446"/>
      <c r="K41" s="3446"/>
      <c r="L41" s="3446"/>
      <c r="M41" s="25"/>
    </row>
  </sheetData>
  <sheetProtection algorithmName="SHA-512" hashValue="UmZM3GLEOrVxt8dHaMp7ti9FeqioICaMKaWCV7GvBJaOiU3SwJ46nZxTM0xcxqN/7e7FUq1wlt4HyThAbS3KoA==" saltValue="sCxJTCTt8Wf9u6ViX4CQhw==" spinCount="100000" sheet="1" objects="1" scenarios="1" selectLockedCells="1"/>
  <scenarios current="1" show="1">
    <scenario name="Beispiel" count="4" user="Hauß" comment="Erstellt von Hauß am 14.07.2022_x000a_Modifiziert von Hauß am 14.07.2022">
      <inputCells r="J22" val="50000" numFmtId="6"/>
      <inputCells r="K23" val="44561" numFmtId="14"/>
      <inputCells r="J24" val="44742" numFmtId="14"/>
      <inputCells r="J26" val=""/>
    </scenario>
    <scenario name="Nullstellung" locked="1" count="4" user="Hauß" comment="Erstellt von Hauß am 14.07.2022_x000a_Modifiziert von Hauß am 14.07.2022">
      <inputCells r="J22" val=""/>
      <inputCells r="K23" val=""/>
      <inputCells r="J24" val=""/>
      <inputCells r="J26" val=""/>
    </scenario>
  </scenarios>
  <mergeCells count="16">
    <mergeCell ref="V11:V13"/>
    <mergeCell ref="U2:U7"/>
    <mergeCell ref="K25:L26"/>
    <mergeCell ref="I33:J33"/>
    <mergeCell ref="K21:L21"/>
    <mergeCell ref="I19:J21"/>
    <mergeCell ref="K20:L20"/>
    <mergeCell ref="K22:L22"/>
    <mergeCell ref="P23:P24"/>
    <mergeCell ref="A2:H6"/>
    <mergeCell ref="K28:L32"/>
    <mergeCell ref="I39:L40"/>
    <mergeCell ref="I41:L41"/>
    <mergeCell ref="I34:J34"/>
    <mergeCell ref="I35:J35"/>
    <mergeCell ref="J36:L36"/>
  </mergeCells>
  <conditionalFormatting sqref="J26">
    <cfRule type="expression" dxfId="149"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28575</xdr:colOff>
                    <xdr:row>25</xdr:row>
                    <xdr:rowOff>152400</xdr:rowOff>
                  </from>
                  <to>
                    <xdr:col>8</xdr:col>
                    <xdr:colOff>28575</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1095375</xdr:colOff>
                    <xdr:row>21</xdr:row>
                    <xdr:rowOff>180975</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66675</xdr:colOff>
                    <xdr:row>25</xdr:row>
                    <xdr:rowOff>152400</xdr:rowOff>
                  </from>
                  <to>
                    <xdr:col>9</xdr:col>
                    <xdr:colOff>333375</xdr:colOff>
                    <xdr:row>27</xdr:row>
                    <xdr:rowOff>28575</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28575</xdr:colOff>
                    <xdr:row>25</xdr:row>
                    <xdr:rowOff>152400</xdr:rowOff>
                  </from>
                  <to>
                    <xdr:col>10</xdr:col>
                    <xdr:colOff>266700</xdr:colOff>
                    <xdr:row>27</xdr:row>
                    <xdr:rowOff>28575</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28575</xdr:colOff>
                    <xdr:row>25</xdr:row>
                    <xdr:rowOff>152400</xdr:rowOff>
                  </from>
                  <to>
                    <xdr:col>11</xdr:col>
                    <xdr:colOff>257175</xdr:colOff>
                    <xdr:row>27</xdr:row>
                    <xdr:rowOff>28575</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28575</xdr:colOff>
                    <xdr:row>23</xdr:row>
                    <xdr:rowOff>28575</xdr:rowOff>
                  </from>
                  <to>
                    <xdr:col>10</xdr:col>
                    <xdr:colOff>752475</xdr:colOff>
                    <xdr:row>23</xdr:row>
                    <xdr:rowOff>180975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topLeftCell="B1" zoomScale="115" zoomScaleNormal="115" workbookViewId="0">
      <pane ySplit="2595" topLeftCell="A42" activePane="bottomLeft"/>
      <selection activeCell="J14" sqref="J14"/>
      <selection pane="bottomLeft" activeCell="Q56" sqref="Q56:Q64"/>
    </sheetView>
  </sheetViews>
  <sheetFormatPr baseColWidth="10" defaultColWidth="0" defaultRowHeight="15"/>
  <cols>
    <col min="1" max="1" width="3.625" style="268" customWidth="1"/>
    <col min="2" max="2" width="7" style="267" customWidth="1"/>
    <col min="3" max="6" width="8.625" style="268" customWidth="1"/>
    <col min="7" max="7" width="7.625" style="268" customWidth="1"/>
    <col min="8" max="9" width="8.5" style="268" customWidth="1"/>
    <col min="10" max="10" width="7.625" style="267" customWidth="1"/>
    <col min="11" max="12" width="9" style="268" customWidth="1"/>
    <col min="13" max="14" width="9.125" style="268" customWidth="1"/>
    <col min="15" max="15" width="10.625" style="268" customWidth="1"/>
    <col min="16" max="16" width="7.625" style="268" customWidth="1"/>
    <col min="17" max="17" width="8.125" style="268" customWidth="1"/>
    <col min="18" max="18" width="11.125" style="269" bestFit="1" customWidth="1"/>
    <col min="19" max="19" width="10.125" style="269" customWidth="1"/>
    <col min="20" max="20" width="10.625" style="269" customWidth="1"/>
    <col min="21" max="22" width="12.5" style="270" customWidth="1"/>
    <col min="23" max="26" width="7.625" style="268" customWidth="1"/>
    <col min="27" max="27" width="9" style="1497" customWidth="1"/>
    <col min="28" max="29" width="9" style="268" hidden="1" customWidth="1"/>
    <col min="30" max="30" width="11.125" style="268" hidden="1" customWidth="1"/>
    <col min="31" max="31" width="6.625" style="268" hidden="1" customWidth="1"/>
    <col min="32" max="32" width="9.125" style="268" hidden="1" customWidth="1"/>
    <col min="33" max="16384" width="11" style="268" hidden="1"/>
  </cols>
  <sheetData>
    <row r="1" spans="1:31">
      <c r="B1" s="5" t="s">
        <v>687</v>
      </c>
      <c r="J1" s="268"/>
      <c r="R1" s="268"/>
      <c r="S1" s="3718" t="s">
        <v>340</v>
      </c>
      <c r="T1" s="3718"/>
      <c r="U1" s="3718"/>
      <c r="V1" s="3718"/>
      <c r="W1" s="3718"/>
      <c r="X1" s="3718"/>
      <c r="Y1" s="269"/>
      <c r="Z1" s="269"/>
    </row>
    <row r="2" spans="1:31" ht="27.6" customHeight="1" thickBot="1">
      <c r="B2" s="3717" t="s">
        <v>339</v>
      </c>
      <c r="C2" s="3717"/>
      <c r="D2" s="3717"/>
      <c r="E2" s="3717"/>
      <c r="F2" s="3717"/>
      <c r="G2" s="3717"/>
      <c r="H2" s="3717"/>
      <c r="I2" s="3717"/>
      <c r="J2" s="3717"/>
      <c r="K2" s="3717"/>
      <c r="L2" s="3717"/>
      <c r="M2" s="3717"/>
      <c r="N2" s="3717"/>
      <c r="O2" s="3717"/>
      <c r="P2" s="3717"/>
      <c r="Q2" s="3717"/>
      <c r="R2" s="3717"/>
      <c r="S2" s="3717"/>
      <c r="T2" s="3717"/>
      <c r="U2" s="3717"/>
      <c r="V2" s="3717"/>
      <c r="W2" s="3717"/>
      <c r="X2" s="3717"/>
      <c r="Y2" s="1492"/>
      <c r="Z2" s="1492"/>
    </row>
    <row r="3" spans="1:31" ht="28.35" customHeight="1">
      <c r="B3" s="3719" t="s">
        <v>256</v>
      </c>
      <c r="C3" s="3720"/>
      <c r="D3" s="3720"/>
      <c r="E3" s="3720" t="s">
        <v>332</v>
      </c>
      <c r="F3" s="3721"/>
      <c r="G3" s="3722" t="s">
        <v>55</v>
      </c>
      <c r="H3" s="3723"/>
      <c r="I3" s="3723"/>
      <c r="J3" s="3724" t="s">
        <v>1638</v>
      </c>
      <c r="K3" s="3724"/>
      <c r="L3" s="3724"/>
      <c r="M3" s="3725" t="s">
        <v>1639</v>
      </c>
      <c r="N3" s="3725"/>
      <c r="O3" s="3719" t="s">
        <v>333</v>
      </c>
      <c r="P3" s="3720"/>
      <c r="Q3" s="3728" t="s">
        <v>177</v>
      </c>
      <c r="R3" s="3729"/>
      <c r="S3" s="3729"/>
      <c r="T3" s="304"/>
      <c r="U3" s="3730" t="s">
        <v>334</v>
      </c>
      <c r="V3" s="3730"/>
      <c r="W3" s="3730" t="s">
        <v>335</v>
      </c>
      <c r="X3" s="3731"/>
      <c r="Y3" s="3732" t="s">
        <v>1637</v>
      </c>
      <c r="Z3" s="3731"/>
      <c r="AB3" s="2675" t="s">
        <v>198</v>
      </c>
      <c r="AC3" s="2675"/>
      <c r="AD3" s="2675" t="s">
        <v>209</v>
      </c>
      <c r="AE3" s="2675"/>
    </row>
    <row r="4" spans="1:31" s="272" customFormat="1" ht="28.35" customHeight="1" thickBot="1">
      <c r="B4" s="271" t="s">
        <v>59</v>
      </c>
      <c r="C4" s="272" t="s">
        <v>336</v>
      </c>
      <c r="D4" s="272" t="s">
        <v>337</v>
      </c>
      <c r="E4" s="273">
        <v>0.01</v>
      </c>
      <c r="F4" s="274">
        <v>1.2</v>
      </c>
      <c r="G4" s="271" t="s">
        <v>199</v>
      </c>
      <c r="H4" s="272" t="s">
        <v>336</v>
      </c>
      <c r="I4" s="272" t="s">
        <v>337</v>
      </c>
      <c r="J4" s="275" t="s">
        <v>59</v>
      </c>
      <c r="K4" s="276" t="s">
        <v>336</v>
      </c>
      <c r="L4" s="276" t="s">
        <v>341</v>
      </c>
      <c r="M4" s="276" t="s">
        <v>336</v>
      </c>
      <c r="N4" s="276" t="s">
        <v>337</v>
      </c>
      <c r="O4" s="275" t="s">
        <v>59</v>
      </c>
      <c r="P4" s="276" t="s">
        <v>338</v>
      </c>
      <c r="Q4" s="277" t="s">
        <v>59</v>
      </c>
      <c r="R4" s="278" t="s">
        <v>58</v>
      </c>
      <c r="S4" s="278" t="s">
        <v>57</v>
      </c>
      <c r="T4" s="278"/>
      <c r="U4" s="278" t="s">
        <v>58</v>
      </c>
      <c r="V4" s="278" t="s">
        <v>57</v>
      </c>
      <c r="W4" s="278" t="s">
        <v>58</v>
      </c>
      <c r="X4" s="279" t="s">
        <v>57</v>
      </c>
      <c r="Y4" s="1495" t="s">
        <v>58</v>
      </c>
      <c r="Z4" s="1496" t="s">
        <v>57</v>
      </c>
      <c r="AA4" s="1498"/>
      <c r="AB4" s="3">
        <v>17</v>
      </c>
      <c r="AC4" s="3">
        <v>3.1</v>
      </c>
      <c r="AD4" s="3726" t="s">
        <v>210</v>
      </c>
      <c r="AE4" s="3727"/>
    </row>
    <row r="5" spans="1:31" s="593" customFormat="1">
      <c r="A5" s="268"/>
      <c r="B5" s="280">
        <v>1970</v>
      </c>
      <c r="C5" s="281"/>
      <c r="D5" s="281"/>
      <c r="E5" s="281"/>
      <c r="F5" s="281"/>
      <c r="G5" s="282">
        <v>28126</v>
      </c>
      <c r="H5" s="283">
        <v>12.884555406144706</v>
      </c>
      <c r="I5" s="284">
        <v>0</v>
      </c>
      <c r="J5" s="267">
        <v>1970</v>
      </c>
      <c r="K5" s="285">
        <v>6822.1675708011435</v>
      </c>
      <c r="L5" s="285"/>
      <c r="M5" s="285">
        <v>11043.90463383832</v>
      </c>
      <c r="N5" s="285"/>
      <c r="O5" s="282">
        <v>25569</v>
      </c>
      <c r="P5" s="286">
        <v>0.17</v>
      </c>
      <c r="Q5" s="282">
        <v>28126</v>
      </c>
      <c r="R5" s="308">
        <v>2295.7516757591407</v>
      </c>
      <c r="S5" s="308"/>
      <c r="T5" s="282">
        <v>28126</v>
      </c>
      <c r="U5" s="287">
        <v>2.2271220000000001E-4</v>
      </c>
      <c r="V5" s="287"/>
      <c r="W5" s="288">
        <f>1000/$R5*VLOOKUP(Q5,G$5:$I63,2)</f>
        <v>5.6123471637602727</v>
      </c>
      <c r="X5" s="289" t="str">
        <f>IFERROR(1000/$S5*VLOOKUP($Q5,G$5:$I63,3),"")</f>
        <v/>
      </c>
      <c r="Y5" s="1493">
        <f>1000/W5</f>
        <v>178.17857142857142</v>
      </c>
      <c r="Z5" s="303"/>
      <c r="AA5" s="1497"/>
      <c r="AB5" s="415">
        <v>18</v>
      </c>
      <c r="AC5" s="415">
        <v>3</v>
      </c>
      <c r="AD5" s="415"/>
      <c r="AE5" s="594"/>
    </row>
    <row r="6" spans="1:31" s="593" customFormat="1">
      <c r="A6" s="268"/>
      <c r="B6" s="290">
        <v>1971</v>
      </c>
      <c r="C6" s="291"/>
      <c r="D6" s="291"/>
      <c r="E6" s="291"/>
      <c r="F6" s="291"/>
      <c r="G6" s="292">
        <v>28491</v>
      </c>
      <c r="H6" s="293">
        <v>13.809993711109863</v>
      </c>
      <c r="I6" s="294">
        <v>0</v>
      </c>
      <c r="J6" s="295">
        <v>1971</v>
      </c>
      <c r="K6" s="291">
        <v>7634.0990781407381</v>
      </c>
      <c r="L6" s="291"/>
      <c r="M6" s="291">
        <v>11657.454891273781</v>
      </c>
      <c r="N6" s="291"/>
      <c r="O6" s="292">
        <v>25934</v>
      </c>
      <c r="P6" s="296">
        <v>0.17</v>
      </c>
      <c r="Q6" s="292">
        <v>28491</v>
      </c>
      <c r="R6" s="309">
        <v>2415.1178783432101</v>
      </c>
      <c r="S6" s="309"/>
      <c r="T6" s="292">
        <v>28491</v>
      </c>
      <c r="U6" s="305">
        <v>2.117047E-4</v>
      </c>
      <c r="V6" s="305"/>
      <c r="W6" s="306">
        <f>1000/$R6*VLOOKUP(Q6,G$5:$I64,2)</f>
        <v>5.7181447890997461</v>
      </c>
      <c r="X6" s="297" t="str">
        <f>IFERROR(1000/$S6*VLOOKUP($Q6,G$5:$I64,3),"")</f>
        <v/>
      </c>
      <c r="Y6" s="1494">
        <f>1000/W6</f>
        <v>174.88189559422437</v>
      </c>
      <c r="Z6" s="297"/>
      <c r="AA6" s="1497"/>
      <c r="AB6" s="415">
        <v>19</v>
      </c>
      <c r="AC6" s="415">
        <v>2.9</v>
      </c>
      <c r="AD6" s="415"/>
      <c r="AE6" s="594"/>
    </row>
    <row r="7" spans="1:31" s="593" customFormat="1">
      <c r="A7" s="268"/>
      <c r="B7" s="298">
        <v>1972</v>
      </c>
      <c r="C7" s="285"/>
      <c r="D7" s="285"/>
      <c r="E7" s="285"/>
      <c r="F7" s="285"/>
      <c r="G7" s="299">
        <v>28672</v>
      </c>
      <c r="H7" s="300">
        <v>13.467428150708395</v>
      </c>
      <c r="I7" s="301">
        <v>0</v>
      </c>
      <c r="J7" s="267">
        <v>1972</v>
      </c>
      <c r="K7" s="285">
        <v>8351.9528793402296</v>
      </c>
      <c r="L7" s="285"/>
      <c r="M7" s="285">
        <v>12884.555406144706</v>
      </c>
      <c r="N7" s="285"/>
      <c r="O7" s="299">
        <v>26299</v>
      </c>
      <c r="P7" s="302">
        <v>0.17</v>
      </c>
      <c r="Q7" s="299">
        <v>28856</v>
      </c>
      <c r="R7" s="310">
        <v>2547.9208315651158</v>
      </c>
      <c r="S7" s="310"/>
      <c r="T7" s="299">
        <v>28856</v>
      </c>
      <c r="U7" s="270">
        <v>2.006702E-4</v>
      </c>
      <c r="V7" s="270"/>
      <c r="W7" s="307">
        <f>1000/$R7*VLOOKUP(Q7,G$5:$I65,2)</f>
        <v>5.2856540846427063</v>
      </c>
      <c r="X7" s="303" t="str">
        <f>IFERROR(1000/$S7*VLOOKUP($Q7,G$5:$I65,3),"")</f>
        <v/>
      </c>
      <c r="Y7" s="1493">
        <f>1000/W7</f>
        <v>189.19134396355355</v>
      </c>
      <c r="Z7" s="303"/>
      <c r="AA7" s="1497"/>
      <c r="AB7" s="415">
        <v>20</v>
      </c>
      <c r="AC7" s="415">
        <v>2.8</v>
      </c>
      <c r="AD7" s="415"/>
      <c r="AE7" s="594"/>
    </row>
    <row r="8" spans="1:31" s="593" customFormat="1">
      <c r="A8" s="268"/>
      <c r="B8" s="290">
        <v>1973</v>
      </c>
      <c r="C8" s="291"/>
      <c r="D8" s="291"/>
      <c r="E8" s="291"/>
      <c r="F8" s="291"/>
      <c r="G8" s="292">
        <v>29037</v>
      </c>
      <c r="H8" s="293">
        <v>13.467428150708395</v>
      </c>
      <c r="I8" s="294">
        <v>0</v>
      </c>
      <c r="J8" s="295">
        <v>1973</v>
      </c>
      <c r="K8" s="291">
        <v>9354.0849664848174</v>
      </c>
      <c r="L8" s="291"/>
      <c r="M8" s="291">
        <v>14111.65592101563</v>
      </c>
      <c r="N8" s="291"/>
      <c r="O8" s="292">
        <v>26665</v>
      </c>
      <c r="P8" s="296">
        <v>0.18</v>
      </c>
      <c r="Q8" s="292">
        <v>29221</v>
      </c>
      <c r="R8" s="309">
        <v>2713.5794010726904</v>
      </c>
      <c r="S8" s="309"/>
      <c r="T8" s="292">
        <v>29221</v>
      </c>
      <c r="U8" s="305">
        <v>1.8841969999999999E-4</v>
      </c>
      <c r="V8" s="305"/>
      <c r="W8" s="306">
        <f>1000/$R8*VLOOKUP(Q8,G$5:$I66,2)</f>
        <v>5.1608162342434012</v>
      </c>
      <c r="X8" s="297" t="str">
        <f>IFERROR(1000/$S8*VLOOKUP($Q8,G$5:$I66,3),"")</f>
        <v/>
      </c>
      <c r="Y8" s="1494">
        <f>1000/W8</f>
        <v>193.76779846659363</v>
      </c>
      <c r="Z8" s="297"/>
      <c r="AA8" s="1497"/>
      <c r="AB8" s="415">
        <v>21</v>
      </c>
      <c r="AC8" s="415">
        <v>2.7</v>
      </c>
      <c r="AD8" s="415"/>
      <c r="AE8" s="594"/>
    </row>
    <row r="9" spans="1:31" s="593" customFormat="1">
      <c r="A9" s="268"/>
      <c r="B9" s="298">
        <v>1974</v>
      </c>
      <c r="C9" s="285"/>
      <c r="D9" s="285"/>
      <c r="E9" s="285"/>
      <c r="F9" s="285"/>
      <c r="G9" s="299">
        <v>29221</v>
      </c>
      <c r="H9" s="300">
        <v>14.004284625964425</v>
      </c>
      <c r="I9" s="301">
        <v>0</v>
      </c>
      <c r="J9" s="267">
        <v>1974</v>
      </c>
      <c r="K9" s="285">
        <v>15482.429454502691</v>
      </c>
      <c r="L9" s="285"/>
      <c r="M9" s="285">
        <v>15338.756435886555</v>
      </c>
      <c r="N9" s="285"/>
      <c r="O9" s="299">
        <v>27030</v>
      </c>
      <c r="P9" s="302">
        <v>0.18</v>
      </c>
      <c r="Q9" s="299">
        <v>29587</v>
      </c>
      <c r="R9" s="310">
        <v>2922.8000388581831</v>
      </c>
      <c r="S9" s="310"/>
      <c r="T9" s="299">
        <v>29587</v>
      </c>
      <c r="U9" s="270">
        <v>1.749322E-4</v>
      </c>
      <c r="V9" s="270"/>
      <c r="W9" s="307">
        <f>1000/$R9*VLOOKUP(Q9,G$5:$I67,2)</f>
        <v>4.9820694480888656</v>
      </c>
      <c r="X9" s="303" t="str">
        <f>IFERROR(1000/$S9*VLOOKUP($Q9,G$5:$I67,3),"")</f>
        <v/>
      </c>
      <c r="Y9" s="1493">
        <f t="shared" ref="Y9:Y55" si="0">1000/W9</f>
        <v>200.71980337078651</v>
      </c>
      <c r="Z9" s="303"/>
      <c r="AA9" s="1497"/>
      <c r="AB9" s="415">
        <v>22</v>
      </c>
      <c r="AC9" s="415">
        <v>2.6</v>
      </c>
      <c r="AD9" s="415"/>
      <c r="AE9" s="594"/>
    </row>
    <row r="10" spans="1:31" s="593" customFormat="1">
      <c r="A10" s="268"/>
      <c r="B10" s="290">
        <v>1975</v>
      </c>
      <c r="C10" s="291"/>
      <c r="D10" s="291"/>
      <c r="E10" s="291"/>
      <c r="F10" s="291"/>
      <c r="G10" s="292">
        <v>29587</v>
      </c>
      <c r="H10" s="293">
        <v>14.561592776468302</v>
      </c>
      <c r="I10" s="294">
        <v>0</v>
      </c>
      <c r="J10" s="295">
        <v>1975</v>
      </c>
      <c r="K10" s="291">
        <v>11150.253345127134</v>
      </c>
      <c r="L10" s="291"/>
      <c r="M10" s="291">
        <v>17179.407208192941</v>
      </c>
      <c r="N10" s="291"/>
      <c r="O10" s="292">
        <v>27395</v>
      </c>
      <c r="P10" s="296">
        <v>0.18</v>
      </c>
      <c r="Q10" s="292">
        <v>29952</v>
      </c>
      <c r="R10" s="309">
        <v>2963.2636783360517</v>
      </c>
      <c r="S10" s="309"/>
      <c r="T10" s="292">
        <v>29952</v>
      </c>
      <c r="U10" s="305">
        <v>1.725435E-4</v>
      </c>
      <c r="V10" s="305"/>
      <c r="W10" s="306">
        <f>1000/$R10*VLOOKUP(Q10,G$5:$I68,2)</f>
        <v>4.9140388291888382</v>
      </c>
      <c r="X10" s="297" t="str">
        <f>IFERROR(1000/$S10*VLOOKUP($Q10,G$5:$I68,3),"")</f>
        <v/>
      </c>
      <c r="Y10" s="1494">
        <f t="shared" si="0"/>
        <v>203.498595505618</v>
      </c>
      <c r="Z10" s="297"/>
      <c r="AA10" s="1497"/>
      <c r="AB10" s="415">
        <v>23</v>
      </c>
      <c r="AC10" s="415">
        <v>2.5</v>
      </c>
      <c r="AD10" s="415"/>
      <c r="AE10" s="594"/>
    </row>
    <row r="11" spans="1:31" s="593" customFormat="1">
      <c r="A11" s="268"/>
      <c r="B11" s="298">
        <v>1976</v>
      </c>
      <c r="C11" s="285"/>
      <c r="D11" s="285"/>
      <c r="E11" s="285"/>
      <c r="F11" s="285"/>
      <c r="G11" s="299">
        <v>30133</v>
      </c>
      <c r="H11" s="300">
        <v>15.400111461630102</v>
      </c>
      <c r="I11" s="301">
        <v>0</v>
      </c>
      <c r="J11" s="267">
        <v>1976</v>
      </c>
      <c r="K11" s="285">
        <v>11930.996047713759</v>
      </c>
      <c r="L11" s="285"/>
      <c r="M11" s="285">
        <v>19020.057980499329</v>
      </c>
      <c r="N11" s="285"/>
      <c r="O11" s="299">
        <v>27760</v>
      </c>
      <c r="P11" s="302">
        <v>0.18</v>
      </c>
      <c r="Q11" s="299">
        <v>30317</v>
      </c>
      <c r="R11" s="310">
        <v>3064.0393081198263</v>
      </c>
      <c r="S11" s="310"/>
      <c r="T11" s="299">
        <v>30317</v>
      </c>
      <c r="U11" s="270">
        <v>1.6686859999999999E-4</v>
      </c>
      <c r="V11" s="270"/>
      <c r="W11" s="307">
        <f>1000/$R11*VLOOKUP(Q11,G$5:$I69,2)</f>
        <v>5.0260815586860108</v>
      </c>
      <c r="X11" s="303" t="str">
        <f>IFERROR(1000/$S11*VLOOKUP($Q11,G$5:$I69,3),"")</f>
        <v/>
      </c>
      <c r="Y11" s="1493">
        <f t="shared" si="0"/>
        <v>198.96215139442228</v>
      </c>
      <c r="Z11" s="303"/>
      <c r="AA11" s="1497"/>
      <c r="AB11" s="415">
        <v>24</v>
      </c>
      <c r="AC11" s="415">
        <v>2.4</v>
      </c>
      <c r="AD11" s="415"/>
      <c r="AE11" s="594"/>
    </row>
    <row r="12" spans="1:31" s="593" customFormat="1">
      <c r="A12" s="268"/>
      <c r="B12" s="290">
        <v>1977</v>
      </c>
      <c r="C12" s="291"/>
      <c r="D12" s="291"/>
      <c r="E12" s="291"/>
      <c r="F12" s="291"/>
      <c r="G12" s="292">
        <v>30498</v>
      </c>
      <c r="H12" s="293">
        <v>16.26419474085171</v>
      </c>
      <c r="I12" s="294">
        <v>0</v>
      </c>
      <c r="J12" s="295">
        <v>1977</v>
      </c>
      <c r="K12" s="291">
        <v>12754.17597643967</v>
      </c>
      <c r="L12" s="291"/>
      <c r="M12" s="291">
        <v>20860.708752805716</v>
      </c>
      <c r="N12" s="291"/>
      <c r="O12" s="292">
        <v>28126</v>
      </c>
      <c r="P12" s="296">
        <v>0.18</v>
      </c>
      <c r="Q12" s="292">
        <v>30560</v>
      </c>
      <c r="R12" s="309">
        <v>3149.1515111231547</v>
      </c>
      <c r="S12" s="309"/>
      <c r="T12" s="292">
        <v>30560</v>
      </c>
      <c r="U12" s="305">
        <v>1.6235859999999999E-4</v>
      </c>
      <c r="V12" s="305"/>
      <c r="W12" s="306">
        <f>1000/$R12*VLOOKUP(Q12,G$5:$I70,2)</f>
        <v>5.1646275777474528</v>
      </c>
      <c r="X12" s="297" t="str">
        <f>IFERROR(1000/$S12*VLOOKUP($Q12,G$5:$I70,3),"")</f>
        <v/>
      </c>
      <c r="Y12" s="1494">
        <f t="shared" si="0"/>
        <v>193.62480352090537</v>
      </c>
      <c r="Z12" s="297"/>
      <c r="AA12" s="1497"/>
      <c r="AB12" s="415">
        <v>25</v>
      </c>
      <c r="AC12" s="415">
        <v>2.4</v>
      </c>
      <c r="AD12" s="415"/>
      <c r="AE12" s="594"/>
    </row>
    <row r="13" spans="1:31" s="593" customFormat="1">
      <c r="A13" s="268"/>
      <c r="B13" s="298">
        <v>1978</v>
      </c>
      <c r="C13" s="285">
        <v>997</v>
      </c>
      <c r="D13" s="285">
        <v>0</v>
      </c>
      <c r="E13" s="285">
        <f t="shared" ref="E13:E60" si="1">+C13*0.01</f>
        <v>9.9700000000000006</v>
      </c>
      <c r="F13" s="285">
        <f t="shared" ref="F13:F60" si="2">+C13*1.2</f>
        <v>1196.3999999999999</v>
      </c>
      <c r="G13" s="299">
        <v>30864</v>
      </c>
      <c r="H13" s="300">
        <v>16.816389972543625</v>
      </c>
      <c r="I13" s="301">
        <v>0</v>
      </c>
      <c r="J13" s="267">
        <v>1978</v>
      </c>
      <c r="K13" s="285">
        <v>13417.321546351166</v>
      </c>
      <c r="L13" s="285"/>
      <c r="M13" s="285">
        <v>22701.359525112101</v>
      </c>
      <c r="N13" s="285"/>
      <c r="O13" s="299">
        <v>28491</v>
      </c>
      <c r="P13" s="302">
        <v>0.18</v>
      </c>
      <c r="Q13" s="299">
        <v>30682</v>
      </c>
      <c r="R13" s="310">
        <v>3243.6459201464345</v>
      </c>
      <c r="S13" s="310"/>
      <c r="T13" s="299">
        <v>30682</v>
      </c>
      <c r="U13" s="270">
        <v>1.5762879999999999E-4</v>
      </c>
      <c r="V13" s="270"/>
      <c r="W13" s="307">
        <f>1000/$R13*VLOOKUP(Q13,G$5:$I71,2)</f>
        <v>5.0141708254387591</v>
      </c>
      <c r="X13" s="303" t="str">
        <f>IFERROR(1000/$S13*VLOOKUP($Q13,G$5:$I71,3),"")</f>
        <v/>
      </c>
      <c r="Y13" s="1493">
        <f t="shared" si="0"/>
        <v>199.43476894058475</v>
      </c>
      <c r="Z13" s="303"/>
      <c r="AA13" s="1497"/>
      <c r="AB13" s="415">
        <v>26</v>
      </c>
      <c r="AC13" s="415">
        <v>2.2999999999999998</v>
      </c>
      <c r="AD13" s="415"/>
      <c r="AE13" s="594"/>
    </row>
    <row r="14" spans="1:31" s="593" customFormat="1">
      <c r="A14" s="268"/>
      <c r="B14" s="290">
        <v>1979</v>
      </c>
      <c r="C14" s="291">
        <v>1074</v>
      </c>
      <c r="D14" s="291">
        <v>0</v>
      </c>
      <c r="E14" s="291">
        <f t="shared" si="1"/>
        <v>10.74</v>
      </c>
      <c r="F14" s="291">
        <f t="shared" si="2"/>
        <v>1288.8</v>
      </c>
      <c r="G14" s="292">
        <v>31229</v>
      </c>
      <c r="H14" s="293">
        <v>17.317456016115919</v>
      </c>
      <c r="I14" s="294">
        <v>0</v>
      </c>
      <c r="J14" s="295">
        <v>1979</v>
      </c>
      <c r="K14" s="291">
        <v>14155.627022798506</v>
      </c>
      <c r="L14" s="291"/>
      <c r="M14" s="291">
        <v>24542.010297418488</v>
      </c>
      <c r="N14" s="291"/>
      <c r="O14" s="292">
        <v>28856</v>
      </c>
      <c r="P14" s="296">
        <v>0.18</v>
      </c>
      <c r="Q14" s="292">
        <v>31048</v>
      </c>
      <c r="R14" s="309">
        <v>3373.750274819386</v>
      </c>
      <c r="S14" s="309"/>
      <c r="T14" s="292">
        <v>31048</v>
      </c>
      <c r="U14" s="305">
        <v>1.5155E-4</v>
      </c>
      <c r="V14" s="305"/>
      <c r="W14" s="306">
        <f>1000/$R14*VLOOKUP(Q14,G$5:$I72,2)</f>
        <v>4.984479763678979</v>
      </c>
      <c r="X14" s="297" t="str">
        <f>IFERROR(1000/$S14*VLOOKUP($Q14,G$5:$I72,3),"")</f>
        <v/>
      </c>
      <c r="Y14" s="1494">
        <f t="shared" si="0"/>
        <v>200.62274247491641</v>
      </c>
      <c r="Z14" s="297"/>
      <c r="AA14" s="1497"/>
      <c r="AB14" s="415">
        <v>27</v>
      </c>
      <c r="AC14" s="415">
        <v>2.2000000000000002</v>
      </c>
      <c r="AD14" s="415"/>
      <c r="AE14" s="594"/>
    </row>
    <row r="15" spans="1:31" s="593" customFormat="1">
      <c r="A15" s="268"/>
      <c r="B15" s="298">
        <v>1980</v>
      </c>
      <c r="C15" s="285">
        <v>1125</v>
      </c>
      <c r="D15" s="285">
        <v>0</v>
      </c>
      <c r="E15" s="285">
        <f t="shared" si="1"/>
        <v>11.25</v>
      </c>
      <c r="F15" s="285">
        <f t="shared" si="2"/>
        <v>1350</v>
      </c>
      <c r="G15" s="299">
        <v>31594</v>
      </c>
      <c r="H15" s="300">
        <v>17.823634978500177</v>
      </c>
      <c r="I15" s="301">
        <v>0</v>
      </c>
      <c r="J15" s="267">
        <v>1980</v>
      </c>
      <c r="K15" s="285">
        <v>15075.441117070503</v>
      </c>
      <c r="L15" s="285"/>
      <c r="M15" s="285">
        <v>25769.110812289411</v>
      </c>
      <c r="N15" s="285"/>
      <c r="O15" s="299">
        <v>29221</v>
      </c>
      <c r="P15" s="302">
        <v>0.18</v>
      </c>
      <c r="Q15" s="299">
        <v>31199</v>
      </c>
      <c r="R15" s="310">
        <v>3463.9575014188354</v>
      </c>
      <c r="S15" s="310"/>
      <c r="T15" s="299">
        <v>31199</v>
      </c>
      <c r="U15" s="270">
        <v>1.476034E-4</v>
      </c>
      <c r="V15" s="270"/>
      <c r="W15" s="307">
        <f>1000/$R15*VLOOKUP(Q15,G$5:$I73,2)</f>
        <v>4.8546756031665046</v>
      </c>
      <c r="X15" s="303" t="str">
        <f>IFERROR(1000/$S15*VLOOKUP($Q15,G$5:$I73,3),"")</f>
        <v/>
      </c>
      <c r="Y15" s="1493">
        <f t="shared" si="0"/>
        <v>205.98698692611742</v>
      </c>
      <c r="Z15" s="303"/>
      <c r="AA15" s="1497"/>
      <c r="AB15" s="415">
        <v>28</v>
      </c>
      <c r="AC15" s="415">
        <v>2.2000000000000002</v>
      </c>
      <c r="AD15" s="415"/>
      <c r="AE15" s="594"/>
    </row>
    <row r="16" spans="1:31" s="593" customFormat="1">
      <c r="A16" s="268"/>
      <c r="B16" s="290">
        <v>1981</v>
      </c>
      <c r="C16" s="291">
        <v>1196</v>
      </c>
      <c r="D16" s="291">
        <v>0</v>
      </c>
      <c r="E16" s="291">
        <f t="shared" si="1"/>
        <v>11.96</v>
      </c>
      <c r="F16" s="291">
        <f t="shared" si="2"/>
        <v>1435.2</v>
      </c>
      <c r="G16" s="292">
        <v>31959</v>
      </c>
      <c r="H16" s="293">
        <v>18.498540261679185</v>
      </c>
      <c r="I16" s="294">
        <v>0</v>
      </c>
      <c r="J16" s="295">
        <v>1981</v>
      </c>
      <c r="K16" s="291">
        <v>15798.919128963151</v>
      </c>
      <c r="L16" s="291"/>
      <c r="M16" s="291">
        <v>26996.211327160338</v>
      </c>
      <c r="N16" s="291"/>
      <c r="O16" s="292">
        <v>29587</v>
      </c>
      <c r="P16" s="296">
        <v>0.185</v>
      </c>
      <c r="Q16" s="292">
        <v>31413</v>
      </c>
      <c r="R16" s="309">
        <v>3595.6008446541878</v>
      </c>
      <c r="S16" s="309"/>
      <c r="T16" s="292">
        <v>31413</v>
      </c>
      <c r="U16" s="305">
        <v>1.4219929999999999E-4</v>
      </c>
      <c r="V16" s="305"/>
      <c r="W16" s="306">
        <f>1000/$R16*VLOOKUP(Q16,G$5:$I74,2)</f>
        <v>4.8162898954323312</v>
      </c>
      <c r="X16" s="297" t="str">
        <f>IFERROR(1000/$S16*VLOOKUP($Q16,G$5:$I74,3),"")</f>
        <v/>
      </c>
      <c r="Y16" s="1494">
        <f t="shared" si="0"/>
        <v>207.62869796279895</v>
      </c>
      <c r="Z16" s="297"/>
      <c r="AA16" s="1497"/>
      <c r="AB16" s="415">
        <v>29</v>
      </c>
      <c r="AC16" s="415">
        <v>2.1</v>
      </c>
      <c r="AD16" s="415"/>
      <c r="AE16" s="594"/>
    </row>
    <row r="17" spans="1:31" s="593" customFormat="1">
      <c r="A17" s="268"/>
      <c r="B17" s="298">
        <v>1982</v>
      </c>
      <c r="C17" s="285">
        <v>1258</v>
      </c>
      <c r="D17" s="285">
        <v>0</v>
      </c>
      <c r="E17" s="285">
        <f t="shared" si="1"/>
        <v>12.58</v>
      </c>
      <c r="F17" s="285">
        <f t="shared" si="2"/>
        <v>1509.6</v>
      </c>
      <c r="G17" s="299">
        <v>32325</v>
      </c>
      <c r="H17" s="300">
        <v>19.055848412183064</v>
      </c>
      <c r="I17" s="301">
        <v>0</v>
      </c>
      <c r="J17" s="267">
        <v>1982</v>
      </c>
      <c r="K17" s="285">
        <v>16462.575990755842</v>
      </c>
      <c r="L17" s="285"/>
      <c r="M17" s="285">
        <v>28836.862099466722</v>
      </c>
      <c r="N17" s="285"/>
      <c r="O17" s="299">
        <v>29952</v>
      </c>
      <c r="P17" s="302">
        <v>0.18</v>
      </c>
      <c r="Q17" s="299">
        <v>31778</v>
      </c>
      <c r="R17" s="310">
        <v>3607.0425343715965</v>
      </c>
      <c r="S17" s="310"/>
      <c r="T17" s="299">
        <v>31778</v>
      </c>
      <c r="U17" s="270">
        <v>1.4174820000000001E-4</v>
      </c>
      <c r="V17" s="270"/>
      <c r="W17" s="307">
        <f>1000/$R17*VLOOKUP(Q17,G$5:$I75,2)</f>
        <v>4.9413431665022864</v>
      </c>
      <c r="X17" s="303" t="str">
        <f>IFERROR(1000/$S17*VLOOKUP($Q17,G$5:$I75,3),"")</f>
        <v/>
      </c>
      <c r="Y17" s="1493">
        <f t="shared" si="0"/>
        <v>202.37412507171541</v>
      </c>
      <c r="Z17" s="303"/>
      <c r="AA17" s="1497"/>
      <c r="AB17" s="415">
        <v>30</v>
      </c>
      <c r="AC17" s="415">
        <v>2</v>
      </c>
      <c r="AD17" s="415"/>
      <c r="AE17" s="594"/>
    </row>
    <row r="18" spans="1:31" s="593" customFormat="1">
      <c r="A18" s="268"/>
      <c r="B18" s="290">
        <v>1983</v>
      </c>
      <c r="C18" s="291">
        <v>1319</v>
      </c>
      <c r="D18" s="291">
        <v>0</v>
      </c>
      <c r="E18" s="291">
        <f t="shared" si="1"/>
        <v>13.19</v>
      </c>
      <c r="F18" s="291">
        <f t="shared" si="2"/>
        <v>1582.8</v>
      </c>
      <c r="G18" s="292">
        <v>32690</v>
      </c>
      <c r="H18" s="293">
        <v>19.628495319122827</v>
      </c>
      <c r="I18" s="294">
        <v>0</v>
      </c>
      <c r="J18" s="295">
        <v>1983</v>
      </c>
      <c r="K18" s="291">
        <v>17022.440600665701</v>
      </c>
      <c r="L18" s="291"/>
      <c r="M18" s="291">
        <v>30677.51287177311</v>
      </c>
      <c r="N18" s="291"/>
      <c r="O18" s="292">
        <v>30317</v>
      </c>
      <c r="P18" s="296">
        <v>0.18</v>
      </c>
      <c r="Q18" s="292">
        <v>32143</v>
      </c>
      <c r="R18" s="309">
        <v>3718.9080850585174</v>
      </c>
      <c r="S18" s="309"/>
      <c r="T18" s="292">
        <v>32143</v>
      </c>
      <c r="U18" s="305">
        <v>1.374844E-4</v>
      </c>
      <c r="V18" s="305"/>
      <c r="W18" s="306">
        <f>1000/$R18*VLOOKUP(Q18,G$5:$I76,2)</f>
        <v>4.9741859273158431</v>
      </c>
      <c r="X18" s="297" t="str">
        <f>IFERROR(1000/$S18*VLOOKUP($Q18,G$5:$I76,3),"")</f>
        <v/>
      </c>
      <c r="Y18" s="1494">
        <f t="shared" si="0"/>
        <v>201.03792150359311</v>
      </c>
      <c r="Z18" s="297"/>
      <c r="AA18" s="1497"/>
      <c r="AB18" s="415">
        <v>31</v>
      </c>
      <c r="AC18" s="415">
        <v>2</v>
      </c>
      <c r="AD18" s="415"/>
      <c r="AE18" s="594"/>
    </row>
    <row r="19" spans="1:31" s="593" customFormat="1">
      <c r="A19" s="268"/>
      <c r="B19" s="298">
        <v>1984</v>
      </c>
      <c r="C19" s="285">
        <v>1396</v>
      </c>
      <c r="D19" s="285">
        <v>0</v>
      </c>
      <c r="E19" s="285">
        <f t="shared" si="1"/>
        <v>13.96</v>
      </c>
      <c r="F19" s="285">
        <f t="shared" si="2"/>
        <v>1675.2</v>
      </c>
      <c r="G19" s="299">
        <v>33055</v>
      </c>
      <c r="H19" s="300">
        <v>20.236932657746326</v>
      </c>
      <c r="I19" s="301">
        <v>8.1551055050796855</v>
      </c>
      <c r="J19" s="267">
        <v>1984</v>
      </c>
      <c r="K19" s="285">
        <v>17533.221189980726</v>
      </c>
      <c r="L19" s="285"/>
      <c r="M19" s="285">
        <v>31904.613386644036</v>
      </c>
      <c r="N19" s="285"/>
      <c r="O19" s="299">
        <v>30682</v>
      </c>
      <c r="P19" s="302">
        <v>0.185</v>
      </c>
      <c r="Q19" s="299">
        <v>32509</v>
      </c>
      <c r="R19" s="310">
        <v>3830.4868010000869</v>
      </c>
      <c r="S19" s="310"/>
      <c r="T19" s="299">
        <v>32509</v>
      </c>
      <c r="U19" s="270">
        <v>1.334796E-4</v>
      </c>
      <c r="V19" s="270"/>
      <c r="W19" s="307">
        <f>1000/$R19*VLOOKUP(Q19,G$5:$I77,2)</f>
        <v>4.9747850344263931</v>
      </c>
      <c r="X19" s="303" t="str">
        <f>IFERROR(1000/$S19*VLOOKUP($Q19,G$5:$I77,3),"")</f>
        <v/>
      </c>
      <c r="Y19" s="1493">
        <f t="shared" si="0"/>
        <v>201.01371075932386</v>
      </c>
      <c r="Z19" s="303"/>
      <c r="AA19" s="1497"/>
      <c r="AB19" s="415">
        <v>32</v>
      </c>
      <c r="AC19" s="415">
        <v>1.9</v>
      </c>
      <c r="AD19" s="415"/>
      <c r="AE19" s="594"/>
    </row>
    <row r="20" spans="1:31" s="593" customFormat="1">
      <c r="A20" s="268"/>
      <c r="B20" s="290">
        <v>1985</v>
      </c>
      <c r="C20" s="291">
        <v>1432</v>
      </c>
      <c r="D20" s="291">
        <v>0</v>
      </c>
      <c r="E20" s="291">
        <f t="shared" si="1"/>
        <v>14.32</v>
      </c>
      <c r="F20" s="291">
        <f t="shared" si="2"/>
        <v>1718.3999999999999</v>
      </c>
      <c r="G20" s="292">
        <v>33239</v>
      </c>
      <c r="H20" s="293">
        <v>20.236932657746326</v>
      </c>
      <c r="I20" s="294">
        <v>9.3822060199506101</v>
      </c>
      <c r="J20" s="295">
        <v>1985</v>
      </c>
      <c r="K20" s="291">
        <v>18041.445319889765</v>
      </c>
      <c r="L20" s="291"/>
      <c r="M20" s="291">
        <v>33131.713901514959</v>
      </c>
      <c r="N20" s="291"/>
      <c r="O20" s="292">
        <v>31048</v>
      </c>
      <c r="P20" s="296">
        <v>0.187</v>
      </c>
      <c r="Q20" s="292">
        <v>32874</v>
      </c>
      <c r="R20" s="309">
        <v>4010.5234094987809</v>
      </c>
      <c r="S20" s="309"/>
      <c r="T20" s="292">
        <v>32874</v>
      </c>
      <c r="U20" s="305">
        <v>1.2748760000000001E-4</v>
      </c>
      <c r="V20" s="305"/>
      <c r="W20" s="306">
        <f>1000/$R20*VLOOKUP(Q20,G$5:$I78,2)</f>
        <v>4.894247786369589</v>
      </c>
      <c r="X20" s="297" t="str">
        <f>IFERROR(1000/$S20*VLOOKUP($Q20,G$5:$I78,3),"")</f>
        <v/>
      </c>
      <c r="Y20" s="1494">
        <f t="shared" si="0"/>
        <v>204.32148997134675</v>
      </c>
      <c r="Z20" s="297"/>
      <c r="AA20" s="1497"/>
      <c r="AB20" s="415">
        <v>33</v>
      </c>
      <c r="AC20" s="415">
        <v>1.9</v>
      </c>
      <c r="AD20" s="415"/>
      <c r="AE20" s="594"/>
    </row>
    <row r="21" spans="1:31" s="593" customFormat="1">
      <c r="A21" s="268"/>
      <c r="B21" s="298">
        <v>1986</v>
      </c>
      <c r="C21" s="285">
        <v>1467</v>
      </c>
      <c r="D21" s="285">
        <v>0</v>
      </c>
      <c r="E21" s="285">
        <f t="shared" si="1"/>
        <v>14.67</v>
      </c>
      <c r="F21" s="285">
        <f t="shared" si="2"/>
        <v>1760.3999999999999</v>
      </c>
      <c r="G21" s="299">
        <v>33420</v>
      </c>
      <c r="H21" s="300">
        <v>21.187935556771293</v>
      </c>
      <c r="I21" s="301">
        <v>10.788258693240211</v>
      </c>
      <c r="J21" s="267">
        <v>1986</v>
      </c>
      <c r="K21" s="285">
        <v>18727.087732573895</v>
      </c>
      <c r="L21" s="285"/>
      <c r="M21" s="285">
        <v>34358.814416385881</v>
      </c>
      <c r="N21" s="285"/>
      <c r="O21" s="299">
        <v>31413</v>
      </c>
      <c r="P21" s="302">
        <v>0.192</v>
      </c>
      <c r="Q21" s="299">
        <v>33239</v>
      </c>
      <c r="R21" s="310">
        <v>4198.9738371944386</v>
      </c>
      <c r="S21" s="310"/>
      <c r="T21" s="299">
        <v>33239</v>
      </c>
      <c r="U21" s="270">
        <v>1.2176590000000001E-4</v>
      </c>
      <c r="V21" s="270"/>
      <c r="W21" s="307">
        <f>1000/$R21*VLOOKUP(Q21,G$5:$I79,2)</f>
        <v>4.8194948200171961</v>
      </c>
      <c r="X21" s="303" t="str">
        <f>IFERROR(1000/$S21*VLOOKUP($Q21,G$5:$I79,3),"")</f>
        <v/>
      </c>
      <c r="Y21" s="1493">
        <f t="shared" si="0"/>
        <v>207.49062657908033</v>
      </c>
      <c r="Z21" s="303"/>
      <c r="AA21" s="1497"/>
      <c r="AB21" s="415">
        <v>34</v>
      </c>
      <c r="AC21" s="415">
        <v>1.8</v>
      </c>
      <c r="AD21" s="415"/>
      <c r="AE21" s="594"/>
    </row>
    <row r="22" spans="1:31" s="593" customFormat="1">
      <c r="A22" s="268"/>
      <c r="B22" s="290">
        <v>1987</v>
      </c>
      <c r="C22" s="291">
        <v>1539</v>
      </c>
      <c r="D22" s="291">
        <v>0</v>
      </c>
      <c r="E22" s="291">
        <f t="shared" si="1"/>
        <v>15.39</v>
      </c>
      <c r="F22" s="291">
        <f t="shared" si="2"/>
        <v>1846.8</v>
      </c>
      <c r="G22" s="292">
        <v>33604</v>
      </c>
      <c r="H22" s="293">
        <v>21.187935556771293</v>
      </c>
      <c r="I22" s="294">
        <v>12.05114963979487</v>
      </c>
      <c r="J22" s="295">
        <v>1987</v>
      </c>
      <c r="K22" s="291">
        <v>19288.997510008539</v>
      </c>
      <c r="L22" s="291"/>
      <c r="M22" s="291">
        <v>34972.364673821343</v>
      </c>
      <c r="N22" s="291"/>
      <c r="O22" s="292">
        <v>31778</v>
      </c>
      <c r="P22" s="296">
        <v>0.187</v>
      </c>
      <c r="Q22" s="292">
        <v>33329</v>
      </c>
      <c r="R22" s="309">
        <v>3974.429781729496</v>
      </c>
      <c r="S22" s="309"/>
      <c r="T22" s="292">
        <v>33329</v>
      </c>
      <c r="U22" s="305">
        <v>1.2864530000000001E-4</v>
      </c>
      <c r="V22" s="305"/>
      <c r="W22" s="306">
        <f>1000/$R22*VLOOKUP(Q22,G$5:$I80,2)</f>
        <v>5.0917826629560201</v>
      </c>
      <c r="X22" s="297" t="str">
        <f>IFERROR(1000/$S22*VLOOKUP($Q22,G$5:$I80,3),"")</f>
        <v/>
      </c>
      <c r="Y22" s="1494">
        <f t="shared" si="0"/>
        <v>196.39487114704397</v>
      </c>
      <c r="Z22" s="297"/>
      <c r="AA22" s="1497"/>
      <c r="AB22" s="415">
        <v>35</v>
      </c>
      <c r="AC22" s="415">
        <v>1.7</v>
      </c>
      <c r="AD22" s="415"/>
      <c r="AE22" s="594"/>
    </row>
    <row r="23" spans="1:31" s="593" customFormat="1">
      <c r="A23" s="268"/>
      <c r="B23" s="298">
        <v>1988</v>
      </c>
      <c r="C23" s="285">
        <v>1575</v>
      </c>
      <c r="D23" s="285">
        <v>0</v>
      </c>
      <c r="E23" s="285">
        <f t="shared" si="1"/>
        <v>15.75</v>
      </c>
      <c r="F23" s="285">
        <f t="shared" si="2"/>
        <v>1890</v>
      </c>
      <c r="G23" s="299">
        <v>33786</v>
      </c>
      <c r="H23" s="300">
        <v>21.796372895394796</v>
      </c>
      <c r="I23" s="301">
        <v>13.585025283383526</v>
      </c>
      <c r="J23" s="267">
        <v>1988</v>
      </c>
      <c r="K23" s="285">
        <v>19887.209011008115</v>
      </c>
      <c r="L23" s="285"/>
      <c r="M23" s="285">
        <v>36813.015446127734</v>
      </c>
      <c r="N23" s="285"/>
      <c r="O23" s="299">
        <v>32143</v>
      </c>
      <c r="P23" s="302">
        <v>0.187</v>
      </c>
      <c r="Q23" s="299">
        <v>33604</v>
      </c>
      <c r="R23" s="310">
        <v>4152.8931451097487</v>
      </c>
      <c r="S23" s="310">
        <v>2834.352423267871</v>
      </c>
      <c r="T23" s="299">
        <v>33604</v>
      </c>
      <c r="U23" s="270">
        <v>1.2311700000000001E-4</v>
      </c>
      <c r="V23" s="270">
        <v>1.8039109999999999E-4</v>
      </c>
      <c r="W23" s="307">
        <f>1000/$R23*VLOOKUP(Q23,G$5:$I81,2)</f>
        <v>5.1019698355882834</v>
      </c>
      <c r="X23" s="303">
        <f>IFERROR(1000/$S23*VLOOKUP($Q23,G$5:$I81,3),"")</f>
        <v>4.2518176430228385</v>
      </c>
      <c r="Y23" s="1493">
        <f t="shared" si="0"/>
        <v>196.00272683397682</v>
      </c>
      <c r="Z23" s="303">
        <f>1000/X23</f>
        <v>235.19352991090369</v>
      </c>
      <c r="AA23" s="1497"/>
      <c r="AB23" s="415">
        <v>36</v>
      </c>
      <c r="AC23" s="415">
        <v>1.7</v>
      </c>
      <c r="AD23" s="415"/>
      <c r="AE23" s="594"/>
    </row>
    <row r="24" spans="1:31" s="593" customFormat="1">
      <c r="A24" s="268"/>
      <c r="B24" s="290">
        <v>1989</v>
      </c>
      <c r="C24" s="291">
        <v>1611</v>
      </c>
      <c r="D24" s="291">
        <v>0</v>
      </c>
      <c r="E24" s="291">
        <f t="shared" si="1"/>
        <v>16.11</v>
      </c>
      <c r="F24" s="291">
        <f t="shared" si="2"/>
        <v>1933.1999999999998</v>
      </c>
      <c r="G24" s="292">
        <v>33970</v>
      </c>
      <c r="H24" s="293">
        <v>21.796372895394796</v>
      </c>
      <c r="I24" s="294">
        <v>14.4133181309214</v>
      </c>
      <c r="J24" s="295">
        <v>1989</v>
      </c>
      <c r="K24" s="291">
        <v>20483.886636364103</v>
      </c>
      <c r="L24" s="291"/>
      <c r="M24" s="291">
        <v>37426.565703563196</v>
      </c>
      <c r="N24" s="291"/>
      <c r="O24" s="292">
        <v>32509</v>
      </c>
      <c r="P24" s="296">
        <v>0.187</v>
      </c>
      <c r="Q24" s="292">
        <v>33970</v>
      </c>
      <c r="R24" s="309">
        <v>4443.6505217733647</v>
      </c>
      <c r="S24" s="309">
        <v>3234.333300951514</v>
      </c>
      <c r="T24" s="292">
        <v>33970</v>
      </c>
      <c r="U24" s="305">
        <v>1.150612E-4</v>
      </c>
      <c r="V24" s="305">
        <v>1.580826E-4</v>
      </c>
      <c r="W24" s="306">
        <f>1000/$R24*VLOOKUP(Q24,G$5:$I82,2)</f>
        <v>4.9050601051084319</v>
      </c>
      <c r="X24" s="297">
        <f>IFERROR(1000/$S24*VLOOKUP($Q24,G$5:$I82,3),"")</f>
        <v>4.456349049333018</v>
      </c>
      <c r="Y24" s="1494">
        <f t="shared" si="0"/>
        <v>203.87110016420357</v>
      </c>
      <c r="Z24" s="297">
        <f t="shared" ref="Z24:Z55" si="3">1000/X24</f>
        <v>224.3989393401915</v>
      </c>
      <c r="AA24" s="1497"/>
      <c r="AB24" s="415">
        <v>37</v>
      </c>
      <c r="AC24" s="415">
        <v>1.6</v>
      </c>
      <c r="AD24" s="415"/>
      <c r="AE24" s="594"/>
    </row>
    <row r="25" spans="1:31" s="593" customFormat="1">
      <c r="A25" s="268"/>
      <c r="B25" s="298">
        <v>1990</v>
      </c>
      <c r="C25" s="285">
        <v>1682.1502891355588</v>
      </c>
      <c r="D25" s="285">
        <v>0</v>
      </c>
      <c r="E25" s="285">
        <f t="shared" si="1"/>
        <v>16.821502891355589</v>
      </c>
      <c r="F25" s="285">
        <f t="shared" si="2"/>
        <v>2018.5803469626703</v>
      </c>
      <c r="G25" s="299">
        <v>34151</v>
      </c>
      <c r="H25" s="300">
        <v>22.747375794419764</v>
      </c>
      <c r="I25" s="301">
        <v>16.448259818082349</v>
      </c>
      <c r="J25" s="267">
        <v>1990</v>
      </c>
      <c r="K25" s="285">
        <v>21446.64924865658</v>
      </c>
      <c r="L25" s="285"/>
      <c r="M25" s="285">
        <v>38653.666218434118</v>
      </c>
      <c r="N25" s="285">
        <v>16565.856950757479</v>
      </c>
      <c r="O25" s="299">
        <v>32874</v>
      </c>
      <c r="P25" s="302">
        <v>0.187</v>
      </c>
      <c r="Q25" s="299">
        <v>34335</v>
      </c>
      <c r="R25" s="310">
        <v>5092.6634727967157</v>
      </c>
      <c r="S25" s="310">
        <v>3943.8267640848135</v>
      </c>
      <c r="T25" s="299">
        <v>34335</v>
      </c>
      <c r="U25" s="270">
        <v>1.003977E-4</v>
      </c>
      <c r="V25" s="270">
        <v>1.2964359999999999E-4</v>
      </c>
      <c r="W25" s="307">
        <f>1000/$R25*VLOOKUP(Q25,G$5:$I83,2)</f>
        <v>4.466695259941786</v>
      </c>
      <c r="X25" s="303">
        <f>IFERROR(1000/$S25*VLOOKUP($Q25,G$5:$I83,3),"")</f>
        <v>4.3223174694991089</v>
      </c>
      <c r="Y25" s="1493">
        <f t="shared" si="0"/>
        <v>223.87916385704651</v>
      </c>
      <c r="Z25" s="303">
        <f t="shared" si="3"/>
        <v>231.35736952609471</v>
      </c>
      <c r="AA25" s="1497"/>
      <c r="AB25" s="415">
        <v>38</v>
      </c>
      <c r="AC25" s="415">
        <v>1.6</v>
      </c>
      <c r="AD25" s="415"/>
      <c r="AE25" s="594"/>
    </row>
    <row r="26" spans="1:31" s="593" customFormat="1">
      <c r="A26" s="268"/>
      <c r="B26" s="290">
        <v>1991</v>
      </c>
      <c r="C26" s="291">
        <v>1717.9407208192943</v>
      </c>
      <c r="D26" s="291">
        <v>0</v>
      </c>
      <c r="E26" s="291">
        <f t="shared" si="1"/>
        <v>17.179407208192941</v>
      </c>
      <c r="F26" s="291">
        <f t="shared" si="2"/>
        <v>2061.5288649831532</v>
      </c>
      <c r="G26" s="292">
        <v>34335</v>
      </c>
      <c r="H26" s="293">
        <v>22.747375794419764</v>
      </c>
      <c r="I26" s="294">
        <v>17.046471319081927</v>
      </c>
      <c r="J26" s="295">
        <v>1991</v>
      </c>
      <c r="K26" s="291">
        <v>22712.09665461722</v>
      </c>
      <c r="L26" s="291"/>
      <c r="M26" s="291">
        <v>39880.766733305041</v>
      </c>
      <c r="N26" s="291">
        <v>18406.507723063867</v>
      </c>
      <c r="O26" s="292">
        <v>33239</v>
      </c>
      <c r="P26" s="296">
        <v>0.187</v>
      </c>
      <c r="Q26" s="292">
        <v>34700</v>
      </c>
      <c r="R26" s="309">
        <v>4847.4519769100589</v>
      </c>
      <c r="S26" s="309">
        <v>3940.3771800207587</v>
      </c>
      <c r="T26" s="292">
        <v>34700</v>
      </c>
      <c r="U26" s="305">
        <v>1.0547640000000001E-4</v>
      </c>
      <c r="V26" s="305">
        <v>1.2975709999999999E-4</v>
      </c>
      <c r="W26" s="306">
        <f>1000/$R26*VLOOKUP(Q26,G$5:$I84,2)</f>
        <v>4.8519153252175551</v>
      </c>
      <c r="X26" s="297">
        <f>IFERROR(1000/$S26*VLOOKUP($Q26,G$5:$I84,3),"")</f>
        <v>4.4701317925907125</v>
      </c>
      <c r="Y26" s="1494">
        <f t="shared" si="0"/>
        <v>206.1041739130435</v>
      </c>
      <c r="Z26" s="297">
        <f t="shared" si="3"/>
        <v>223.70705079825831</v>
      </c>
      <c r="AA26" s="1497"/>
      <c r="AB26" s="415">
        <v>39</v>
      </c>
      <c r="AC26" s="415">
        <v>1.6</v>
      </c>
      <c r="AD26" s="415"/>
      <c r="AE26" s="594"/>
    </row>
    <row r="27" spans="1:31" s="593" customFormat="1">
      <c r="A27" s="268"/>
      <c r="B27" s="298">
        <v>1992</v>
      </c>
      <c r="C27" s="285">
        <v>1789.5215841867648</v>
      </c>
      <c r="D27" s="285">
        <v>1073.7129505120588</v>
      </c>
      <c r="E27" s="285">
        <f t="shared" si="1"/>
        <v>17.89521584186765</v>
      </c>
      <c r="F27" s="285">
        <f t="shared" si="2"/>
        <v>2147.4259010241176</v>
      </c>
      <c r="G27" s="299">
        <v>34516</v>
      </c>
      <c r="H27" s="300">
        <v>23.519426535026049</v>
      </c>
      <c r="I27" s="301">
        <v>17.634456982457579</v>
      </c>
      <c r="J27" s="267">
        <v>1992</v>
      </c>
      <c r="K27" s="285">
        <v>23938.685877606949</v>
      </c>
      <c r="L27" s="285"/>
      <c r="M27" s="285">
        <v>41721.417505611433</v>
      </c>
      <c r="N27" s="285">
        <v>29450.412356902187</v>
      </c>
      <c r="O27" s="299">
        <v>33329</v>
      </c>
      <c r="P27" s="302">
        <v>0.17699999999999999</v>
      </c>
      <c r="Q27" s="299">
        <v>35065</v>
      </c>
      <c r="R27" s="310">
        <v>5017.172249121857</v>
      </c>
      <c r="S27" s="310">
        <v>4266.3029506654466</v>
      </c>
      <c r="T27" s="299">
        <v>35065</v>
      </c>
      <c r="U27" s="270">
        <v>1.019084E-4</v>
      </c>
      <c r="V27" s="270">
        <v>1.1984429999999999E-4</v>
      </c>
      <c r="W27" s="307">
        <f>1000/$R27*VLOOKUP(Q27,G$5:$I85,2)</f>
        <v>4.7112242701729654</v>
      </c>
      <c r="X27" s="303">
        <f>IFERROR(1000/$S27*VLOOKUP($Q27,G$5:$I85,3),"")</f>
        <v>4.5444939937836555</v>
      </c>
      <c r="Y27" s="1493">
        <f t="shared" si="0"/>
        <v>212.25905256327067</v>
      </c>
      <c r="Z27" s="303">
        <f t="shared" si="3"/>
        <v>220.04650052742613</v>
      </c>
      <c r="AA27" s="1497"/>
      <c r="AB27" s="415">
        <v>40</v>
      </c>
      <c r="AC27" s="415">
        <v>1.5</v>
      </c>
      <c r="AD27" s="415"/>
      <c r="AE27" s="594"/>
    </row>
    <row r="28" spans="1:31" s="593" customFormat="1">
      <c r="A28" s="268"/>
      <c r="B28" s="290">
        <v>1993</v>
      </c>
      <c r="C28" s="291">
        <v>1896.8928792379706</v>
      </c>
      <c r="D28" s="291">
        <v>1395.8268356656765</v>
      </c>
      <c r="E28" s="291">
        <f t="shared" si="1"/>
        <v>18.968928792379707</v>
      </c>
      <c r="F28" s="291">
        <f t="shared" si="2"/>
        <v>2276.2714550855649</v>
      </c>
      <c r="G28" s="292">
        <v>34700</v>
      </c>
      <c r="H28" s="293">
        <v>23.519426535026049</v>
      </c>
      <c r="I28" s="294">
        <v>17.61400530720973</v>
      </c>
      <c r="J28" s="295">
        <v>1993</v>
      </c>
      <c r="K28" s="291">
        <v>24633.020252271413</v>
      </c>
      <c r="L28" s="291"/>
      <c r="M28" s="291">
        <v>44175.618535353278</v>
      </c>
      <c r="N28" s="291">
        <v>32518.163644079497</v>
      </c>
      <c r="O28" s="292">
        <v>33604</v>
      </c>
      <c r="P28" s="296">
        <v>0.17699999999999999</v>
      </c>
      <c r="Q28" s="292">
        <v>35431</v>
      </c>
      <c r="R28" s="309">
        <v>5584.6459048076777</v>
      </c>
      <c r="S28" s="309">
        <v>4798.6302490502758</v>
      </c>
      <c r="T28" s="292">
        <v>35431</v>
      </c>
      <c r="U28" s="305">
        <v>9.1553100000000003E-5</v>
      </c>
      <c r="V28" s="305">
        <v>1.0654949999999999E-4</v>
      </c>
      <c r="W28" s="306">
        <f>1000/$R28*VLOOKUP(Q28,G$5:$I86,2)</f>
        <v>4.2727851509592298</v>
      </c>
      <c r="X28" s="297">
        <f>IFERROR(1000/$S28*VLOOKUP($Q28,G$5:$I86,3),"")</f>
        <v>4.0893716293716613</v>
      </c>
      <c r="Y28" s="1494">
        <f t="shared" si="0"/>
        <v>234.03938290122133</v>
      </c>
      <c r="Z28" s="297">
        <f t="shared" si="3"/>
        <v>244.5363470557582</v>
      </c>
      <c r="AA28" s="1497"/>
      <c r="AB28" s="415">
        <v>41</v>
      </c>
      <c r="AC28" s="415">
        <v>1.5</v>
      </c>
      <c r="AD28" s="415"/>
      <c r="AE28" s="594"/>
    </row>
    <row r="29" spans="1:31" s="593" customFormat="1">
      <c r="A29" s="268"/>
      <c r="B29" s="298">
        <v>1994</v>
      </c>
      <c r="C29" s="285">
        <v>2004.2641742891765</v>
      </c>
      <c r="D29" s="285">
        <v>1574.7789940843529</v>
      </c>
      <c r="E29" s="285">
        <f t="shared" si="1"/>
        <v>20.042641742891764</v>
      </c>
      <c r="F29" s="285">
        <f t="shared" si="2"/>
        <v>2405.1170091470117</v>
      </c>
      <c r="G29" s="299">
        <v>34881</v>
      </c>
      <c r="H29" s="300">
        <v>23.637023667701179</v>
      </c>
      <c r="I29" s="301">
        <v>18.575234043858618</v>
      </c>
      <c r="J29" s="267">
        <v>1994</v>
      </c>
      <c r="K29" s="285">
        <v>25125.90562574457</v>
      </c>
      <c r="L29" s="285"/>
      <c r="M29" s="285">
        <v>46629.819565095124</v>
      </c>
      <c r="N29" s="285">
        <v>36199.465188692273</v>
      </c>
      <c r="O29" s="299">
        <v>33970</v>
      </c>
      <c r="P29" s="302">
        <v>0.17499999999999999</v>
      </c>
      <c r="Q29" s="299">
        <v>35796</v>
      </c>
      <c r="R29" s="310">
        <v>5578.3145774428249</v>
      </c>
      <c r="S29" s="310">
        <v>4648.2081264731596</v>
      </c>
      <c r="T29" s="299">
        <v>35796</v>
      </c>
      <c r="U29" s="270">
        <v>9.16571E-5</v>
      </c>
      <c r="V29" s="270">
        <v>1.099976E-4</v>
      </c>
      <c r="W29" s="307">
        <f>1000/$R29*VLOOKUP(Q29,G$5:$I87,2)</f>
        <v>4.3482106480749501</v>
      </c>
      <c r="X29" s="303">
        <f>IFERROR(1000/$S29*VLOOKUP($Q29,G$5:$I87,3),"")</f>
        <v>4.4560040221293677</v>
      </c>
      <c r="Y29" s="1493">
        <f t="shared" si="0"/>
        <v>229.97965851602024</v>
      </c>
      <c r="Z29" s="303">
        <f t="shared" si="3"/>
        <v>224.41631449024931</v>
      </c>
      <c r="AA29" s="1497"/>
      <c r="AB29" s="415">
        <v>42</v>
      </c>
      <c r="AC29" s="415">
        <v>1.4</v>
      </c>
      <c r="AD29" s="415"/>
      <c r="AE29" s="594"/>
    </row>
    <row r="30" spans="1:31" s="593" customFormat="1">
      <c r="A30" s="268"/>
      <c r="B30" s="290">
        <v>1995</v>
      </c>
      <c r="C30" s="291">
        <v>2075.845037656647</v>
      </c>
      <c r="D30" s="291">
        <v>1682.1502891355588</v>
      </c>
      <c r="E30" s="291">
        <f t="shared" si="1"/>
        <v>20.758450376566472</v>
      </c>
      <c r="F30" s="291">
        <f t="shared" si="2"/>
        <v>2491.0140451879765</v>
      </c>
      <c r="G30" s="292">
        <v>35065</v>
      </c>
      <c r="H30" s="293">
        <v>23.637023667701179</v>
      </c>
      <c r="I30" s="294">
        <v>19.388188134960608</v>
      </c>
      <c r="J30" s="295">
        <v>1995</v>
      </c>
      <c r="K30" s="291">
        <v>25904.603160806411</v>
      </c>
      <c r="L30" s="291"/>
      <c r="M30" s="291">
        <v>47856.920079966054</v>
      </c>
      <c r="N30" s="291">
        <v>39267.21647586958</v>
      </c>
      <c r="O30" s="292">
        <v>34335</v>
      </c>
      <c r="P30" s="296">
        <v>0.192</v>
      </c>
      <c r="Q30" s="292">
        <v>36161</v>
      </c>
      <c r="R30" s="309">
        <v>5509.5003144445072</v>
      </c>
      <c r="S30" s="309">
        <v>4646.6225080911936</v>
      </c>
      <c r="T30" s="292">
        <v>36161</v>
      </c>
      <c r="U30" s="305">
        <v>9.2801900000000003E-5</v>
      </c>
      <c r="V30" s="305">
        <v>1.100352E-4</v>
      </c>
      <c r="W30" s="306">
        <f>1000/$R30*VLOOKUP(Q30,G$5:$I88,2)</f>
        <v>4.422008666580175</v>
      </c>
      <c r="X30" s="297">
        <f>IFERROR(1000/$S30*VLOOKUP($Q30,G$5:$I88,3),"")</f>
        <v>4.4971372535862857</v>
      </c>
      <c r="Y30" s="1494">
        <f t="shared" si="0"/>
        <v>226.14157397691503</v>
      </c>
      <c r="Z30" s="297">
        <f t="shared" si="3"/>
        <v>222.36368240763395</v>
      </c>
      <c r="AA30" s="1497"/>
      <c r="AB30" s="415">
        <v>43</v>
      </c>
      <c r="AC30" s="415">
        <v>1.4</v>
      </c>
      <c r="AD30" s="415"/>
      <c r="AE30" s="594"/>
    </row>
    <row r="31" spans="1:31" s="593" customFormat="1">
      <c r="A31" s="268"/>
      <c r="B31" s="298">
        <v>1996</v>
      </c>
      <c r="C31" s="285">
        <v>2111.6354693403823</v>
      </c>
      <c r="D31" s="285">
        <v>1789.5215841867648</v>
      </c>
      <c r="E31" s="285">
        <f t="shared" si="1"/>
        <v>21.116354693403824</v>
      </c>
      <c r="F31" s="285">
        <f t="shared" si="2"/>
        <v>2533.9625632084585</v>
      </c>
      <c r="G31" s="299">
        <v>35247</v>
      </c>
      <c r="H31" s="300">
        <v>23.861992095427517</v>
      </c>
      <c r="I31" s="301">
        <v>19.623382400310867</v>
      </c>
      <c r="J31" s="267">
        <v>1996</v>
      </c>
      <c r="K31" s="285">
        <v>26422.541836458178</v>
      </c>
      <c r="L31" s="285"/>
      <c r="M31" s="285">
        <v>49084.020594836977</v>
      </c>
      <c r="N31" s="285">
        <v>41721.417505611433</v>
      </c>
      <c r="O31" s="299">
        <v>34700</v>
      </c>
      <c r="P31" s="302">
        <v>0.186</v>
      </c>
      <c r="Q31" s="299">
        <v>36251</v>
      </c>
      <c r="R31" s="310">
        <v>5292.3771493432459</v>
      </c>
      <c r="S31" s="310">
        <v>4463.5043945537191</v>
      </c>
      <c r="T31" s="299">
        <v>36251</v>
      </c>
      <c r="U31" s="270">
        <v>9.6609100000000003E-5</v>
      </c>
      <c r="V31" s="270">
        <v>1.145494E-4</v>
      </c>
      <c r="W31" s="307">
        <f>1000/$R31*VLOOKUP(Q31,G$5:$I89,2)</f>
        <v>4.6034244067475667</v>
      </c>
      <c r="X31" s="303">
        <f>IFERROR(1000/$S31*VLOOKUP($Q31,G$5:$I89,3),"")</f>
        <v>4.6816351766085296</v>
      </c>
      <c r="Y31" s="1493">
        <f t="shared" si="0"/>
        <v>217.22959076600213</v>
      </c>
      <c r="Z31" s="303">
        <f t="shared" si="3"/>
        <v>213.6005823342305</v>
      </c>
      <c r="AA31" s="1497"/>
      <c r="AB31" s="415">
        <v>44</v>
      </c>
      <c r="AC31" s="415">
        <v>1.3</v>
      </c>
      <c r="AD31" s="415"/>
      <c r="AE31" s="594"/>
    </row>
    <row r="32" spans="1:31" s="593" customFormat="1">
      <c r="A32" s="268"/>
      <c r="B32" s="290">
        <v>1997</v>
      </c>
      <c r="C32" s="291">
        <v>2183.2163327078529</v>
      </c>
      <c r="D32" s="291">
        <v>1861.1024475542354</v>
      </c>
      <c r="E32" s="291">
        <f t="shared" si="1"/>
        <v>21.832163327078529</v>
      </c>
      <c r="F32" s="291">
        <f t="shared" si="2"/>
        <v>2619.8595992494234</v>
      </c>
      <c r="G32" s="292">
        <v>35612</v>
      </c>
      <c r="H32" s="293">
        <v>24.255686843948606</v>
      </c>
      <c r="I32" s="294">
        <v>20.712434107258812</v>
      </c>
      <c r="J32" s="295">
        <v>1997</v>
      </c>
      <c r="K32" s="291">
        <v>26660.292561214421</v>
      </c>
      <c r="L32" s="291"/>
      <c r="M32" s="291">
        <v>50311.121109707899</v>
      </c>
      <c r="N32" s="291">
        <v>43562.068277917817</v>
      </c>
      <c r="O32" s="292">
        <v>35065</v>
      </c>
      <c r="P32" s="296">
        <v>0.192</v>
      </c>
      <c r="Q32" s="292">
        <v>36526</v>
      </c>
      <c r="R32" s="309">
        <v>5379.3064836923459</v>
      </c>
      <c r="S32" s="309">
        <v>4423.7718002075844</v>
      </c>
      <c r="T32" s="292">
        <v>36526</v>
      </c>
      <c r="U32" s="305">
        <f>0.0000950479*1.95583</f>
        <v>1.8589753425699999E-4</v>
      </c>
      <c r="V32" s="305">
        <v>1.155783E-4</v>
      </c>
      <c r="W32" s="306">
        <f>1000/$R32*VLOOKUP(Q32,G$5:$I90,2)</f>
        <v>4.5898639569645843</v>
      </c>
      <c r="X32" s="297">
        <f>IFERROR(1000/$S32*VLOOKUP($Q32,G$5:$I90,3),"")</f>
        <v>4.8554430244447104</v>
      </c>
      <c r="Y32" s="1494">
        <f t="shared" si="0"/>
        <v>217.8713812383516</v>
      </c>
      <c r="Z32" s="297">
        <f t="shared" si="3"/>
        <v>205.95442989764345</v>
      </c>
      <c r="AA32" s="1497"/>
      <c r="AB32" s="415">
        <v>45</v>
      </c>
      <c r="AC32" s="415">
        <v>1.3</v>
      </c>
      <c r="AD32" s="415"/>
      <c r="AE32" s="594"/>
    </row>
    <row r="33" spans="1:34" s="593" customFormat="1">
      <c r="A33" s="268"/>
      <c r="B33" s="298">
        <v>1998</v>
      </c>
      <c r="C33" s="285">
        <v>2219.0067643915881</v>
      </c>
      <c r="D33" s="285">
        <v>1861.1024475542354</v>
      </c>
      <c r="E33" s="285">
        <f t="shared" si="1"/>
        <v>22.190067643915881</v>
      </c>
      <c r="F33" s="285">
        <f t="shared" si="2"/>
        <v>2662.8081172699058</v>
      </c>
      <c r="G33" s="299">
        <v>35977</v>
      </c>
      <c r="H33" s="300">
        <v>24.363058138999811</v>
      </c>
      <c r="I33" s="301">
        <v>20.89649918448945</v>
      </c>
      <c r="J33" s="267">
        <v>1998</v>
      </c>
      <c r="K33" s="285">
        <v>27060.122812309863</v>
      </c>
      <c r="L33" s="285"/>
      <c r="M33" s="285">
        <v>51538.221624578822</v>
      </c>
      <c r="N33" s="285">
        <v>42948.518020482355</v>
      </c>
      <c r="O33" s="299">
        <v>35431</v>
      </c>
      <c r="P33" s="302">
        <v>0.20300000000000001</v>
      </c>
      <c r="Q33" s="299">
        <v>36892</v>
      </c>
      <c r="R33" s="310">
        <v>5340.2616791847968</v>
      </c>
      <c r="S33" s="310">
        <v>4473.7050254879005</v>
      </c>
      <c r="T33" s="299">
        <v>36892</v>
      </c>
      <c r="U33" s="270">
        <f>0.0000957429*1.95583</f>
        <v>1.87256836107E-4</v>
      </c>
      <c r="V33" s="270">
        <v>1.142882E-4</v>
      </c>
      <c r="W33" s="307">
        <f>1000/$R33*VLOOKUP(Q33,G$5:$I91,2)</f>
        <v>4.651187728370636</v>
      </c>
      <c r="X33" s="303">
        <f>IFERROR(1000/$S33*VLOOKUP($Q33,G$5:$I91,3),"")</f>
        <v>4.8298210937579018</v>
      </c>
      <c r="Y33" s="1493">
        <f t="shared" si="0"/>
        <v>214.99884726224786</v>
      </c>
      <c r="Z33" s="303">
        <f t="shared" si="3"/>
        <v>207.04700662565074</v>
      </c>
      <c r="AA33" s="1497"/>
      <c r="AB33" s="415">
        <v>46</v>
      </c>
      <c r="AC33" s="415">
        <v>1.3</v>
      </c>
      <c r="AD33" s="415"/>
      <c r="AE33" s="594"/>
    </row>
    <row r="34" spans="1:34" s="593" customFormat="1">
      <c r="A34" s="268"/>
      <c r="B34" s="290">
        <v>1999</v>
      </c>
      <c r="C34" s="291">
        <v>2254.7971960753234</v>
      </c>
      <c r="D34" s="291">
        <v>1896.8928792379706</v>
      </c>
      <c r="E34" s="291">
        <f t="shared" si="1"/>
        <v>22.547971960753234</v>
      </c>
      <c r="F34" s="291">
        <f t="shared" si="2"/>
        <v>2705.7566352903882</v>
      </c>
      <c r="G34" s="292">
        <v>36342</v>
      </c>
      <c r="H34" s="293">
        <v>24.690284942965391</v>
      </c>
      <c r="I34" s="294">
        <v>21.479371929053137</v>
      </c>
      <c r="J34" s="295">
        <v>1999</v>
      </c>
      <c r="K34" s="291">
        <v>27357.694687166062</v>
      </c>
      <c r="L34" s="291"/>
      <c r="M34" s="291">
        <v>52151.771882014284</v>
      </c>
      <c r="N34" s="291">
        <v>44175.618535353278</v>
      </c>
      <c r="O34" s="292">
        <v>35796</v>
      </c>
      <c r="P34" s="296">
        <v>0.20300000000000001</v>
      </c>
      <c r="Q34" s="292">
        <v>37257</v>
      </c>
      <c r="R34" s="309">
        <v>5446.9380000000001</v>
      </c>
      <c r="S34" s="309">
        <v>4545.5545000000002</v>
      </c>
      <c r="T34" s="292">
        <v>37257</v>
      </c>
      <c r="U34" s="305">
        <v>1.8358940000000001E-4</v>
      </c>
      <c r="V34" s="305">
        <v>2.199952E-4</v>
      </c>
      <c r="W34" s="306">
        <f>1000/$R34*VLOOKUP(Q34,G$5:$I92,2)</f>
        <v>4.6473929091949957</v>
      </c>
      <c r="X34" s="297">
        <f>IFERROR(1000/$S34*VLOOKUP($Q34,G$5:$I92,3),"")</f>
        <v>4.8535870978154216</v>
      </c>
      <c r="Y34" s="1494">
        <f t="shared" si="0"/>
        <v>215.17440413128665</v>
      </c>
      <c r="Z34" s="297">
        <f t="shared" si="3"/>
        <v>206.03318326152953</v>
      </c>
      <c r="AA34" s="1497"/>
      <c r="AB34" s="415">
        <v>47</v>
      </c>
      <c r="AC34" s="415">
        <v>1.2</v>
      </c>
      <c r="AD34" s="415"/>
      <c r="AE34" s="594"/>
    </row>
    <row r="35" spans="1:34" s="593" customFormat="1">
      <c r="A35" s="268"/>
      <c r="B35" s="298">
        <v>2000</v>
      </c>
      <c r="C35" s="285">
        <v>2290.5876277590587</v>
      </c>
      <c r="D35" s="285">
        <v>1861.1024475542354</v>
      </c>
      <c r="E35" s="285">
        <f t="shared" si="1"/>
        <v>22.905876277590586</v>
      </c>
      <c r="F35" s="285">
        <f t="shared" si="2"/>
        <v>2748.7051533108702</v>
      </c>
      <c r="G35" s="299">
        <v>36708</v>
      </c>
      <c r="H35" s="300">
        <v>24.838559588512293</v>
      </c>
      <c r="I35" s="301">
        <v>21.607194899352194</v>
      </c>
      <c r="J35" s="267">
        <v>2000</v>
      </c>
      <c r="K35" s="285">
        <v>27740.65230618203</v>
      </c>
      <c r="L35" s="285"/>
      <c r="M35" s="285">
        <v>52765.322139449752</v>
      </c>
      <c r="N35" s="285">
        <v>43562.068277917817</v>
      </c>
      <c r="O35" s="299">
        <v>36161</v>
      </c>
      <c r="P35" s="302">
        <v>0.20300000000000001</v>
      </c>
      <c r="Q35" s="299">
        <v>37622</v>
      </c>
      <c r="R35" s="310">
        <v>5699.85</v>
      </c>
      <c r="S35" s="310">
        <v>4770.1481000000003</v>
      </c>
      <c r="T35" s="299">
        <v>37622</v>
      </c>
      <c r="U35" s="270">
        <v>1.7544319999999999E-4</v>
      </c>
      <c r="V35" s="270">
        <v>2.0963709999999999E-4</v>
      </c>
      <c r="W35" s="307">
        <f>1000/$R35*VLOOKUP(Q35,G$5:$I93,2)</f>
        <v>4.5369614989868152</v>
      </c>
      <c r="X35" s="303">
        <f>IFERROR(1000/$S35*VLOOKUP($Q35,G$5:$I93,3),"")</f>
        <v>4.7587621021661777</v>
      </c>
      <c r="Y35" s="1493">
        <f t="shared" si="0"/>
        <v>220.41183294663574</v>
      </c>
      <c r="Z35" s="303">
        <f t="shared" si="3"/>
        <v>210.13868281938326</v>
      </c>
      <c r="AA35" s="1497"/>
      <c r="AB35" s="415">
        <v>48</v>
      </c>
      <c r="AC35" s="415">
        <v>1.2</v>
      </c>
      <c r="AD35" s="415"/>
      <c r="AE35" s="594"/>
    </row>
    <row r="36" spans="1:34" s="593" customFormat="1">
      <c r="A36" s="268"/>
      <c r="B36" s="290">
        <v>2001</v>
      </c>
      <c r="C36" s="291">
        <v>2290.5876277590587</v>
      </c>
      <c r="D36" s="291">
        <v>1932.6833109217059</v>
      </c>
      <c r="E36" s="291">
        <f t="shared" si="1"/>
        <v>22.905876277590586</v>
      </c>
      <c r="F36" s="291">
        <f t="shared" si="2"/>
        <v>2748.7051533108702</v>
      </c>
      <c r="G36" s="292">
        <v>37073</v>
      </c>
      <c r="H36" s="293">
        <v>25.314061038024775</v>
      </c>
      <c r="I36" s="294">
        <v>22.062244673616828</v>
      </c>
      <c r="J36" s="295">
        <v>2001</v>
      </c>
      <c r="K36" s="291">
        <v>28231.4925121304</v>
      </c>
      <c r="L36" s="291"/>
      <c r="M36" s="291">
        <v>53378.872396885214</v>
      </c>
      <c r="N36" s="291">
        <v>44789.16879278874</v>
      </c>
      <c r="O36" s="292">
        <v>36526</v>
      </c>
      <c r="P36" s="296">
        <v>0.193</v>
      </c>
      <c r="Q36" s="292">
        <v>37987</v>
      </c>
      <c r="R36" s="309">
        <v>5738.46</v>
      </c>
      <c r="S36" s="309">
        <v>4817.3774000000003</v>
      </c>
      <c r="T36" s="292">
        <v>37987</v>
      </c>
      <c r="U36" s="305">
        <v>1.7426280000000001E-4</v>
      </c>
      <c r="V36" s="305">
        <v>2.0758180000000001E-4</v>
      </c>
      <c r="W36" s="306">
        <f>1000/$R36*VLOOKUP(Q36,G$5:$I94,2)</f>
        <v>4.5534864754655429</v>
      </c>
      <c r="X36" s="297">
        <f>IFERROR(1000/$S36*VLOOKUP($Q36,G$5:$I94,3),"")</f>
        <v>4.7681545564605337</v>
      </c>
      <c r="Y36" s="1494">
        <f t="shared" si="0"/>
        <v>219.61194029850748</v>
      </c>
      <c r="Z36" s="297">
        <f t="shared" si="3"/>
        <v>209.72474531998259</v>
      </c>
      <c r="AA36" s="1497"/>
      <c r="AB36" s="415">
        <v>49</v>
      </c>
      <c r="AC36" s="415">
        <v>1.2</v>
      </c>
      <c r="AD36" s="415"/>
      <c r="AE36" s="594"/>
    </row>
    <row r="37" spans="1:34" s="593" customFormat="1">
      <c r="A37" s="268"/>
      <c r="B37" s="298">
        <v>2002</v>
      </c>
      <c r="C37" s="285">
        <v>2345</v>
      </c>
      <c r="D37" s="285">
        <v>1960</v>
      </c>
      <c r="E37" s="285">
        <f t="shared" si="1"/>
        <v>23.45</v>
      </c>
      <c r="F37" s="285">
        <f t="shared" si="2"/>
        <v>2814</v>
      </c>
      <c r="G37" s="299">
        <v>37438</v>
      </c>
      <c r="H37" s="300">
        <v>25.86</v>
      </c>
      <c r="I37" s="301">
        <v>22.7</v>
      </c>
      <c r="J37" s="267">
        <v>2002</v>
      </c>
      <c r="K37" s="285">
        <v>28626</v>
      </c>
      <c r="L37" s="285">
        <v>23911</v>
      </c>
      <c r="M37" s="285">
        <v>54000</v>
      </c>
      <c r="N37" s="285">
        <v>45000</v>
      </c>
      <c r="O37" s="299">
        <v>36892</v>
      </c>
      <c r="P37" s="302">
        <v>0.191</v>
      </c>
      <c r="Q37" s="299">
        <v>38353</v>
      </c>
      <c r="R37" s="310">
        <v>5765.9549999999999</v>
      </c>
      <c r="S37" s="310">
        <v>4851.4556000000002</v>
      </c>
      <c r="T37" s="299">
        <v>38353</v>
      </c>
      <c r="U37" s="270">
        <v>1.7343179999999999E-4</v>
      </c>
      <c r="V37" s="270">
        <v>2.061237E-4</v>
      </c>
      <c r="W37" s="307">
        <f>1000/$R37*VLOOKUP(Q37,G$5:$I95,2)</f>
        <v>4.5317731407893405</v>
      </c>
      <c r="X37" s="303">
        <f>IFERROR(1000/$S37*VLOOKUP($Q37,G$5:$I95,3),"")</f>
        <v>4.7346614900484711</v>
      </c>
      <c r="Y37" s="1493">
        <f t="shared" si="0"/>
        <v>220.6641791044776</v>
      </c>
      <c r="Z37" s="303">
        <f t="shared" si="3"/>
        <v>211.20834131475837</v>
      </c>
      <c r="AA37" s="1497"/>
      <c r="AB37" s="415">
        <v>50</v>
      </c>
      <c r="AC37" s="415">
        <v>1.1000000000000001</v>
      </c>
      <c r="AD37" s="415"/>
      <c r="AE37" s="594"/>
    </row>
    <row r="38" spans="1:34" s="593" customFormat="1">
      <c r="A38" s="268"/>
      <c r="B38" s="290">
        <v>2003</v>
      </c>
      <c r="C38" s="291">
        <v>2380</v>
      </c>
      <c r="D38" s="291">
        <v>1995</v>
      </c>
      <c r="E38" s="291">
        <f t="shared" si="1"/>
        <v>23.8</v>
      </c>
      <c r="F38" s="291">
        <f t="shared" si="2"/>
        <v>2856</v>
      </c>
      <c r="G38" s="292">
        <v>37803</v>
      </c>
      <c r="H38" s="293">
        <v>26.13</v>
      </c>
      <c r="I38" s="294">
        <v>22.97</v>
      </c>
      <c r="J38" s="295">
        <v>2003</v>
      </c>
      <c r="K38" s="291">
        <v>28938</v>
      </c>
      <c r="L38" s="291">
        <v>24230</v>
      </c>
      <c r="M38" s="291">
        <v>61200</v>
      </c>
      <c r="N38" s="291">
        <v>51000</v>
      </c>
      <c r="O38" s="292">
        <v>37257</v>
      </c>
      <c r="P38" s="296">
        <v>0.191</v>
      </c>
      <c r="Q38" s="292">
        <v>38718</v>
      </c>
      <c r="R38" s="309">
        <v>5714.28</v>
      </c>
      <c r="S38" s="309">
        <v>4797.4813000000004</v>
      </c>
      <c r="T38" s="292">
        <v>38718</v>
      </c>
      <c r="U38" s="305">
        <v>1.7500020000000001E-4</v>
      </c>
      <c r="V38" s="305">
        <v>2.084427E-4</v>
      </c>
      <c r="W38" s="306">
        <f>1000/$R38*VLOOKUP(Q38,G$5:$I96,2)</f>
        <v>4.5727545727545724</v>
      </c>
      <c r="X38" s="297">
        <f>IFERROR(1000/$S38*VLOOKUP($Q38,G$5:$I96,3),"")</f>
        <v>4.7879290326780426</v>
      </c>
      <c r="Y38" s="1494">
        <f t="shared" si="0"/>
        <v>218.68656716417911</v>
      </c>
      <c r="Z38" s="297">
        <f t="shared" si="3"/>
        <v>208.85856769699609</v>
      </c>
      <c r="AA38" s="1497"/>
      <c r="AB38" s="415">
        <v>51</v>
      </c>
      <c r="AC38" s="415">
        <v>1.1000000000000001</v>
      </c>
      <c r="AD38" s="565">
        <v>37803</v>
      </c>
      <c r="AE38" s="594">
        <v>2.3E-2</v>
      </c>
    </row>
    <row r="39" spans="1:34" s="593" customFormat="1">
      <c r="A39" s="268"/>
      <c r="B39" s="298">
        <v>2004</v>
      </c>
      <c r="C39" s="285">
        <v>2415</v>
      </c>
      <c r="D39" s="285">
        <v>2030</v>
      </c>
      <c r="E39" s="285">
        <f t="shared" si="1"/>
        <v>24.150000000000002</v>
      </c>
      <c r="F39" s="285">
        <f t="shared" si="2"/>
        <v>2898</v>
      </c>
      <c r="G39" s="299">
        <v>38169</v>
      </c>
      <c r="H39" s="300">
        <v>26.13</v>
      </c>
      <c r="I39" s="301">
        <v>22.97</v>
      </c>
      <c r="J39" s="267">
        <v>2004</v>
      </c>
      <c r="K39" s="285">
        <v>29060</v>
      </c>
      <c r="L39" s="285">
        <v>24355</v>
      </c>
      <c r="M39" s="285">
        <v>61800</v>
      </c>
      <c r="N39" s="285">
        <v>52200</v>
      </c>
      <c r="O39" s="299">
        <v>37622</v>
      </c>
      <c r="P39" s="302">
        <v>0.19500000000000001</v>
      </c>
      <c r="Q39" s="299">
        <v>39083</v>
      </c>
      <c r="R39" s="310">
        <v>5868.1120000000001</v>
      </c>
      <c r="S39" s="310">
        <v>5049.1413000000002</v>
      </c>
      <c r="T39" s="299">
        <v>39083</v>
      </c>
      <c r="U39" s="270">
        <v>1.7041260000000001E-4</v>
      </c>
      <c r="V39" s="270">
        <v>1.9805349999999999E-4</v>
      </c>
      <c r="W39" s="307">
        <f>1000/$R39*VLOOKUP(Q39,G$5:$I97,2)</f>
        <v>4.4528802449578331</v>
      </c>
      <c r="X39" s="303">
        <f>IFERROR(1000/$S39*VLOOKUP($Q39,G$5:$I97,3),"")</f>
        <v>4.5492884106848024</v>
      </c>
      <c r="Y39" s="1493">
        <f t="shared" si="0"/>
        <v>224.57374665135859</v>
      </c>
      <c r="Z39" s="303">
        <f t="shared" si="3"/>
        <v>219.81459730082719</v>
      </c>
      <c r="AA39" s="1497"/>
      <c r="AB39" s="415">
        <v>52</v>
      </c>
      <c r="AC39" s="415">
        <v>1.1000000000000001</v>
      </c>
      <c r="AD39" s="565">
        <v>38078</v>
      </c>
      <c r="AE39" s="594">
        <v>8.9999999999999993E-3</v>
      </c>
    </row>
    <row r="40" spans="1:34" s="593" customFormat="1">
      <c r="A40" s="268"/>
      <c r="B40" s="290">
        <v>2005</v>
      </c>
      <c r="C40" s="291">
        <v>2415</v>
      </c>
      <c r="D40" s="291">
        <v>2030</v>
      </c>
      <c r="E40" s="291">
        <f t="shared" si="1"/>
        <v>24.150000000000002</v>
      </c>
      <c r="F40" s="291">
        <f t="shared" si="2"/>
        <v>2898</v>
      </c>
      <c r="G40" s="292">
        <v>38534</v>
      </c>
      <c r="H40" s="293">
        <v>26.13</v>
      </c>
      <c r="I40" s="294">
        <v>22.97</v>
      </c>
      <c r="J40" s="295">
        <v>2005</v>
      </c>
      <c r="K40" s="291">
        <v>29202</v>
      </c>
      <c r="L40" s="291">
        <v>24691</v>
      </c>
      <c r="M40" s="291">
        <v>62400</v>
      </c>
      <c r="N40" s="291">
        <v>52800</v>
      </c>
      <c r="O40" s="292">
        <v>37987</v>
      </c>
      <c r="P40" s="296">
        <v>0.19500000000000001</v>
      </c>
      <c r="Q40" s="292">
        <v>39448</v>
      </c>
      <c r="R40" s="309">
        <v>5986.7160000000003</v>
      </c>
      <c r="S40" s="309">
        <v>5061.9084999999995</v>
      </c>
      <c r="T40" s="292">
        <v>39448</v>
      </c>
      <c r="U40" s="305">
        <v>1.670365E-4</v>
      </c>
      <c r="V40" s="305">
        <v>1.9755409999999999E-4</v>
      </c>
      <c r="W40" s="306">
        <f>1000/$R40*VLOOKUP(Q40,G$5:$I98,2)</f>
        <v>4.3880484726517839</v>
      </c>
      <c r="X40" s="297">
        <f>IFERROR(1000/$S40*VLOOKUP($Q40,G$5:$I98,3),"")</f>
        <v>4.5615206201376424</v>
      </c>
      <c r="Y40" s="1494">
        <f t="shared" si="0"/>
        <v>227.89173962695091</v>
      </c>
      <c r="Z40" s="297">
        <f t="shared" si="3"/>
        <v>219.22514075357296</v>
      </c>
      <c r="AA40" s="1497"/>
      <c r="AB40" s="415">
        <v>53</v>
      </c>
      <c r="AC40" s="415">
        <v>1</v>
      </c>
      <c r="AD40" s="565">
        <v>38200</v>
      </c>
      <c r="AE40" s="594">
        <v>8.9999999999999993E-3</v>
      </c>
    </row>
    <row r="41" spans="1:34" s="593" customFormat="1">
      <c r="A41" s="268"/>
      <c r="B41" s="298">
        <v>2006</v>
      </c>
      <c r="C41" s="285">
        <v>2450</v>
      </c>
      <c r="D41" s="285">
        <v>2065</v>
      </c>
      <c r="E41" s="285">
        <f t="shared" si="1"/>
        <v>24.5</v>
      </c>
      <c r="F41" s="285">
        <f t="shared" si="2"/>
        <v>2940</v>
      </c>
      <c r="G41" s="299">
        <v>38899</v>
      </c>
      <c r="H41" s="300">
        <v>26.13</v>
      </c>
      <c r="I41" s="301">
        <v>22.97</v>
      </c>
      <c r="J41" s="267">
        <v>2006</v>
      </c>
      <c r="K41" s="285">
        <v>29494</v>
      </c>
      <c r="L41" s="285">
        <v>24938</v>
      </c>
      <c r="M41" s="285">
        <v>63000</v>
      </c>
      <c r="N41" s="285">
        <v>52800</v>
      </c>
      <c r="O41" s="299">
        <v>38353</v>
      </c>
      <c r="P41" s="302">
        <v>0.19500000000000001</v>
      </c>
      <c r="Q41" s="299">
        <v>39814</v>
      </c>
      <c r="R41" s="310">
        <v>6144.9210000000003</v>
      </c>
      <c r="S41" s="310">
        <v>5177.7223999999997</v>
      </c>
      <c r="T41" s="299">
        <v>39814</v>
      </c>
      <c r="U41" s="270">
        <v>1.62736E-4</v>
      </c>
      <c r="V41" s="270">
        <v>1.9313509999999999E-4</v>
      </c>
      <c r="W41" s="307">
        <f>1000/$R41*VLOOKUP(Q41,G$5:$I99,2)</f>
        <v>4.3222687484509557</v>
      </c>
      <c r="X41" s="303">
        <f>IFERROR(1000/$S41*VLOOKUP($Q41,G$5:$I99,3),"")</f>
        <v>4.5077735337838893</v>
      </c>
      <c r="Y41" s="1493">
        <f t="shared" si="0"/>
        <v>231.35997740963859</v>
      </c>
      <c r="Z41" s="303">
        <f t="shared" si="3"/>
        <v>221.83900599828621</v>
      </c>
      <c r="AA41" s="1497"/>
      <c r="AB41" s="415">
        <v>54</v>
      </c>
      <c r="AC41" s="415">
        <v>1</v>
      </c>
      <c r="AD41" s="565">
        <v>39448</v>
      </c>
      <c r="AE41" s="594">
        <v>4.1799999999999997E-2</v>
      </c>
    </row>
    <row r="42" spans="1:34" s="593" customFormat="1">
      <c r="A42" s="268"/>
      <c r="B42" s="290">
        <v>2007</v>
      </c>
      <c r="C42" s="291">
        <v>2450</v>
      </c>
      <c r="D42" s="291">
        <v>2100</v>
      </c>
      <c r="E42" s="291">
        <f t="shared" si="1"/>
        <v>24.5</v>
      </c>
      <c r="F42" s="291">
        <f t="shared" si="2"/>
        <v>2940</v>
      </c>
      <c r="G42" s="292">
        <v>39264</v>
      </c>
      <c r="H42" s="293">
        <v>26.27</v>
      </c>
      <c r="I42" s="294">
        <v>23.09</v>
      </c>
      <c r="J42" s="295">
        <v>2007</v>
      </c>
      <c r="K42" s="291">
        <v>29951</v>
      </c>
      <c r="L42" s="291">
        <v>24294</v>
      </c>
      <c r="M42" s="291">
        <v>63000</v>
      </c>
      <c r="N42" s="291">
        <v>54600</v>
      </c>
      <c r="O42" s="292">
        <v>38718</v>
      </c>
      <c r="P42" s="296">
        <v>0.19500000000000001</v>
      </c>
      <c r="Q42" s="292">
        <v>40179</v>
      </c>
      <c r="R42" s="309">
        <v>6368.5969999999998</v>
      </c>
      <c r="S42" s="309">
        <v>5356.7138000000004</v>
      </c>
      <c r="T42" s="292">
        <v>40179</v>
      </c>
      <c r="U42" s="305">
        <v>1.5702049999999999E-4</v>
      </c>
      <c r="V42" s="305">
        <v>1.866816E-4</v>
      </c>
      <c r="W42" s="306">
        <f>1000/$R42*VLOOKUP(Q42,G$5:$I100,2)</f>
        <v>4.2709563817588085</v>
      </c>
      <c r="X42" s="297">
        <f>IFERROR(1000/$S42*VLOOKUP($Q42,G$5:$I100,3),"")</f>
        <v>4.5046274452818436</v>
      </c>
      <c r="Y42" s="1494">
        <f t="shared" si="0"/>
        <v>234.13959558823527</v>
      </c>
      <c r="Z42" s="297">
        <f t="shared" si="3"/>
        <v>221.99394115209287</v>
      </c>
      <c r="AA42" s="1497"/>
      <c r="AB42" s="415">
        <v>55</v>
      </c>
      <c r="AC42" s="415">
        <v>1</v>
      </c>
      <c r="AD42" s="565">
        <v>39814</v>
      </c>
      <c r="AE42" s="594">
        <v>2.7E-2</v>
      </c>
      <c r="AG42" s="1441" t="s">
        <v>1608</v>
      </c>
    </row>
    <row r="43" spans="1:34" s="593" customFormat="1">
      <c r="A43" s="268"/>
      <c r="B43" s="298">
        <v>2008</v>
      </c>
      <c r="C43" s="285">
        <v>2485</v>
      </c>
      <c r="D43" s="285">
        <v>2100</v>
      </c>
      <c r="E43" s="285">
        <f t="shared" si="1"/>
        <v>24.85</v>
      </c>
      <c r="F43" s="285">
        <f t="shared" si="2"/>
        <v>2982</v>
      </c>
      <c r="G43" s="299">
        <v>39630</v>
      </c>
      <c r="H43" s="300">
        <v>26.56</v>
      </c>
      <c r="I43" s="301">
        <v>23.34</v>
      </c>
      <c r="J43" s="267">
        <v>2008</v>
      </c>
      <c r="K43" s="285">
        <v>30625</v>
      </c>
      <c r="L43" s="285">
        <v>25829</v>
      </c>
      <c r="M43" s="285">
        <v>63600</v>
      </c>
      <c r="N43" s="285">
        <v>54000</v>
      </c>
      <c r="O43" s="299">
        <v>39083</v>
      </c>
      <c r="P43" s="302">
        <v>0.19900000000000001</v>
      </c>
      <c r="Q43" s="299">
        <v>40544</v>
      </c>
      <c r="R43" s="310">
        <v>6023.3320000000003</v>
      </c>
      <c r="S43" s="310">
        <v>5270.2178999999996</v>
      </c>
      <c r="T43" s="299">
        <v>40544</v>
      </c>
      <c r="U43" s="270">
        <v>1.6602106608103287E-4</v>
      </c>
      <c r="V43" s="270">
        <v>1.8974547522978132E-4</v>
      </c>
      <c r="W43" s="307">
        <f>1000/$R43*VLOOKUP(Q43,G$5:$I101,2)</f>
        <v>4.5157729974040937</v>
      </c>
      <c r="X43" s="303">
        <f>IFERROR(1000/$S43*VLOOKUP($Q43,G$5:$I101,3),"")</f>
        <v>4.5785583172946227</v>
      </c>
      <c r="Y43" s="1493">
        <f t="shared" si="0"/>
        <v>221.44602941176475</v>
      </c>
      <c r="Z43" s="303">
        <f t="shared" si="3"/>
        <v>218.40936179030254</v>
      </c>
      <c r="AA43" s="1497"/>
      <c r="AB43" s="415">
        <v>56</v>
      </c>
      <c r="AC43" s="415">
        <v>1</v>
      </c>
      <c r="AD43" s="565">
        <v>40179</v>
      </c>
      <c r="AE43" s="594">
        <v>1.0999999999999999E-2</v>
      </c>
      <c r="AG43" s="1439">
        <v>1</v>
      </c>
      <c r="AH43" s="1440">
        <v>0.97399999999999998</v>
      </c>
    </row>
    <row r="44" spans="1:34" s="593" customFormat="1">
      <c r="A44" s="268"/>
      <c r="B44" s="290">
        <v>2009</v>
      </c>
      <c r="C44" s="291">
        <v>2520</v>
      </c>
      <c r="D44" s="291">
        <v>2135</v>
      </c>
      <c r="E44" s="291">
        <f t="shared" si="1"/>
        <v>25.2</v>
      </c>
      <c r="F44" s="291">
        <f t="shared" si="2"/>
        <v>3024</v>
      </c>
      <c r="G44" s="292">
        <v>39995</v>
      </c>
      <c r="H44" s="293">
        <v>27.2</v>
      </c>
      <c r="I44" s="294">
        <v>24.13</v>
      </c>
      <c r="J44" s="295">
        <v>2009</v>
      </c>
      <c r="K44" s="291">
        <v>30506</v>
      </c>
      <c r="L44" s="291">
        <v>26047</v>
      </c>
      <c r="M44" s="291">
        <v>64800</v>
      </c>
      <c r="N44" s="291">
        <v>54600</v>
      </c>
      <c r="O44" s="292">
        <v>39448</v>
      </c>
      <c r="P44" s="296">
        <v>0.19900000000000001</v>
      </c>
      <c r="Q44" s="292">
        <v>40909</v>
      </c>
      <c r="R44" s="309">
        <v>6359.4160000000002</v>
      </c>
      <c r="S44" s="309">
        <v>5410.4270999999999</v>
      </c>
      <c r="T44" s="292">
        <v>40909</v>
      </c>
      <c r="U44" s="305">
        <v>1.5724709999999999E-4</v>
      </c>
      <c r="V44" s="305">
        <v>1.8482829999999999E-4</v>
      </c>
      <c r="W44" s="306">
        <f>1000/$R44*VLOOKUP(Q44,G$5:$I102,2)</f>
        <v>4.3194658125840482</v>
      </c>
      <c r="X44" s="297">
        <f>IFERROR(1000/$S44*VLOOKUP($Q44,G$5:$I102,3),"")</f>
        <v>4.5042654765646875</v>
      </c>
      <c r="Y44" s="1494">
        <f t="shared" si="0"/>
        <v>231.51010874693478</v>
      </c>
      <c r="Z44" s="297">
        <f t="shared" si="3"/>
        <v>222.01178087812886</v>
      </c>
      <c r="AA44" s="1497"/>
      <c r="AB44" s="415">
        <v>57</v>
      </c>
      <c r="AC44" s="415">
        <v>0.9</v>
      </c>
      <c r="AD44" s="565">
        <v>40544</v>
      </c>
      <c r="AE44" s="594">
        <v>5.0000000000000001E-3</v>
      </c>
      <c r="AG44" s="1437">
        <v>2</v>
      </c>
      <c r="AH44" s="1438">
        <v>1.897</v>
      </c>
    </row>
    <row r="45" spans="1:34" s="593" customFormat="1">
      <c r="A45" s="268"/>
      <c r="B45" s="298">
        <v>2010</v>
      </c>
      <c r="C45" s="285">
        <v>2555</v>
      </c>
      <c r="D45" s="285">
        <v>2170</v>
      </c>
      <c r="E45" s="285">
        <f t="shared" si="1"/>
        <v>25.55</v>
      </c>
      <c r="F45" s="285">
        <f t="shared" si="2"/>
        <v>3066</v>
      </c>
      <c r="G45" s="299">
        <v>40360</v>
      </c>
      <c r="H45" s="300">
        <v>27.2</v>
      </c>
      <c r="I45" s="301">
        <v>24.13</v>
      </c>
      <c r="J45" s="267">
        <v>2010</v>
      </c>
      <c r="K45" s="285">
        <v>31144</v>
      </c>
      <c r="L45" s="285">
        <v>27292.341804536925</v>
      </c>
      <c r="M45" s="285">
        <v>66000</v>
      </c>
      <c r="N45" s="285">
        <v>55800</v>
      </c>
      <c r="O45" s="299">
        <v>39814</v>
      </c>
      <c r="P45" s="302">
        <v>0.19900000000000001</v>
      </c>
      <c r="Q45" s="299">
        <v>41275</v>
      </c>
      <c r="R45" s="310">
        <v>6439.4189999999999</v>
      </c>
      <c r="S45" s="310">
        <v>5472.4390000000003</v>
      </c>
      <c r="T45" s="299">
        <v>41275</v>
      </c>
      <c r="U45" s="270">
        <v>1.5529350000000001E-4</v>
      </c>
      <c r="V45" s="270">
        <v>1.8273390000000001E-4</v>
      </c>
      <c r="W45" s="307">
        <f>1000/$R45*VLOOKUP(Q45,G$5:$I103,2)</f>
        <v>4.3590889178045416</v>
      </c>
      <c r="X45" s="303">
        <f>IFERROR(1000/$S45*VLOOKUP($Q45,G$5:$I103,3),"")</f>
        <v>4.5537282370803949</v>
      </c>
      <c r="Y45" s="1493">
        <f t="shared" si="0"/>
        <v>229.40573566084785</v>
      </c>
      <c r="Z45" s="303">
        <f t="shared" si="3"/>
        <v>219.60028089887641</v>
      </c>
      <c r="AA45" s="1497"/>
      <c r="AB45" s="415">
        <v>58</v>
      </c>
      <c r="AC45" s="415">
        <v>0.9</v>
      </c>
      <c r="AD45" s="565">
        <v>40756</v>
      </c>
      <c r="AE45" s="594">
        <v>2E-3</v>
      </c>
      <c r="AG45" s="1437">
        <v>3</v>
      </c>
      <c r="AH45" s="1438">
        <v>2.7719999999999998</v>
      </c>
    </row>
    <row r="46" spans="1:34" s="593" customFormat="1">
      <c r="A46" s="268"/>
      <c r="B46" s="290">
        <v>2011</v>
      </c>
      <c r="C46" s="291">
        <v>2555</v>
      </c>
      <c r="D46" s="291">
        <v>2240</v>
      </c>
      <c r="E46" s="291">
        <f t="shared" si="1"/>
        <v>25.55</v>
      </c>
      <c r="F46" s="291">
        <f t="shared" si="2"/>
        <v>3066</v>
      </c>
      <c r="G46" s="292">
        <v>40725</v>
      </c>
      <c r="H46" s="293">
        <v>27.469280000000001</v>
      </c>
      <c r="I46" s="294">
        <v>24.37</v>
      </c>
      <c r="J46" s="295">
        <v>2011</v>
      </c>
      <c r="K46" s="291">
        <v>32100</v>
      </c>
      <c r="L46" s="291">
        <v>26484</v>
      </c>
      <c r="M46" s="291">
        <v>66000</v>
      </c>
      <c r="N46" s="291">
        <v>57600</v>
      </c>
      <c r="O46" s="292">
        <v>40179</v>
      </c>
      <c r="P46" s="296">
        <v>0.19900000000000001</v>
      </c>
      <c r="Q46" s="292">
        <v>41640</v>
      </c>
      <c r="R46" s="309">
        <v>6523.1459999999997</v>
      </c>
      <c r="S46" s="309">
        <v>5592.0668666952415</v>
      </c>
      <c r="T46" s="292">
        <v>41640</v>
      </c>
      <c r="U46" s="305">
        <v>1.5330026340051257E-4</v>
      </c>
      <c r="V46" s="305">
        <v>1.7882475725669795E-4</v>
      </c>
      <c r="W46" s="306">
        <f>1000/$R46*VLOOKUP(Q46,G$5:$I104,2)</f>
        <v>4.3138694120904244</v>
      </c>
      <c r="X46" s="297">
        <f>IFERROR(1000/$S46*VLOOKUP($Q46,G$5:$I104,3),"")</f>
        <v>4.6029492517874049</v>
      </c>
      <c r="Y46" s="1494">
        <f t="shared" si="0"/>
        <v>231.81044776119401</v>
      </c>
      <c r="Z46" s="297">
        <f t="shared" si="3"/>
        <v>217.25201502312515</v>
      </c>
      <c r="AA46" s="1497"/>
      <c r="AB46" s="415">
        <v>59</v>
      </c>
      <c r="AC46" s="415">
        <v>0.9</v>
      </c>
      <c r="AD46" s="565">
        <v>40969</v>
      </c>
      <c r="AE46" s="594">
        <v>3.2000000000000001E-2</v>
      </c>
      <c r="AG46" s="1437">
        <v>4</v>
      </c>
      <c r="AH46" s="1438">
        <v>3.6019999999999999</v>
      </c>
    </row>
    <row r="47" spans="1:34" s="593" customFormat="1">
      <c r="A47" s="268"/>
      <c r="B47" s="298">
        <v>2012</v>
      </c>
      <c r="C47" s="285">
        <v>2625</v>
      </c>
      <c r="D47" s="285">
        <v>2240</v>
      </c>
      <c r="E47" s="285">
        <f t="shared" si="1"/>
        <v>26.25</v>
      </c>
      <c r="F47" s="285">
        <f t="shared" si="2"/>
        <v>3150</v>
      </c>
      <c r="G47" s="299">
        <v>41091</v>
      </c>
      <c r="H47" s="300">
        <v>28.07</v>
      </c>
      <c r="I47" s="301">
        <v>24.92</v>
      </c>
      <c r="J47" s="267">
        <v>2012</v>
      </c>
      <c r="K47" s="285">
        <v>33002</v>
      </c>
      <c r="L47" s="285">
        <v>28077.25029777097</v>
      </c>
      <c r="M47" s="285">
        <v>67200</v>
      </c>
      <c r="N47" s="285">
        <v>57600</v>
      </c>
      <c r="O47" s="299">
        <v>40544</v>
      </c>
      <c r="P47" s="302">
        <v>0.19900000000000001</v>
      </c>
      <c r="Q47" s="299">
        <v>42005</v>
      </c>
      <c r="R47" s="310">
        <v>6544.8130000000001</v>
      </c>
      <c r="S47" s="310">
        <v>5585.7412000000004</v>
      </c>
      <c r="T47" s="299">
        <v>42005</v>
      </c>
      <c r="U47" s="270">
        <v>1.5279280000000001E-4</v>
      </c>
      <c r="V47" s="270">
        <v>1.790273E-4</v>
      </c>
      <c r="W47" s="307">
        <f>1000/$R47*VLOOKUP(Q47,G$5:$I105,2)</f>
        <v>4.3714006802027798</v>
      </c>
      <c r="X47" s="303">
        <f>IFERROR(1000/$S47*VLOOKUP($Q47,G$5:$I105,3),"")</f>
        <v>4.7245296649261155</v>
      </c>
      <c r="Y47" s="1493">
        <f t="shared" si="0"/>
        <v>228.75962950017478</v>
      </c>
      <c r="Z47" s="303">
        <f t="shared" si="3"/>
        <v>211.66128078817735</v>
      </c>
      <c r="AA47" s="1497"/>
      <c r="AB47" s="415">
        <v>60</v>
      </c>
      <c r="AC47" s="415">
        <v>0.9</v>
      </c>
      <c r="AD47" s="565">
        <v>41275</v>
      </c>
      <c r="AE47" s="594">
        <v>1.0999999999999999E-2</v>
      </c>
      <c r="AG47" s="1437">
        <v>5</v>
      </c>
      <c r="AH47" s="1438">
        <v>4.3879999999999999</v>
      </c>
    </row>
    <row r="48" spans="1:34" s="593" customFormat="1">
      <c r="A48" s="268"/>
      <c r="B48" s="290">
        <v>2013</v>
      </c>
      <c r="C48" s="291">
        <v>2695</v>
      </c>
      <c r="D48" s="291">
        <v>2275</v>
      </c>
      <c r="E48" s="291">
        <f t="shared" si="1"/>
        <v>26.95</v>
      </c>
      <c r="F48" s="291">
        <f t="shared" si="2"/>
        <v>3234</v>
      </c>
      <c r="G48" s="292">
        <v>41456</v>
      </c>
      <c r="H48" s="293">
        <v>28.14</v>
      </c>
      <c r="I48" s="294">
        <v>25.74</v>
      </c>
      <c r="J48" s="295">
        <v>2013</v>
      </c>
      <c r="K48" s="291">
        <v>33659</v>
      </c>
      <c r="L48" s="291">
        <v>28955</v>
      </c>
      <c r="M48" s="291">
        <v>69600</v>
      </c>
      <c r="N48" s="291">
        <v>58800</v>
      </c>
      <c r="O48" s="292">
        <v>40909</v>
      </c>
      <c r="P48" s="296">
        <v>0.19600000000000001</v>
      </c>
      <c r="Q48" s="292">
        <v>42370</v>
      </c>
      <c r="R48" s="309">
        <v>6781.9290000000001</v>
      </c>
      <c r="S48" s="309">
        <v>5908.1183000000001</v>
      </c>
      <c r="T48" s="292">
        <v>42370</v>
      </c>
      <c r="U48" s="305">
        <v>1.474507E-4</v>
      </c>
      <c r="V48" s="305">
        <v>1.692586E-4</v>
      </c>
      <c r="W48" s="306">
        <f>1000/$R48*VLOOKUP(Q48,G$5:$I106,2)</f>
        <v>4.3070341786238098</v>
      </c>
      <c r="X48" s="297">
        <f>IFERROR(1000/$S48*VLOOKUP($Q48,G$5:$I106,3),"")</f>
        <v>4.5784458987559544</v>
      </c>
      <c r="Y48" s="1494">
        <f t="shared" si="0"/>
        <v>232.17832933926741</v>
      </c>
      <c r="Z48" s="297">
        <f t="shared" si="3"/>
        <v>218.41472458410351</v>
      </c>
      <c r="AA48" s="1497"/>
      <c r="AB48" s="415">
        <v>61</v>
      </c>
      <c r="AC48" s="415">
        <v>0.9</v>
      </c>
      <c r="AD48" s="565">
        <v>41699</v>
      </c>
      <c r="AE48" s="594">
        <v>2.7E-2</v>
      </c>
      <c r="AG48" s="1437">
        <v>7</v>
      </c>
      <c r="AH48" s="1438">
        <v>5.8390000000000004</v>
      </c>
    </row>
    <row r="49" spans="1:34" s="593" customFormat="1">
      <c r="A49" s="268"/>
      <c r="B49" s="298">
        <v>2014</v>
      </c>
      <c r="C49" s="285">
        <v>2765</v>
      </c>
      <c r="D49" s="285">
        <v>2345</v>
      </c>
      <c r="E49" s="285">
        <f t="shared" si="1"/>
        <v>27.650000000000002</v>
      </c>
      <c r="F49" s="285">
        <f t="shared" si="2"/>
        <v>3318</v>
      </c>
      <c r="G49" s="299">
        <v>41821</v>
      </c>
      <c r="H49" s="300">
        <v>28.61</v>
      </c>
      <c r="I49" s="301">
        <v>26.39</v>
      </c>
      <c r="J49" s="267">
        <v>2014</v>
      </c>
      <c r="K49" s="285">
        <v>34514</v>
      </c>
      <c r="L49" s="285">
        <v>29587.655379339903</v>
      </c>
      <c r="M49" s="285">
        <v>71400</v>
      </c>
      <c r="N49" s="285">
        <v>60000</v>
      </c>
      <c r="O49" s="299">
        <v>41275</v>
      </c>
      <c r="P49" s="302">
        <v>0.189</v>
      </c>
      <c r="Q49" s="299">
        <v>42736</v>
      </c>
      <c r="R49" s="310">
        <v>6938.2610000000004</v>
      </c>
      <c r="S49" s="310">
        <v>6198.7501000000002</v>
      </c>
      <c r="T49" s="299">
        <v>42736</v>
      </c>
      <c r="U49" s="270">
        <v>1.4412830000000001E-4</v>
      </c>
      <c r="V49" s="270">
        <v>1.6132280000000001E-4</v>
      </c>
      <c r="W49" s="307">
        <f>1000/$R49*VLOOKUP(Q49,G$5:$I107,2)</f>
        <v>4.3887077756227386</v>
      </c>
      <c r="X49" s="303">
        <f>IFERROR(1000/$S49*VLOOKUP($Q49,G$5:$I107,3),"")</f>
        <v>4.623512730413184</v>
      </c>
      <c r="Y49" s="1493">
        <f t="shared" si="0"/>
        <v>227.85750410509033</v>
      </c>
      <c r="Z49" s="303">
        <f t="shared" si="3"/>
        <v>216.28576762037684</v>
      </c>
      <c r="AA49" s="1497"/>
      <c r="AB49" s="415">
        <v>62</v>
      </c>
      <c r="AC49" s="415">
        <v>0.8</v>
      </c>
      <c r="AD49" s="565">
        <v>42064</v>
      </c>
      <c r="AE49" s="594">
        <v>2.1999999999999999E-2</v>
      </c>
      <c r="AG49" s="1437">
        <v>8</v>
      </c>
      <c r="AH49" s="1438">
        <v>6.5090000000000003</v>
      </c>
    </row>
    <row r="50" spans="1:34" s="593" customFormat="1">
      <c r="A50" s="268"/>
      <c r="B50" s="290">
        <v>2015</v>
      </c>
      <c r="C50" s="291">
        <v>2835</v>
      </c>
      <c r="D50" s="291">
        <v>2835</v>
      </c>
      <c r="E50" s="291">
        <f t="shared" si="1"/>
        <v>28.35</v>
      </c>
      <c r="F50" s="291">
        <f t="shared" si="2"/>
        <v>3402</v>
      </c>
      <c r="G50" s="292">
        <v>42186</v>
      </c>
      <c r="H50" s="293">
        <v>29.21</v>
      </c>
      <c r="I50" s="294">
        <v>27.05</v>
      </c>
      <c r="J50" s="295">
        <v>2015</v>
      </c>
      <c r="K50" s="291">
        <v>35363</v>
      </c>
      <c r="L50" s="291">
        <v>29870</v>
      </c>
      <c r="M50" s="291">
        <v>72600</v>
      </c>
      <c r="N50" s="291">
        <v>62400</v>
      </c>
      <c r="O50" s="292">
        <v>41640</v>
      </c>
      <c r="P50" s="296">
        <v>0.189</v>
      </c>
      <c r="Q50" s="292">
        <v>43101</v>
      </c>
      <c r="R50" s="309">
        <v>7044.3779999999997</v>
      </c>
      <c r="S50" s="309">
        <v>6262.7826999999997</v>
      </c>
      <c r="T50" s="292">
        <v>43101</v>
      </c>
      <c r="U50" s="305">
        <v>1.419572E-4</v>
      </c>
      <c r="V50" s="305">
        <v>1.5967339999999999E-4</v>
      </c>
      <c r="W50" s="306">
        <f>1000/$R50*VLOOKUP(Q50,G$5:$I108,2)</f>
        <v>4.4049311379940148</v>
      </c>
      <c r="X50" s="297">
        <f>IFERROR(1000/$S50*VLOOKUP($Q50,G$5:$I108,3),"")</f>
        <v>4.7407041601491304</v>
      </c>
      <c r="Y50" s="1494">
        <f t="shared" si="0"/>
        <v>227.01830486625843</v>
      </c>
      <c r="Z50" s="297">
        <f t="shared" si="3"/>
        <v>210.93912765240819</v>
      </c>
      <c r="AA50" s="1497"/>
      <c r="AB50" s="415">
        <v>63</v>
      </c>
      <c r="AC50" s="415">
        <v>0.8</v>
      </c>
      <c r="AD50" s="565">
        <v>42430</v>
      </c>
      <c r="AE50" s="594">
        <v>2.1999999999999999E-2</v>
      </c>
      <c r="AG50" s="1437">
        <v>9</v>
      </c>
      <c r="AH50" s="1438">
        <v>7.1429999999999998</v>
      </c>
    </row>
    <row r="51" spans="1:34" s="593" customFormat="1">
      <c r="A51" s="268"/>
      <c r="B51" s="298">
        <v>2016</v>
      </c>
      <c r="C51" s="285">
        <v>2905</v>
      </c>
      <c r="D51" s="285">
        <v>2520</v>
      </c>
      <c r="E51" s="285">
        <f t="shared" si="1"/>
        <v>29.05</v>
      </c>
      <c r="F51" s="285">
        <f t="shared" si="2"/>
        <v>3486</v>
      </c>
      <c r="G51" s="299">
        <v>42552</v>
      </c>
      <c r="H51" s="300">
        <v>30.45</v>
      </c>
      <c r="I51" s="301">
        <v>28.66</v>
      </c>
      <c r="J51" s="267">
        <v>2016</v>
      </c>
      <c r="K51" s="285">
        <v>36187</v>
      </c>
      <c r="L51" s="285">
        <v>31594.215524000352</v>
      </c>
      <c r="M51" s="285">
        <v>74400</v>
      </c>
      <c r="N51" s="285">
        <v>64800</v>
      </c>
      <c r="O51" s="299">
        <v>42005</v>
      </c>
      <c r="P51" s="302">
        <v>0.187</v>
      </c>
      <c r="Q51" s="299">
        <v>43466</v>
      </c>
      <c r="R51" s="310">
        <v>7235.5860000000002</v>
      </c>
      <c r="S51" s="310">
        <v>6674.8948</v>
      </c>
      <c r="T51" s="299">
        <v>43466</v>
      </c>
      <c r="U51" s="270">
        <f>1/7235.586</f>
        <v>1.3820580668932688E-4</v>
      </c>
      <c r="V51" s="270">
        <v>1.4981510000000001E-4</v>
      </c>
      <c r="W51" s="307">
        <f>1000/$R51*VLOOKUP(Q51,G$5:$I109,2)</f>
        <v>4.4267319882591405</v>
      </c>
      <c r="X51" s="303">
        <f>IFERROR(1000/$S51*VLOOKUP($Q51,G$5:$I109,3),"")</f>
        <v>4.5978252720926776</v>
      </c>
      <c r="Y51" s="1493">
        <f t="shared" si="0"/>
        <v>225.90028098657507</v>
      </c>
      <c r="Z51" s="303">
        <f t="shared" si="3"/>
        <v>217.49412838058001</v>
      </c>
      <c r="AA51" s="1497"/>
      <c r="AB51" s="415">
        <v>64</v>
      </c>
      <c r="AC51" s="415">
        <v>0.8</v>
      </c>
      <c r="AD51" s="565">
        <v>42767</v>
      </c>
      <c r="AE51" s="594">
        <v>2.35E-2</v>
      </c>
      <c r="AG51" s="1437">
        <v>10</v>
      </c>
      <c r="AH51" s="1438">
        <v>7.7450000000000001</v>
      </c>
    </row>
    <row r="52" spans="1:34" s="593" customFormat="1">
      <c r="A52" s="268"/>
      <c r="B52" s="290">
        <v>2017</v>
      </c>
      <c r="C52" s="291">
        <v>2975</v>
      </c>
      <c r="D52" s="291">
        <v>2975</v>
      </c>
      <c r="E52" s="291">
        <f t="shared" si="1"/>
        <v>29.75</v>
      </c>
      <c r="F52" s="291">
        <f t="shared" si="2"/>
        <v>3570</v>
      </c>
      <c r="G52" s="292">
        <v>42917</v>
      </c>
      <c r="H52" s="293">
        <v>31.03</v>
      </c>
      <c r="I52" s="294">
        <v>29.69</v>
      </c>
      <c r="J52" s="295">
        <v>2017</v>
      </c>
      <c r="K52" s="291">
        <v>37077</v>
      </c>
      <c r="L52" s="291">
        <v>33148</v>
      </c>
      <c r="M52" s="291">
        <v>76200</v>
      </c>
      <c r="N52" s="291">
        <v>68400</v>
      </c>
      <c r="O52" s="292">
        <v>42370</v>
      </c>
      <c r="P52" s="296">
        <v>0.187</v>
      </c>
      <c r="Q52" s="292">
        <v>43831</v>
      </c>
      <c r="R52" s="309">
        <v>7542.4859999999999</v>
      </c>
      <c r="S52" s="309">
        <v>7049.0280000000002</v>
      </c>
      <c r="T52" s="292">
        <v>43831</v>
      </c>
      <c r="U52" s="305">
        <v>1.3258230000000001E-4</v>
      </c>
      <c r="V52" s="305">
        <v>1.4186299999999999E-4</v>
      </c>
      <c r="W52" s="306">
        <f>1000/$R52*VLOOKUP(Q52,G$5:$I110,2)</f>
        <v>4.3818443945404741</v>
      </c>
      <c r="X52" s="297">
        <f>IFERROR(1000/$S52*VLOOKUP($Q52,G$5:$I110,3),"")</f>
        <v>4.5240279936467838</v>
      </c>
      <c r="Y52" s="1494">
        <f t="shared" si="0"/>
        <v>228.21440242057486</v>
      </c>
      <c r="Z52" s="297">
        <f t="shared" si="3"/>
        <v>221.04195672624647</v>
      </c>
      <c r="AA52" s="1497"/>
      <c r="AD52" s="565">
        <v>43160</v>
      </c>
      <c r="AE52" s="594">
        <v>2.9899999999999999E-2</v>
      </c>
      <c r="AG52" s="1437">
        <v>11</v>
      </c>
      <c r="AH52" s="1438">
        <v>8.3149999999999995</v>
      </c>
    </row>
    <row r="53" spans="1:34" s="593" customFormat="1">
      <c r="A53" s="268"/>
      <c r="B53" s="298">
        <v>2018</v>
      </c>
      <c r="C53" s="285">
        <v>3045</v>
      </c>
      <c r="D53" s="285">
        <v>2695</v>
      </c>
      <c r="E53" s="285">
        <f t="shared" si="1"/>
        <v>30.45</v>
      </c>
      <c r="F53" s="285">
        <f t="shared" si="2"/>
        <v>3654</v>
      </c>
      <c r="G53" s="299">
        <v>43282</v>
      </c>
      <c r="H53" s="300">
        <v>32.03</v>
      </c>
      <c r="I53" s="301">
        <v>30.69</v>
      </c>
      <c r="J53" s="267">
        <v>2018</v>
      </c>
      <c r="K53" s="285">
        <v>38212</v>
      </c>
      <c r="L53" s="285">
        <v>33672</v>
      </c>
      <c r="M53" s="285">
        <v>78000</v>
      </c>
      <c r="N53" s="285">
        <v>69600</v>
      </c>
      <c r="O53" s="299">
        <v>42736</v>
      </c>
      <c r="P53" s="302">
        <v>0.187</v>
      </c>
      <c r="Q53" s="299">
        <v>44197</v>
      </c>
      <c r="R53" s="434">
        <v>7726.6260000000002</v>
      </c>
      <c r="S53" s="310">
        <v>7316.8806999999997</v>
      </c>
      <c r="T53" s="299">
        <v>44197</v>
      </c>
      <c r="U53" s="270">
        <v>1.2942260000000001E-4</v>
      </c>
      <c r="V53" s="270">
        <v>1.366703E-4</v>
      </c>
      <c r="W53" s="307">
        <f>1000/$R53*VLOOKUP(Q53,G$5:$I111,2)</f>
        <v>4.4249585782979528</v>
      </c>
      <c r="X53" s="303">
        <f>IFERROR(1000/$S53*VLOOKUP($Q53,G$5:$I111,3),"")</f>
        <v>4.5415527958519259</v>
      </c>
      <c r="Y53" s="1493">
        <f t="shared" si="0"/>
        <v>225.9908160280784</v>
      </c>
      <c r="Z53" s="303">
        <f t="shared" si="3"/>
        <v>220.18900692145652</v>
      </c>
      <c r="AA53" s="1497"/>
      <c r="AD53" s="565">
        <v>43556</v>
      </c>
      <c r="AE53" s="594">
        <v>3.09E-2</v>
      </c>
      <c r="AG53" s="1437">
        <v>12</v>
      </c>
      <c r="AH53" s="1438">
        <v>8.8559999999999999</v>
      </c>
    </row>
    <row r="54" spans="1:34" s="593" customFormat="1">
      <c r="A54" s="268"/>
      <c r="B54" s="290">
        <v>2019</v>
      </c>
      <c r="C54" s="291">
        <v>3115</v>
      </c>
      <c r="D54" s="291">
        <v>2870</v>
      </c>
      <c r="E54" s="291">
        <f t="shared" si="1"/>
        <v>31.150000000000002</v>
      </c>
      <c r="F54" s="291">
        <f t="shared" si="2"/>
        <v>3738</v>
      </c>
      <c r="G54" s="292">
        <v>43647</v>
      </c>
      <c r="H54" s="293">
        <v>33.049999999999997</v>
      </c>
      <c r="I54" s="294">
        <v>31.89</v>
      </c>
      <c r="J54" s="295">
        <v>2019</v>
      </c>
      <c r="K54" s="291">
        <v>39301</v>
      </c>
      <c r="L54" s="291">
        <f>+K54/1.084</f>
        <v>36255.535055350549</v>
      </c>
      <c r="M54" s="291">
        <v>80400</v>
      </c>
      <c r="N54" s="291">
        <v>73800</v>
      </c>
      <c r="O54" s="292">
        <v>43101</v>
      </c>
      <c r="P54" s="296">
        <v>0.186</v>
      </c>
      <c r="Q54" s="292">
        <v>44562</v>
      </c>
      <c r="R54" s="309">
        <f>ROUND(K57*P57,4)</f>
        <v>7821.8580000000002</v>
      </c>
      <c r="S54" s="309">
        <f>ROUND(P57*L57,4)</f>
        <v>7506.5879999999997</v>
      </c>
      <c r="T54" s="292">
        <v>44562</v>
      </c>
      <c r="U54" s="305">
        <v>1.382058E-4</v>
      </c>
      <c r="V54" s="305">
        <f t="shared" ref="U54:V56" si="4">1/S54</f>
        <v>1.3321631612125243E-4</v>
      </c>
      <c r="W54" s="306">
        <f>1000/$R54*VLOOKUP(Q54,G$5:$I112,2)</f>
        <v>4.3710842104267291</v>
      </c>
      <c r="X54" s="297">
        <f>IFERROR(1000/$S54*VLOOKUP($Q54,G$5:$I112,3),"")</f>
        <v>4.4587501005783183</v>
      </c>
      <c r="Y54" s="1494">
        <f t="shared" si="0"/>
        <v>228.77619186896757</v>
      </c>
      <c r="Z54" s="297">
        <f t="shared" si="3"/>
        <v>224.27809979085751</v>
      </c>
      <c r="AA54" s="1499"/>
      <c r="AD54" s="415"/>
      <c r="AE54" s="595"/>
      <c r="AG54" s="1437">
        <v>13</v>
      </c>
      <c r="AH54" s="1438">
        <v>9.3680000000000003</v>
      </c>
    </row>
    <row r="55" spans="1:34" s="593" customFormat="1">
      <c r="A55" s="268"/>
      <c r="B55" s="298">
        <v>2020</v>
      </c>
      <c r="C55" s="285">
        <v>3185</v>
      </c>
      <c r="D55" s="285">
        <v>3010</v>
      </c>
      <c r="E55" s="285">
        <f t="shared" si="1"/>
        <v>31.85</v>
      </c>
      <c r="F55" s="285">
        <f t="shared" si="2"/>
        <v>3822</v>
      </c>
      <c r="G55" s="299">
        <v>44013</v>
      </c>
      <c r="H55" s="300">
        <v>34.19</v>
      </c>
      <c r="I55" s="301">
        <v>33.229999999999997</v>
      </c>
      <c r="J55" s="267">
        <v>2020</v>
      </c>
      <c r="K55" s="285">
        <v>39167</v>
      </c>
      <c r="L55" s="1030">
        <f>+K55/1.07</f>
        <v>36604.672897196258</v>
      </c>
      <c r="M55" s="285">
        <v>82800</v>
      </c>
      <c r="N55" s="285">
        <v>77400</v>
      </c>
      <c r="O55" s="299">
        <v>43466</v>
      </c>
      <c r="P55" s="302">
        <v>0.186</v>
      </c>
      <c r="Q55" s="299">
        <v>44927</v>
      </c>
      <c r="R55" s="1033">
        <f>+P59*K58</f>
        <v>8024.4120000000003</v>
      </c>
      <c r="S55" s="1033">
        <f>+P59*L58</f>
        <v>7805.8620000000001</v>
      </c>
      <c r="T55" s="299">
        <v>44927</v>
      </c>
      <c r="U55" s="1034">
        <f t="shared" si="4"/>
        <v>1.2461972291552328E-4</v>
      </c>
      <c r="V55" s="1034">
        <f t="shared" si="4"/>
        <v>1.2810884947748243E-4</v>
      </c>
      <c r="W55" s="307">
        <f>1000/$R55*VLOOKUP(Q55,G$5:$I113,2)</f>
        <v>4.4888024194171487</v>
      </c>
      <c r="X55" s="303">
        <f>IFERROR(1000/$S55*VLOOKUP($Q55,G$5:$I113,3),"")</f>
        <v>4.5504263334401767</v>
      </c>
      <c r="Y55" s="1493">
        <f t="shared" si="0"/>
        <v>222.77656857301497</v>
      </c>
      <c r="Z55" s="303">
        <f t="shared" si="3"/>
        <v>219.75962837837835</v>
      </c>
      <c r="AA55" s="1497"/>
      <c r="AD55" s="415"/>
      <c r="AE55" s="594"/>
      <c r="AG55" s="1437">
        <v>14</v>
      </c>
      <c r="AH55" s="1438">
        <v>9.8529999999999998</v>
      </c>
    </row>
    <row r="56" spans="1:34" s="593" customFormat="1">
      <c r="A56" s="268"/>
      <c r="B56" s="290">
        <v>2021</v>
      </c>
      <c r="C56" s="291">
        <v>3290</v>
      </c>
      <c r="D56" s="291">
        <v>3115</v>
      </c>
      <c r="E56" s="291">
        <f t="shared" si="1"/>
        <v>32.9</v>
      </c>
      <c r="F56" s="291">
        <f t="shared" si="2"/>
        <v>3948</v>
      </c>
      <c r="G56" s="292">
        <v>44378</v>
      </c>
      <c r="H56" s="293">
        <v>34.19</v>
      </c>
      <c r="I56" s="294">
        <v>33.47</v>
      </c>
      <c r="J56" s="295">
        <v>2021</v>
      </c>
      <c r="K56" s="291">
        <v>40463</v>
      </c>
      <c r="L56" s="291">
        <v>38317</v>
      </c>
      <c r="M56" s="291">
        <v>85200</v>
      </c>
      <c r="N56" s="291">
        <v>80400</v>
      </c>
      <c r="O56" s="292">
        <v>43831</v>
      </c>
      <c r="P56" s="296">
        <v>0.186</v>
      </c>
      <c r="Q56" s="292">
        <v>45292</v>
      </c>
      <c r="R56" s="1501">
        <f>45358*18.6/100</f>
        <v>8436.5879999999997</v>
      </c>
      <c r="S56" s="1501">
        <f>44732*0.186</f>
        <v>8320.152</v>
      </c>
      <c r="T56" s="292">
        <v>45292</v>
      </c>
      <c r="U56" s="305">
        <f t="shared" si="4"/>
        <v>1.1853133043832412E-4</v>
      </c>
      <c r="V56" s="305">
        <f t="shared" si="4"/>
        <v>1.2019011191141701E-4</v>
      </c>
      <c r="W56" s="306">
        <f>1000/$R56*VLOOKUP(Q56,G$5:$I114,2)</f>
        <v>4.4567780244809869</v>
      </c>
      <c r="X56" s="297">
        <f>IFERROR(1000/$S56*VLOOKUP($Q56,G$5:$I114,3),"")</f>
        <v>4.5191482078692795</v>
      </c>
      <c r="Y56" s="1493">
        <f>1000/W56</f>
        <v>224.37734042553191</v>
      </c>
      <c r="Z56" s="303">
        <f>1000/X56</f>
        <v>221.28063829787234</v>
      </c>
      <c r="AA56" s="1497"/>
      <c r="AD56" s="415"/>
      <c r="AE56" s="594"/>
      <c r="AG56" s="1437">
        <v>15</v>
      </c>
      <c r="AH56" s="1438">
        <v>10.314</v>
      </c>
    </row>
    <row r="57" spans="1:34" s="593" customFormat="1">
      <c r="A57" s="268"/>
      <c r="B57" s="298">
        <v>2022</v>
      </c>
      <c r="C57" s="285">
        <v>3290</v>
      </c>
      <c r="D57" s="285">
        <v>3150</v>
      </c>
      <c r="E57" s="285">
        <f t="shared" si="1"/>
        <v>32.9</v>
      </c>
      <c r="F57" s="285">
        <f t="shared" si="2"/>
        <v>3948</v>
      </c>
      <c r="G57" s="299">
        <v>44743</v>
      </c>
      <c r="H57" s="300">
        <v>36.020000000000003</v>
      </c>
      <c r="I57" s="301">
        <v>35.520000000000003</v>
      </c>
      <c r="J57" s="267">
        <v>2022</v>
      </c>
      <c r="K57" s="1500">
        <v>42053</v>
      </c>
      <c r="L57" s="1500">
        <v>40358</v>
      </c>
      <c r="M57" s="285">
        <f>7050*12</f>
        <v>84600</v>
      </c>
      <c r="N57" s="285">
        <f>6750*12</f>
        <v>81000</v>
      </c>
      <c r="O57" s="299">
        <v>44197</v>
      </c>
      <c r="P57" s="302">
        <v>0.186</v>
      </c>
      <c r="Q57" s="299">
        <v>45658</v>
      </c>
      <c r="R57" s="310">
        <v>9391.6980000000003</v>
      </c>
      <c r="S57" s="310">
        <f>+R57</f>
        <v>9391.6980000000003</v>
      </c>
      <c r="T57" s="299">
        <v>45658</v>
      </c>
      <c r="U57" s="270">
        <v>1.06477E-4</v>
      </c>
      <c r="V57" s="270">
        <f>+U57</f>
        <v>1.06477E-4</v>
      </c>
      <c r="W57" s="307">
        <f>1000/$R57*VLOOKUP(Q57,G$5:$I115,2)</f>
        <v>4.1866763603344141</v>
      </c>
      <c r="X57" s="303">
        <f>IFERROR(1000/$S57*VLOOKUP($Q57,G$5:$I115,3),"")</f>
        <v>4.1866763603344141</v>
      </c>
      <c r="Y57" s="1493">
        <f>1000/W57</f>
        <v>238.85295015259413</v>
      </c>
      <c r="Z57" s="303">
        <f>1000/X57</f>
        <v>238.85295015259413</v>
      </c>
      <c r="AA57" s="1497"/>
      <c r="AD57" s="415"/>
      <c r="AE57" s="594"/>
      <c r="AG57" s="1437">
        <v>16</v>
      </c>
      <c r="AH57" s="1438">
        <v>10.75</v>
      </c>
    </row>
    <row r="58" spans="1:34" s="593" customFormat="1">
      <c r="A58" s="268"/>
      <c r="B58" s="290">
        <v>2023</v>
      </c>
      <c r="C58" s="291">
        <v>3395</v>
      </c>
      <c r="D58" s="291">
        <v>3290</v>
      </c>
      <c r="E58" s="291">
        <f t="shared" si="1"/>
        <v>33.950000000000003</v>
      </c>
      <c r="F58" s="291">
        <f t="shared" si="2"/>
        <v>4074</v>
      </c>
      <c r="G58" s="292">
        <v>45108</v>
      </c>
      <c r="H58" s="293">
        <v>37.6</v>
      </c>
      <c r="I58" s="294">
        <v>37.6</v>
      </c>
      <c r="J58" s="295">
        <v>2023</v>
      </c>
      <c r="K58" s="1032">
        <v>43142</v>
      </c>
      <c r="L58" s="1032">
        <v>41967</v>
      </c>
      <c r="M58" s="291">
        <f>7300*12</f>
        <v>87600</v>
      </c>
      <c r="N58" s="291">
        <f>7100*12</f>
        <v>85200</v>
      </c>
      <c r="O58" s="292">
        <v>44562</v>
      </c>
      <c r="P58" s="296">
        <v>0.186</v>
      </c>
      <c r="Q58" s="292">
        <v>46023</v>
      </c>
      <c r="R58" s="309"/>
      <c r="S58" s="309"/>
      <c r="T58" s="292">
        <v>46023</v>
      </c>
      <c r="U58" s="305"/>
      <c r="V58" s="305"/>
      <c r="W58" s="306"/>
      <c r="X58" s="297"/>
      <c r="Y58" s="1494"/>
      <c r="Z58" s="297"/>
      <c r="AA58" s="1497"/>
      <c r="AD58" s="415"/>
      <c r="AE58" s="594"/>
      <c r="AG58" s="1437">
        <v>17</v>
      </c>
      <c r="AH58" s="1438">
        <v>11.163</v>
      </c>
    </row>
    <row r="59" spans="1:34" s="593" customFormat="1">
      <c r="A59" s="268"/>
      <c r="B59" s="298">
        <v>2024</v>
      </c>
      <c r="C59" s="285">
        <v>3535</v>
      </c>
      <c r="D59" s="285">
        <v>3465</v>
      </c>
      <c r="E59" s="285">
        <f t="shared" si="1"/>
        <v>35.35</v>
      </c>
      <c r="F59" s="285">
        <f t="shared" si="2"/>
        <v>4242</v>
      </c>
      <c r="G59" s="299">
        <v>45474</v>
      </c>
      <c r="H59" s="300">
        <v>39.32</v>
      </c>
      <c r="I59" s="301">
        <f>+H59</f>
        <v>39.32</v>
      </c>
      <c r="J59" s="267">
        <v>2024</v>
      </c>
      <c r="K59" s="1031">
        <v>45358</v>
      </c>
      <c r="L59" s="1031">
        <v>44732</v>
      </c>
      <c r="M59" s="1031">
        <f>7550*12</f>
        <v>90600</v>
      </c>
      <c r="N59" s="1031">
        <v>89400</v>
      </c>
      <c r="O59" s="299">
        <v>44927</v>
      </c>
      <c r="P59" s="302">
        <v>0.186</v>
      </c>
      <c r="Q59" s="299">
        <v>46388</v>
      </c>
      <c r="R59" s="310"/>
      <c r="S59" s="310"/>
      <c r="T59" s="299">
        <v>46388</v>
      </c>
      <c r="U59" s="270"/>
      <c r="V59" s="270"/>
      <c r="W59" s="307"/>
      <c r="X59" s="303"/>
      <c r="Y59" s="1493"/>
      <c r="Z59" s="303"/>
      <c r="AA59" s="1497"/>
      <c r="AD59" s="415"/>
      <c r="AE59" s="594"/>
      <c r="AG59" s="1437">
        <v>18</v>
      </c>
      <c r="AH59" s="1438">
        <v>11.555</v>
      </c>
    </row>
    <row r="60" spans="1:34" s="593" customFormat="1">
      <c r="A60" s="268"/>
      <c r="B60" s="290">
        <v>2025</v>
      </c>
      <c r="C60" s="291">
        <v>3745</v>
      </c>
      <c r="D60" s="291">
        <v>3745</v>
      </c>
      <c r="E60" s="291">
        <f t="shared" si="1"/>
        <v>37.450000000000003</v>
      </c>
      <c r="F60" s="291">
        <f t="shared" si="2"/>
        <v>4494</v>
      </c>
      <c r="G60" s="292">
        <v>45839</v>
      </c>
      <c r="H60" s="293">
        <v>40.79</v>
      </c>
      <c r="I60" s="294">
        <v>40.79</v>
      </c>
      <c r="J60" s="295">
        <v>2025</v>
      </c>
      <c r="K60" s="291">
        <f>+L60</f>
        <v>50493</v>
      </c>
      <c r="L60" s="291">
        <v>50493</v>
      </c>
      <c r="M60" s="291">
        <v>96600</v>
      </c>
      <c r="N60" s="291">
        <v>96600</v>
      </c>
      <c r="O60" s="292">
        <v>45292</v>
      </c>
      <c r="P60" s="296">
        <v>0.186</v>
      </c>
      <c r="Q60" s="292">
        <v>46753</v>
      </c>
      <c r="R60" s="309"/>
      <c r="S60" s="309"/>
      <c r="T60" s="292">
        <v>46753</v>
      </c>
      <c r="U60" s="305"/>
      <c r="V60" s="305"/>
      <c r="W60" s="306"/>
      <c r="X60" s="297"/>
      <c r="Y60" s="1494"/>
      <c r="Z60" s="297"/>
      <c r="AA60" s="1497"/>
      <c r="AD60" s="415"/>
      <c r="AE60" s="594"/>
      <c r="AG60" s="1437">
        <v>19</v>
      </c>
      <c r="AH60" s="1438">
        <v>11.927</v>
      </c>
    </row>
    <row r="61" spans="1:34" s="593" customFormat="1">
      <c r="A61" s="268"/>
      <c r="B61" s="298">
        <v>2026</v>
      </c>
      <c r="C61" s="285"/>
      <c r="D61" s="285"/>
      <c r="E61" s="285"/>
      <c r="F61" s="285"/>
      <c r="G61" s="299">
        <v>46204</v>
      </c>
      <c r="H61" s="300"/>
      <c r="I61" s="301"/>
      <c r="J61" s="267">
        <v>2026</v>
      </c>
      <c r="K61" s="285"/>
      <c r="L61" s="285"/>
      <c r="M61" s="285"/>
      <c r="N61" s="285"/>
      <c r="O61" s="299">
        <v>45658</v>
      </c>
      <c r="P61" s="302">
        <v>0.186</v>
      </c>
      <c r="Q61" s="299">
        <v>47119</v>
      </c>
      <c r="R61" s="310"/>
      <c r="S61" s="310"/>
      <c r="T61" s="299"/>
      <c r="U61" s="270"/>
      <c r="V61" s="270"/>
      <c r="W61" s="307"/>
      <c r="X61" s="303"/>
      <c r="Y61" s="1493"/>
      <c r="Z61" s="303"/>
      <c r="AA61" s="1497"/>
      <c r="AD61" s="415"/>
      <c r="AE61" s="594"/>
      <c r="AG61" s="1437">
        <v>20</v>
      </c>
      <c r="AH61" s="1438">
        <v>12.279</v>
      </c>
    </row>
    <row r="62" spans="1:34" s="593" customFormat="1">
      <c r="A62" s="268"/>
      <c r="B62" s="290">
        <v>2027</v>
      </c>
      <c r="C62" s="291"/>
      <c r="D62" s="291"/>
      <c r="E62" s="291"/>
      <c r="F62" s="291"/>
      <c r="G62" s="292">
        <v>46569</v>
      </c>
      <c r="H62" s="293"/>
      <c r="I62" s="294"/>
      <c r="J62" s="295">
        <v>2027</v>
      </c>
      <c r="K62" s="291"/>
      <c r="L62" s="291"/>
      <c r="M62" s="291"/>
      <c r="N62" s="291"/>
      <c r="O62" s="292">
        <v>46023</v>
      </c>
      <c r="P62" s="296"/>
      <c r="Q62" s="292">
        <v>47484</v>
      </c>
      <c r="R62" s="309"/>
      <c r="S62" s="309"/>
      <c r="T62" s="292"/>
      <c r="U62" s="305"/>
      <c r="V62" s="305"/>
      <c r="W62" s="306"/>
      <c r="X62" s="297"/>
      <c r="Y62" s="1494"/>
      <c r="Z62" s="297"/>
      <c r="AA62" s="1497"/>
      <c r="AD62" s="415"/>
      <c r="AE62" s="594"/>
      <c r="AG62" s="1437">
        <v>21</v>
      </c>
      <c r="AH62" s="1438">
        <v>12.613</v>
      </c>
    </row>
    <row r="63" spans="1:34" s="593" customFormat="1">
      <c r="A63" s="268"/>
      <c r="B63" s="298">
        <v>2028</v>
      </c>
      <c r="C63" s="285"/>
      <c r="D63" s="285"/>
      <c r="E63" s="285"/>
      <c r="F63" s="285"/>
      <c r="G63" s="299">
        <v>46935</v>
      </c>
      <c r="H63" s="300"/>
      <c r="I63" s="301"/>
      <c r="J63" s="267">
        <v>2028</v>
      </c>
      <c r="K63" s="285"/>
      <c r="L63" s="285"/>
      <c r="M63" s="285"/>
      <c r="N63" s="285"/>
      <c r="O63" s="299">
        <v>46388</v>
      </c>
      <c r="P63" s="302"/>
      <c r="Q63" s="299">
        <v>47849</v>
      </c>
      <c r="R63" s="310"/>
      <c r="S63" s="310"/>
      <c r="T63" s="299"/>
      <c r="U63" s="270"/>
      <c r="V63" s="270"/>
      <c r="W63" s="307"/>
      <c r="X63" s="303"/>
      <c r="Y63" s="1493"/>
      <c r="Z63" s="303"/>
      <c r="AA63" s="1497"/>
      <c r="AD63" s="415"/>
      <c r="AE63" s="594"/>
      <c r="AG63" s="1437">
        <v>22</v>
      </c>
      <c r="AH63" s="1438">
        <v>12.929</v>
      </c>
    </row>
    <row r="64" spans="1:34" s="593" customFormat="1">
      <c r="A64" s="268"/>
      <c r="B64" s="290">
        <v>2029</v>
      </c>
      <c r="C64" s="291"/>
      <c r="D64" s="291"/>
      <c r="E64" s="291"/>
      <c r="F64" s="291"/>
      <c r="G64" s="292">
        <v>47300</v>
      </c>
      <c r="H64" s="293"/>
      <c r="I64" s="294"/>
      <c r="J64" s="295">
        <v>2029</v>
      </c>
      <c r="K64" s="291"/>
      <c r="L64" s="291"/>
      <c r="M64" s="291"/>
      <c r="N64" s="291"/>
      <c r="O64" s="292">
        <v>46753</v>
      </c>
      <c r="P64" s="296"/>
      <c r="Q64" s="292">
        <v>48214</v>
      </c>
      <c r="R64" s="309"/>
      <c r="S64" s="309"/>
      <c r="T64" s="292"/>
      <c r="U64" s="305"/>
      <c r="V64" s="305"/>
      <c r="W64" s="306"/>
      <c r="X64" s="297"/>
      <c r="Y64" s="1494"/>
      <c r="Z64" s="297"/>
      <c r="AA64" s="1497"/>
      <c r="AD64" s="415"/>
      <c r="AE64" s="594"/>
      <c r="AG64" s="1437">
        <v>23</v>
      </c>
      <c r="AH64" s="1438">
        <v>13.228999999999999</v>
      </c>
    </row>
    <row r="65" spans="1:34" s="593" customFormat="1">
      <c r="A65" s="268"/>
      <c r="B65" s="298"/>
      <c r="C65" s="285"/>
      <c r="D65" s="285"/>
      <c r="E65" s="285"/>
      <c r="F65" s="285"/>
      <c r="G65" s="299"/>
      <c r="H65" s="300"/>
      <c r="I65" s="301"/>
      <c r="J65" s="267"/>
      <c r="K65" s="285"/>
      <c r="L65" s="285"/>
      <c r="M65" s="285"/>
      <c r="N65" s="285"/>
      <c r="O65" s="299"/>
      <c r="P65" s="302"/>
      <c r="Q65" s="299"/>
      <c r="R65" s="310"/>
      <c r="S65" s="310"/>
      <c r="T65" s="299"/>
      <c r="U65" s="270"/>
      <c r="V65" s="270"/>
      <c r="W65" s="307"/>
      <c r="X65" s="303"/>
      <c r="Y65" s="1493"/>
      <c r="Z65" s="303"/>
      <c r="AA65" s="1497"/>
      <c r="AD65" s="415"/>
      <c r="AE65" s="594"/>
      <c r="AG65" s="1437">
        <v>24</v>
      </c>
      <c r="AH65" s="1438">
        <v>13.513</v>
      </c>
    </row>
    <row r="66" spans="1:34" s="593" customFormat="1">
      <c r="A66" s="268"/>
      <c r="B66" s="267"/>
      <c r="C66" s="268"/>
      <c r="D66" s="268"/>
      <c r="E66" s="268"/>
      <c r="F66" s="285"/>
      <c r="G66" s="268"/>
      <c r="H66" s="268"/>
      <c r="I66" s="268"/>
      <c r="J66" s="267"/>
      <c r="K66" s="268"/>
      <c r="L66" s="268"/>
      <c r="M66" s="268"/>
      <c r="N66" s="268"/>
      <c r="O66" s="268"/>
      <c r="P66" s="268"/>
      <c r="Q66" s="268"/>
      <c r="R66" s="269"/>
      <c r="S66" s="269"/>
      <c r="T66" s="299"/>
      <c r="U66" s="270"/>
      <c r="V66" s="270"/>
      <c r="W66" s="268"/>
      <c r="X66" s="268"/>
      <c r="Y66" s="268"/>
      <c r="Z66" s="268"/>
      <c r="AA66" s="1497"/>
      <c r="AD66" s="415"/>
      <c r="AE66" s="594"/>
      <c r="AG66" s="1437">
        <v>25</v>
      </c>
      <c r="AH66" s="1438">
        <v>13.782999999999999</v>
      </c>
    </row>
    <row r="67" spans="1:34">
      <c r="T67" s="299"/>
      <c r="AD67" s="3"/>
      <c r="AE67" s="147"/>
      <c r="AG67" s="1437">
        <v>26</v>
      </c>
      <c r="AH67" s="1438">
        <v>14.038</v>
      </c>
    </row>
    <row r="68" spans="1:34">
      <c r="T68" s="299"/>
      <c r="AD68" s="3"/>
      <c r="AE68" s="147"/>
      <c r="AG68" s="1437">
        <v>27</v>
      </c>
      <c r="AH68" s="1438">
        <v>14.28</v>
      </c>
    </row>
    <row r="69" spans="1:34">
      <c r="T69" s="299"/>
      <c r="AG69" s="1437">
        <v>28</v>
      </c>
      <c r="AH69" s="1438">
        <v>14.51</v>
      </c>
    </row>
    <row r="70" spans="1:34">
      <c r="AG70" s="1437">
        <v>29</v>
      </c>
      <c r="AH70" s="1438">
        <v>14.727</v>
      </c>
    </row>
    <row r="71" spans="1:34">
      <c r="AG71" s="1437">
        <v>30</v>
      </c>
      <c r="AH71" s="1438">
        <v>14.933</v>
      </c>
    </row>
    <row r="72" spans="1:34">
      <c r="AG72" s="1437">
        <v>31</v>
      </c>
      <c r="AH72" s="1438">
        <v>15.129</v>
      </c>
    </row>
    <row r="73" spans="1:34">
      <c r="AG73" s="1437">
        <v>32</v>
      </c>
      <c r="AH73" s="1438">
        <v>15.314</v>
      </c>
    </row>
    <row r="74" spans="1:34">
      <c r="AG74" s="1437">
        <v>33</v>
      </c>
      <c r="AH74" s="1438">
        <v>15.49</v>
      </c>
    </row>
    <row r="75" spans="1:34">
      <c r="AG75" s="1437">
        <v>34</v>
      </c>
      <c r="AH75" s="1438">
        <v>15.656000000000001</v>
      </c>
    </row>
    <row r="76" spans="1:34">
      <c r="AG76" s="1437">
        <v>35</v>
      </c>
      <c r="AH76" s="1438">
        <v>15.814</v>
      </c>
    </row>
    <row r="77" spans="1:34">
      <c r="AG77" s="1437">
        <v>36</v>
      </c>
      <c r="AH77" s="1438">
        <v>15.962999999999999</v>
      </c>
    </row>
    <row r="78" spans="1:34">
      <c r="AG78" s="1437">
        <v>37</v>
      </c>
      <c r="AH78" s="1438">
        <v>16.105</v>
      </c>
    </row>
    <row r="79" spans="1:34">
      <c r="AG79" s="1437">
        <v>38</v>
      </c>
      <c r="AH79" s="1438">
        <v>16.239000000000001</v>
      </c>
    </row>
    <row r="80" spans="1:34">
      <c r="AG80" s="1437">
        <v>39</v>
      </c>
      <c r="AH80" s="1438">
        <v>16.367000000000001</v>
      </c>
    </row>
    <row r="81" spans="33:34">
      <c r="AG81" s="1437">
        <v>40</v>
      </c>
      <c r="AH81" s="1438">
        <v>16.486999999999998</v>
      </c>
    </row>
    <row r="82" spans="33:34">
      <c r="AG82" s="1437">
        <v>41</v>
      </c>
      <c r="AH82" s="1438">
        <v>16.602</v>
      </c>
    </row>
    <row r="83" spans="33:34">
      <c r="AG83" s="1437">
        <v>42</v>
      </c>
      <c r="AH83" s="1438">
        <v>16.71</v>
      </c>
    </row>
    <row r="84" spans="33:34">
      <c r="AG84" s="1437">
        <v>43</v>
      </c>
      <c r="AH84" s="1438">
        <v>16.812999999999999</v>
      </c>
    </row>
    <row r="85" spans="33:34">
      <c r="AG85" s="1437">
        <v>44</v>
      </c>
      <c r="AH85" s="1438">
        <v>16.91</v>
      </c>
    </row>
    <row r="86" spans="33:34">
      <c r="AG86" s="1437">
        <v>45</v>
      </c>
      <c r="AH86" s="1438">
        <v>17.003</v>
      </c>
    </row>
    <row r="87" spans="33:34">
      <c r="AG87" s="1437">
        <v>46</v>
      </c>
      <c r="AH87" s="1438">
        <v>17.09</v>
      </c>
    </row>
    <row r="88" spans="33:34">
      <c r="AG88" s="1437">
        <v>47</v>
      </c>
      <c r="AH88" s="1438">
        <v>17.172999999999998</v>
      </c>
    </row>
    <row r="89" spans="33:34">
      <c r="AG89" s="1437">
        <v>48</v>
      </c>
      <c r="AH89" s="1438">
        <v>17.251999999999999</v>
      </c>
    </row>
    <row r="90" spans="33:34">
      <c r="AG90" s="1437">
        <v>49</v>
      </c>
      <c r="AH90" s="1438">
        <v>17.326000000000001</v>
      </c>
    </row>
    <row r="91" spans="33:34">
      <c r="AG91" s="1437">
        <v>50</v>
      </c>
      <c r="AH91" s="1438">
        <v>17.396999999999998</v>
      </c>
    </row>
    <row r="92" spans="33:34">
      <c r="AG92" s="1437">
        <v>51</v>
      </c>
      <c r="AH92" s="1438">
        <v>17.463999999999999</v>
      </c>
    </row>
    <row r="93" spans="33:34">
      <c r="AG93" s="1437">
        <v>52</v>
      </c>
      <c r="AH93" s="1438">
        <v>17.527999999999999</v>
      </c>
    </row>
    <row r="94" spans="33:34">
      <c r="AG94" s="1437">
        <v>53</v>
      </c>
      <c r="AH94" s="1438">
        <v>17.588000000000001</v>
      </c>
    </row>
    <row r="95" spans="33:34">
      <c r="AG95" s="1437">
        <v>54</v>
      </c>
      <c r="AH95" s="1438">
        <v>17.645</v>
      </c>
    </row>
    <row r="96" spans="33:34">
      <c r="AG96" s="1437">
        <v>55</v>
      </c>
      <c r="AH96" s="1438">
        <v>17.699000000000002</v>
      </c>
    </row>
    <row r="97" spans="33:34">
      <c r="AG97" s="1437">
        <v>56</v>
      </c>
      <c r="AH97" s="1438">
        <v>17.75</v>
      </c>
    </row>
    <row r="98" spans="33:34">
      <c r="AG98" s="1437">
        <v>57</v>
      </c>
      <c r="AH98" s="1438">
        <v>17.798999999999999</v>
      </c>
    </row>
    <row r="99" spans="33:34">
      <c r="AG99" s="1437">
        <v>58</v>
      </c>
      <c r="AH99" s="1438">
        <v>17.844999999999999</v>
      </c>
    </row>
    <row r="100" spans="33:34">
      <c r="AG100" s="1437">
        <v>59</v>
      </c>
      <c r="AH100" s="1438">
        <v>17.888000000000002</v>
      </c>
    </row>
    <row r="101" spans="33:34">
      <c r="AG101" s="1437">
        <v>60</v>
      </c>
      <c r="AH101" s="1438">
        <v>17.93</v>
      </c>
    </row>
    <row r="102" spans="33:34">
      <c r="AG102" s="1437">
        <v>61</v>
      </c>
      <c r="AH102" s="1438">
        <v>17.969000000000001</v>
      </c>
    </row>
    <row r="103" spans="33:34">
      <c r="AG103" s="1437">
        <v>62</v>
      </c>
      <c r="AH103" s="1438">
        <v>18.006</v>
      </c>
    </row>
    <row r="104" spans="33:34">
      <c r="AG104" s="1437">
        <v>63</v>
      </c>
      <c r="AH104" s="1438">
        <v>18.041</v>
      </c>
    </row>
    <row r="105" spans="33:34">
      <c r="AG105" s="1437">
        <v>64</v>
      </c>
      <c r="AH105" s="1438">
        <v>18.074999999999999</v>
      </c>
    </row>
    <row r="106" spans="33:34">
      <c r="AG106" s="1437">
        <v>65</v>
      </c>
      <c r="AH106" s="1438">
        <v>18.106000000000002</v>
      </c>
    </row>
    <row r="107" spans="33:34">
      <c r="AG107" s="1437">
        <v>66</v>
      </c>
      <c r="AH107" s="1438">
        <v>18.135999999999999</v>
      </c>
    </row>
    <row r="108" spans="33:34">
      <c r="AG108" s="1437">
        <v>67</v>
      </c>
      <c r="AH108" s="1438">
        <v>18.164999999999999</v>
      </c>
    </row>
    <row r="109" spans="33:34">
      <c r="AG109" s="1437">
        <v>68</v>
      </c>
      <c r="AH109" s="1438">
        <v>18.192</v>
      </c>
    </row>
    <row r="110" spans="33:34">
      <c r="AG110" s="1437">
        <v>69</v>
      </c>
      <c r="AH110" s="1438">
        <v>18.216999999999999</v>
      </c>
    </row>
    <row r="111" spans="33:34">
      <c r="AG111" s="1437">
        <v>70</v>
      </c>
      <c r="AH111" s="1438">
        <v>18.242000000000001</v>
      </c>
    </row>
    <row r="112" spans="33:34">
      <c r="AG112" s="1437">
        <v>71</v>
      </c>
      <c r="AH112" s="1438">
        <v>18.263999999999999</v>
      </c>
    </row>
    <row r="113" spans="33:34">
      <c r="AG113" s="1437">
        <v>72</v>
      </c>
      <c r="AH113" s="1438">
        <v>18.286000000000001</v>
      </c>
    </row>
    <row r="114" spans="33:34">
      <c r="AG114" s="1437">
        <v>73</v>
      </c>
      <c r="AH114" s="1438">
        <v>18.306999999999999</v>
      </c>
    </row>
    <row r="115" spans="33:34">
      <c r="AG115" s="1437">
        <v>74</v>
      </c>
      <c r="AH115" s="1438">
        <v>18.326000000000001</v>
      </c>
    </row>
    <row r="116" spans="33:34">
      <c r="AG116" s="1437">
        <v>75</v>
      </c>
      <c r="AH116" s="1438">
        <v>18.344999999999999</v>
      </c>
    </row>
    <row r="117" spans="33:34">
      <c r="AG117" s="1437">
        <v>76</v>
      </c>
      <c r="AH117" s="1438">
        <v>18.361999999999998</v>
      </c>
    </row>
    <row r="118" spans="33:34">
      <c r="AG118" s="1437">
        <v>77</v>
      </c>
      <c r="AH118" s="1438">
        <v>18.379000000000001</v>
      </c>
    </row>
    <row r="119" spans="33:34">
      <c r="AG119" s="1437">
        <v>78</v>
      </c>
      <c r="AH119" s="1438">
        <v>18.395</v>
      </c>
    </row>
    <row r="120" spans="33:34">
      <c r="AG120" s="1437">
        <v>79</v>
      </c>
      <c r="AH120" s="1438">
        <v>18.41</v>
      </c>
    </row>
    <row r="121" spans="33:34">
      <c r="AG121" s="1437">
        <v>80</v>
      </c>
      <c r="AH121" s="1438">
        <v>18.423999999999999</v>
      </c>
    </row>
    <row r="122" spans="33:34">
      <c r="AG122" s="1437">
        <v>81</v>
      </c>
      <c r="AH122" s="1438">
        <v>18.437000000000001</v>
      </c>
    </row>
    <row r="123" spans="33:34">
      <c r="AG123" s="1437">
        <v>82</v>
      </c>
      <c r="AH123" s="1438">
        <v>18.45</v>
      </c>
    </row>
    <row r="124" spans="33:34">
      <c r="AG124" s="1437">
        <v>83</v>
      </c>
      <c r="AH124" s="1438">
        <v>18.462</v>
      </c>
    </row>
    <row r="125" spans="33:34">
      <c r="AG125" s="1437">
        <v>84</v>
      </c>
      <c r="AH125" s="1438">
        <v>18.474</v>
      </c>
    </row>
    <row r="126" spans="33:34">
      <c r="AG126" s="1437">
        <v>85</v>
      </c>
      <c r="AH126" s="1438">
        <v>18.484999999999999</v>
      </c>
    </row>
    <row r="127" spans="33:34">
      <c r="AG127" s="1437">
        <v>86</v>
      </c>
      <c r="AH127" s="1438">
        <v>18.495000000000001</v>
      </c>
    </row>
    <row r="128" spans="33:34">
      <c r="AG128" s="1437">
        <v>87</v>
      </c>
      <c r="AH128" s="1438">
        <v>18.504999999999999</v>
      </c>
    </row>
    <row r="129" spans="33:34">
      <c r="AG129" s="1437">
        <v>88</v>
      </c>
      <c r="AH129" s="1438">
        <v>18.513999999999999</v>
      </c>
    </row>
    <row r="130" spans="33:34">
      <c r="AG130" s="1437">
        <v>89</v>
      </c>
      <c r="AH130" s="1438">
        <v>18.523</v>
      </c>
    </row>
    <row r="131" spans="33:34">
      <c r="AG131" s="1437">
        <v>90</v>
      </c>
      <c r="AH131" s="1438">
        <v>18.530999999999999</v>
      </c>
    </row>
    <row r="132" spans="33:34">
      <c r="AG132" s="1437">
        <v>91</v>
      </c>
      <c r="AH132" s="1438">
        <v>18.539000000000001</v>
      </c>
    </row>
    <row r="133" spans="33:34">
      <c r="AG133" s="1437">
        <v>92</v>
      </c>
      <c r="AH133" s="1438">
        <v>18.545999999999999</v>
      </c>
    </row>
    <row r="134" spans="33:34">
      <c r="AG134" s="1437">
        <v>93</v>
      </c>
      <c r="AH134" s="1438">
        <v>18.553000000000001</v>
      </c>
    </row>
    <row r="135" spans="33:34">
      <c r="AG135" s="1437">
        <v>94</v>
      </c>
      <c r="AH135" s="1438">
        <v>18.559999999999999</v>
      </c>
    </row>
    <row r="136" spans="33:34">
      <c r="AG136" s="1437">
        <v>95</v>
      </c>
      <c r="AH136" s="1438">
        <v>18.565999999999999</v>
      </c>
    </row>
    <row r="137" spans="33:34">
      <c r="AG137" s="1437">
        <v>96</v>
      </c>
      <c r="AH137" s="1438">
        <v>18.571999999999999</v>
      </c>
    </row>
    <row r="138" spans="33:34">
      <c r="AG138" s="1437">
        <v>97</v>
      </c>
      <c r="AH138" s="1438">
        <v>18.577999999999999</v>
      </c>
    </row>
    <row r="139" spans="33:34">
      <c r="AG139" s="1437">
        <v>98</v>
      </c>
      <c r="AH139" s="1438">
        <v>18.582999999999998</v>
      </c>
    </row>
    <row r="140" spans="33:34">
      <c r="AG140" s="1437">
        <v>99</v>
      </c>
      <c r="AH140" s="1438">
        <v>18.588999999999999</v>
      </c>
    </row>
    <row r="141" spans="33:34">
      <c r="AG141" s="1437">
        <v>100</v>
      </c>
      <c r="AH141" s="1438">
        <v>18.593</v>
      </c>
    </row>
    <row r="142" spans="33:34">
      <c r="AG142" s="1437">
        <v>101</v>
      </c>
      <c r="AH142" s="1438">
        <v>18.597999999999999</v>
      </c>
    </row>
  </sheetData>
  <sheetProtection algorithmName="SHA-512" hashValue="C6L1MfZ1RdmKVEfSzlVfLaqbV6eXo4dShHco3ygUhcuDmM74Wmo8fopcsceBYGTnswM8XY3Ux/UO+hA/9mY/jw==" saltValue="L6Su7fGsnuVd9ASQhNnSPw==" spinCount="100000" sheet="1" objects="1" scenarios="1"/>
  <mergeCells count="15">
    <mergeCell ref="AB3:AC3"/>
    <mergeCell ref="AD3:AE3"/>
    <mergeCell ref="AD4:AE4"/>
    <mergeCell ref="Q3:S3"/>
    <mergeCell ref="U3:V3"/>
    <mergeCell ref="W3:X3"/>
    <mergeCell ref="Y3:Z3"/>
    <mergeCell ref="B2:X2"/>
    <mergeCell ref="S1:X1"/>
    <mergeCell ref="B3:D3"/>
    <mergeCell ref="E3:F3"/>
    <mergeCell ref="G3:I3"/>
    <mergeCell ref="J3:L3"/>
    <mergeCell ref="M3:N3"/>
    <mergeCell ref="O3:P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Zeros="0" zoomScale="85" zoomScaleNormal="85" workbookViewId="0">
      <selection activeCell="D21" sqref="D21"/>
    </sheetView>
  </sheetViews>
  <sheetFormatPr baseColWidth="10" defaultColWidth="0" defaultRowHeight="14.25" zeroHeight="1"/>
  <cols>
    <col min="1" max="1" width="5.125" style="25" customWidth="1"/>
    <col min="2" max="2" width="5.125" style="877" customWidth="1"/>
    <col min="3" max="3" width="30.625" style="4" customWidth="1"/>
    <col min="4" max="4" width="13.625" style="4" customWidth="1"/>
    <col min="5" max="5" width="13.125" style="4" customWidth="1"/>
    <col min="6" max="6" width="3.125" customWidth="1"/>
    <col min="7" max="7" width="11" customWidth="1"/>
    <col min="8" max="8" width="10.5" customWidth="1"/>
    <col min="9" max="9" width="11.625" customWidth="1"/>
    <col min="10" max="10" width="13" customWidth="1"/>
    <col min="11" max="12" width="12.625" customWidth="1"/>
    <col min="13" max="13" width="3.125" customWidth="1"/>
    <col min="14" max="14" width="27.625" style="877" customWidth="1"/>
    <col min="15" max="15" width="13.5" customWidth="1"/>
    <col min="16" max="16" width="13.5" style="622" customWidth="1"/>
    <col min="17" max="17" width="3.125" customWidth="1"/>
    <col min="18" max="18" width="58.125" style="25" customWidth="1"/>
    <col min="19" max="20" width="12.125" style="25" customWidth="1"/>
    <col min="21" max="21" width="4.875" style="25" customWidth="1"/>
    <col min="22" max="26" width="12.625" hidden="1" customWidth="1"/>
    <col min="27" max="28" width="11.125" hidden="1" customWidth="1"/>
    <col min="29" max="29" width="15.625" hidden="1" customWidth="1"/>
    <col min="30" max="30" width="14.625" hidden="1" customWidth="1"/>
    <col min="31" max="31" width="12.625" hidden="1" customWidth="1"/>
    <col min="32" max="32" width="11" hidden="1" customWidth="1"/>
    <col min="33" max="33" width="11.125" hidden="1" customWidth="1"/>
    <col min="34" max="16384" width="11" hidden="1"/>
  </cols>
  <sheetData>
    <row r="1" spans="1:34" s="71" customFormat="1" ht="47.25" customHeight="1" thickBot="1">
      <c r="A1" s="64">
        <v>85</v>
      </c>
      <c r="B1" s="980" t="e" vm="3">
        <v>#VALUE!</v>
      </c>
      <c r="C1" s="3865" t="s">
        <v>1057</v>
      </c>
      <c r="D1" s="3866"/>
      <c r="E1" s="3866"/>
      <c r="F1" s="3866"/>
      <c r="G1" s="3866"/>
      <c r="H1" s="3866"/>
      <c r="I1" s="3866"/>
      <c r="J1" s="3866"/>
      <c r="K1" s="3866"/>
      <c r="L1" s="3866"/>
      <c r="M1" s="3866"/>
      <c r="N1" s="3866"/>
      <c r="O1" s="3866"/>
      <c r="P1" s="3866"/>
      <c r="Q1" s="2083"/>
      <c r="R1" s="2083"/>
      <c r="S1" s="2083"/>
      <c r="T1" s="2083"/>
      <c r="U1" s="85"/>
      <c r="V1" s="128">
        <f>VLOOKUP(IF(S8&lt;S11,S11,S8),CHOOSE(V3,Lebenserwartung_M_V2,Lebenserwartung_F_V2,Lebenserwartung_N_V2),YEAR(S5)+IF(MONTH(S5)&gt;6,1,0)-1900+2)</f>
        <v>0</v>
      </c>
      <c r="W1" s="883"/>
      <c r="X1" s="128" t="s">
        <v>219</v>
      </c>
      <c r="Y1" s="883"/>
      <c r="Z1" s="883"/>
      <c r="AA1" s="883"/>
      <c r="AB1" s="883"/>
      <c r="AC1" s="883"/>
    </row>
    <row r="2" spans="1:34" s="71" customFormat="1" ht="36" customHeight="1" thickTop="1" thickBot="1">
      <c r="A2" s="3773" t="s">
        <v>1014</v>
      </c>
      <c r="B2" s="3778" t="s">
        <v>394</v>
      </c>
      <c r="C2" s="3779"/>
      <c r="D2" s="3779"/>
      <c r="E2" s="3780"/>
      <c r="F2" s="909"/>
      <c r="G2" s="3828" t="s">
        <v>635</v>
      </c>
      <c r="H2" s="3829"/>
      <c r="I2" s="3829"/>
      <c r="J2" s="3830"/>
      <c r="K2" s="3837" t="s">
        <v>217</v>
      </c>
      <c r="L2" s="3838"/>
      <c r="M2" s="882"/>
      <c r="N2" s="3811" t="s">
        <v>343</v>
      </c>
      <c r="O2" s="3812"/>
      <c r="P2" s="3813"/>
      <c r="Q2" s="1153"/>
      <c r="R2" s="3873" t="s">
        <v>1846</v>
      </c>
      <c r="S2" s="3874"/>
      <c r="T2" s="3875"/>
      <c r="U2" s="64"/>
      <c r="W2" s="852"/>
      <c r="X2" s="128" t="s">
        <v>265</v>
      </c>
      <c r="Y2" s="852"/>
      <c r="Z2" s="852"/>
      <c r="AA2" s="852"/>
      <c r="AB2" s="852"/>
      <c r="AC2" s="852"/>
      <c r="AD2" s="852"/>
      <c r="AE2" s="852"/>
      <c r="AF2" s="852"/>
      <c r="AG2" s="852"/>
      <c r="AH2" s="852"/>
    </row>
    <row r="3" spans="1:34" s="71" customFormat="1" ht="17.100000000000001" customHeight="1">
      <c r="A3" s="3774"/>
      <c r="B3" s="737" t="s">
        <v>56</v>
      </c>
      <c r="C3" s="3783" t="s">
        <v>129</v>
      </c>
      <c r="D3" s="3784"/>
      <c r="E3" s="1792">
        <v>2.5999999999999999E-2</v>
      </c>
      <c r="F3" s="581"/>
      <c r="G3" s="3818" t="s">
        <v>391</v>
      </c>
      <c r="H3" s="3819"/>
      <c r="I3" s="3819"/>
      <c r="J3" s="3820"/>
      <c r="K3" s="417" t="s">
        <v>1181</v>
      </c>
      <c r="L3" s="592" t="s">
        <v>1182</v>
      </c>
      <c r="M3" s="3821"/>
      <c r="N3" s="3834" t="s">
        <v>984</v>
      </c>
      <c r="O3" s="3835"/>
      <c r="P3" s="3836"/>
      <c r="Q3" s="1153"/>
      <c r="R3" s="1829" t="s">
        <v>1970</v>
      </c>
      <c r="S3" s="1066" t="str">
        <f>IFERROR(IF(S5&gt;0,"",IF(Dat_GebDat_M&gt;0,TEXT(Dat_GebDat_M,"TT.MM.JJJ")&amp;männlich,"")),"")</f>
        <v>♂</v>
      </c>
      <c r="T3" s="1830" t="str">
        <f>IFERROR(IF(T5&gt;0,"",IF(Dat_GebDat_F&gt;0,TEXT(Dat_GebDat_F,"TT.MM.JJJ")&amp;weiblich,"")),"")</f>
        <v>♀</v>
      </c>
      <c r="U3" s="64">
        <f>+U2*U1</f>
        <v>0</v>
      </c>
      <c r="V3" s="16">
        <f>IF(S4="m",1,IF(S4="w",2,3))</f>
        <v>1</v>
      </c>
      <c r="W3" s="16">
        <f>IF(T4="m",1,IF(T4="w",2,3))</f>
        <v>1</v>
      </c>
      <c r="X3" s="128" t="s">
        <v>386</v>
      </c>
      <c r="Y3" s="852"/>
      <c r="Z3" s="852"/>
      <c r="AA3" s="852"/>
      <c r="AB3" s="852"/>
      <c r="AC3" s="852"/>
      <c r="AD3" s="852"/>
      <c r="AE3" s="852"/>
      <c r="AF3" s="852"/>
      <c r="AG3" s="852"/>
      <c r="AH3" s="852"/>
    </row>
    <row r="4" spans="1:34" s="71" customFormat="1" ht="17.100000000000001" customHeight="1">
      <c r="A4" s="3774"/>
      <c r="B4" s="887" t="s">
        <v>124</v>
      </c>
      <c r="C4" s="3783" t="s">
        <v>188</v>
      </c>
      <c r="D4" s="3784"/>
      <c r="E4" s="1793">
        <v>7.2999999999999995E-2</v>
      </c>
      <c r="F4" s="64"/>
      <c r="G4" s="3839" t="s">
        <v>637</v>
      </c>
      <c r="H4" s="3840"/>
      <c r="I4" s="3840"/>
      <c r="J4" s="576" t="s">
        <v>393</v>
      </c>
      <c r="K4" s="418">
        <v>8401</v>
      </c>
      <c r="L4" s="639">
        <v>3.5000000000000003E-2</v>
      </c>
      <c r="M4" s="3822"/>
      <c r="N4" s="362"/>
      <c r="O4" s="161" t="s">
        <v>22</v>
      </c>
      <c r="P4" s="314" t="s">
        <v>23</v>
      </c>
      <c r="Q4" s="64"/>
      <c r="R4" s="1831" t="s">
        <v>1971</v>
      </c>
      <c r="S4" s="1822" t="s">
        <v>219</v>
      </c>
      <c r="T4" s="1832" t="s">
        <v>219</v>
      </c>
      <c r="U4" s="64"/>
      <c r="W4" s="71" t="s">
        <v>190</v>
      </c>
      <c r="AD4" s="71" t="s">
        <v>125</v>
      </c>
      <c r="AE4" s="16" t="b">
        <v>1</v>
      </c>
    </row>
    <row r="5" spans="1:34" s="71" customFormat="1" ht="17.100000000000001" customHeight="1">
      <c r="A5" s="3774"/>
      <c r="B5" s="887" t="s">
        <v>134</v>
      </c>
      <c r="C5" s="3783" t="s">
        <v>136</v>
      </c>
      <c r="D5" s="3784"/>
      <c r="E5" s="1794">
        <f>+'Einzel-Bewertung'!J11</f>
        <v>1</v>
      </c>
      <c r="F5" s="64"/>
      <c r="G5" s="899" t="s">
        <v>634</v>
      </c>
      <c r="H5" s="878"/>
      <c r="I5" s="869" t="s">
        <v>968</v>
      </c>
      <c r="J5" s="576" t="s">
        <v>392</v>
      </c>
      <c r="K5" s="418">
        <v>15341</v>
      </c>
      <c r="L5" s="639">
        <v>0.04</v>
      </c>
      <c r="M5" s="3822"/>
      <c r="N5" s="311" t="s">
        <v>917</v>
      </c>
      <c r="O5" s="888"/>
      <c r="P5" s="854"/>
      <c r="Q5" s="64"/>
      <c r="R5" s="1829" t="s">
        <v>1972</v>
      </c>
      <c r="S5" s="888"/>
      <c r="T5" s="1833"/>
      <c r="U5" s="64"/>
      <c r="W5" s="1466" t="s">
        <v>1629</v>
      </c>
      <c r="X5" s="1466">
        <v>33238</v>
      </c>
      <c r="Z5" s="1475" t="e">
        <f>ROUND(IF(O5&gt;X5,VLOOKUP(O5,VPI,3),VLOOKUP(O5,VPI,2)),2)</f>
        <v>#N/A</v>
      </c>
      <c r="AA5" s="1466"/>
    </row>
    <row r="6" spans="1:34" s="71" customFormat="1" ht="17.100000000000001" customHeight="1">
      <c r="A6" s="3774"/>
      <c r="B6" s="887" t="s">
        <v>70</v>
      </c>
      <c r="C6" s="3783" t="s">
        <v>135</v>
      </c>
      <c r="D6" s="3784"/>
      <c r="E6" s="1795">
        <f>+'Einzel-Bewertung'!J12</f>
        <v>0.6</v>
      </c>
      <c r="F6" s="64"/>
      <c r="G6" s="899" t="s">
        <v>969</v>
      </c>
      <c r="H6" s="867"/>
      <c r="I6" s="868" t="s">
        <v>971</v>
      </c>
      <c r="J6" s="870" t="s">
        <v>970</v>
      </c>
      <c r="K6" s="418">
        <v>31593</v>
      </c>
      <c r="L6" s="639">
        <v>0.03</v>
      </c>
      <c r="M6" s="3822"/>
      <c r="N6" s="311" t="s">
        <v>916</v>
      </c>
      <c r="O6" s="3826"/>
      <c r="P6" s="3827"/>
      <c r="Q6" s="64"/>
      <c r="R6" s="1829" t="s">
        <v>1973</v>
      </c>
      <c r="S6" s="888"/>
      <c r="T6" s="1833"/>
      <c r="U6" s="64"/>
      <c r="W6" s="1466"/>
      <c r="X6" s="1467" t="e">
        <f>ROUND(VLOOKUP(P5,VPI,3),2)</f>
        <v>#N/A</v>
      </c>
      <c r="Y6" s="1466"/>
      <c r="Z6" s="1475" t="e">
        <f>ROUND(IF(O5&gt;X5,VLOOKUP(P5,VPI,3),VLOOKUP(P5,VPI,2)),2)</f>
        <v>#N/A</v>
      </c>
      <c r="AA6" s="1466"/>
      <c r="AD6" s="71" t="s">
        <v>173</v>
      </c>
      <c r="AE6" s="853" t="b">
        <v>1</v>
      </c>
    </row>
    <row r="7" spans="1:34" s="71" customFormat="1" ht="17.100000000000001" customHeight="1">
      <c r="A7" s="3774"/>
      <c r="B7" s="887" t="s">
        <v>195</v>
      </c>
      <c r="C7" s="3783" t="s">
        <v>263</v>
      </c>
      <c r="D7" s="3784"/>
      <c r="E7" s="1792">
        <v>0.01</v>
      </c>
      <c r="F7" s="64"/>
      <c r="G7" s="3805" t="s">
        <v>636</v>
      </c>
      <c r="H7" s="3806"/>
      <c r="I7" s="3806"/>
      <c r="J7" s="3807"/>
      <c r="K7" s="418">
        <v>34515</v>
      </c>
      <c r="L7" s="639">
        <v>3.5000000000000003E-2</v>
      </c>
      <c r="M7" s="3822"/>
      <c r="N7" s="1024" t="str">
        <f>IF(P5&gt;Enddatum,"VPI fehlt, letzter VPI","VPI")</f>
        <v>VPI</v>
      </c>
      <c r="O7" s="1154" t="str">
        <f>IFERROR(+Z5,"")</f>
        <v/>
      </c>
      <c r="P7" s="1155" t="str">
        <f>IFERROR(+Z6,"")</f>
        <v/>
      </c>
      <c r="Q7" s="64"/>
      <c r="R7" s="2048" t="s">
        <v>1974</v>
      </c>
      <c r="S7" s="321"/>
      <c r="T7" s="2049"/>
      <c r="U7" s="64"/>
      <c r="W7" s="71" t="s">
        <v>1852</v>
      </c>
      <c r="X7" s="625">
        <f>VLOOKUP(YEAR(S5),Regelaltersgrenze,3)</f>
        <v>65</v>
      </c>
      <c r="Y7" s="625">
        <f>IF(DuD_RAltersgr1&lt;S11,0,ROUND(DuD_RAltersgr1-S11,2))</f>
        <v>65</v>
      </c>
    </row>
    <row r="8" spans="1:34" s="71" customFormat="1" ht="17.100000000000001" customHeight="1">
      <c r="A8" s="3774"/>
      <c r="B8" s="887" t="s">
        <v>196</v>
      </c>
      <c r="C8" s="3783" t="s">
        <v>264</v>
      </c>
      <c r="D8" s="3784"/>
      <c r="E8" s="1796">
        <v>0.01</v>
      </c>
      <c r="F8" s="64"/>
      <c r="G8" s="3882" t="s">
        <v>643</v>
      </c>
      <c r="H8" s="3883"/>
      <c r="I8" s="3883"/>
      <c r="J8" s="3884"/>
      <c r="K8" s="418">
        <v>36707</v>
      </c>
      <c r="L8" s="639">
        <v>0.04</v>
      </c>
      <c r="M8" s="3822"/>
      <c r="N8" s="311" t="s">
        <v>913</v>
      </c>
      <c r="O8" s="3841" t="str">
        <f>IFERROR(+O6*P7/O7,"")</f>
        <v/>
      </c>
      <c r="P8" s="3842"/>
      <c r="Q8" s="64"/>
      <c r="R8" s="1829" t="str">
        <f>"6. Renteneintrittsalter (DRV: "&amp;TEXT(DuD_RAltersgr1,"0,00")&amp;" bzw. "&amp;TEXT(DuD_RAltersgr2,"0,00")&amp;" Jahre:"</f>
        <v>6. Renteneintrittsalter (DRV: 65,00 bzw. 65,00 Jahre:</v>
      </c>
      <c r="S8" s="881"/>
      <c r="T8" s="1834"/>
      <c r="U8" s="64"/>
      <c r="W8" s="71" t="s">
        <v>1853</v>
      </c>
      <c r="X8" s="625">
        <f>VLOOKUP(YEAR(T5),Regelaltersgrenze,3)</f>
        <v>65</v>
      </c>
      <c r="Y8" s="625">
        <f>IF(DuD_RAltersgr2&lt;T11,0,ROUND(DuD_RAltersgr2-T11,2))</f>
        <v>65</v>
      </c>
    </row>
    <row r="9" spans="1:34" s="71" customFormat="1" ht="17.100000000000001" customHeight="1" thickBot="1">
      <c r="A9" s="3774"/>
      <c r="B9" s="738" t="s">
        <v>197</v>
      </c>
      <c r="C9" s="3783" t="s">
        <v>1377</v>
      </c>
      <c r="D9" s="3784"/>
      <c r="E9" s="1797">
        <v>5.0000000000000001E-3</v>
      </c>
      <c r="F9" s="64"/>
      <c r="G9" s="3831" t="s">
        <v>640</v>
      </c>
      <c r="H9" s="3832"/>
      <c r="I9" s="3832"/>
      <c r="J9" s="3833"/>
      <c r="K9" s="418">
        <v>37986</v>
      </c>
      <c r="L9" s="639">
        <v>3.2500000000000001E-2</v>
      </c>
      <c r="M9" s="3822"/>
      <c r="N9" s="311" t="s">
        <v>915</v>
      </c>
      <c r="O9" s="3814" t="str">
        <f>IFERROR(+P7/O7-1,"")</f>
        <v/>
      </c>
      <c r="P9" s="3815"/>
      <c r="Q9" s="64"/>
      <c r="R9" s="1829" t="s">
        <v>1975</v>
      </c>
      <c r="S9" s="432"/>
      <c r="T9" s="1835"/>
      <c r="U9" s="64"/>
      <c r="Y9" s="16">
        <v>2</v>
      </c>
    </row>
    <row r="10" spans="1:34" s="71" customFormat="1" ht="17.100000000000001" customHeight="1" thickBot="1">
      <c r="A10" s="3775"/>
      <c r="B10" s="1798"/>
      <c r="C10" s="1799"/>
      <c r="D10" s="1799"/>
      <c r="E10" s="1800"/>
      <c r="F10" s="581"/>
      <c r="G10" s="3805" t="s">
        <v>642</v>
      </c>
      <c r="H10" s="3806"/>
      <c r="I10" s="3806"/>
      <c r="J10" s="3807"/>
      <c r="K10" s="418">
        <v>39082</v>
      </c>
      <c r="L10" s="639">
        <v>2.75E-2</v>
      </c>
      <c r="M10" s="3822"/>
      <c r="N10" s="875" t="s">
        <v>873</v>
      </c>
      <c r="O10" s="3816" t="str">
        <f>IFERROR(_xlfn.RRI(YEARFRAC(O5,P5,0),O6,O8),"")</f>
        <v/>
      </c>
      <c r="P10" s="3817"/>
      <c r="Q10" s="64"/>
      <c r="R10" s="1829" t="s">
        <v>1976</v>
      </c>
      <c r="S10" s="432"/>
      <c r="T10" s="1835"/>
      <c r="U10" s="64"/>
      <c r="W10" s="545" t="s">
        <v>192</v>
      </c>
      <c r="X10" s="1374" t="e">
        <f>VLOOKUP(S6,BilmoGZins,16)/100</f>
        <v>#N/A</v>
      </c>
      <c r="Y10" s="545"/>
    </row>
    <row r="11" spans="1:34" s="71" customFormat="1" ht="17.100000000000001" customHeight="1" thickTop="1">
      <c r="A11" s="3781" t="s">
        <v>126</v>
      </c>
      <c r="B11" s="3796" t="s">
        <v>967</v>
      </c>
      <c r="C11" s="3797"/>
      <c r="D11" s="3797"/>
      <c r="E11" s="3798"/>
      <c r="F11" s="581"/>
      <c r="G11" s="3805" t="s">
        <v>638</v>
      </c>
      <c r="H11" s="3806"/>
      <c r="I11" s="3806"/>
      <c r="J11" s="3807"/>
      <c r="K11" s="418">
        <v>40908</v>
      </c>
      <c r="L11" s="639">
        <v>2.2499999999999999E-2</v>
      </c>
      <c r="M11" s="3822"/>
      <c r="N11" s="3876" t="s">
        <v>985</v>
      </c>
      <c r="O11" s="3877"/>
      <c r="P11" s="3878"/>
      <c r="Q11" s="64"/>
      <c r="R11" s="1829" t="s">
        <v>1977</v>
      </c>
      <c r="S11" s="221">
        <f>YEARFRAC(S5,S6,0)</f>
        <v>0</v>
      </c>
      <c r="T11" s="1836">
        <f>YEARFRAC(T5,T6,0)</f>
        <v>0</v>
      </c>
      <c r="U11" s="64"/>
      <c r="W11" s="985" t="s">
        <v>193</v>
      </c>
      <c r="X11" s="1374" t="e">
        <f>VLOOKUP(S6,BilMoG10,16)/100</f>
        <v>#N/A</v>
      </c>
      <c r="Y11" s="545"/>
    </row>
    <row r="12" spans="1:34" s="71" customFormat="1" ht="17.100000000000001" customHeight="1">
      <c r="A12" s="3781"/>
      <c r="B12" s="3799"/>
      <c r="C12" s="3800"/>
      <c r="D12" s="3800"/>
      <c r="E12" s="3801"/>
      <c r="F12" s="581"/>
      <c r="G12" s="3805" t="s">
        <v>639</v>
      </c>
      <c r="H12" s="3806"/>
      <c r="I12" s="3806"/>
      <c r="J12" s="3807"/>
      <c r="K12" s="418">
        <v>42004</v>
      </c>
      <c r="L12" s="639">
        <v>1.7500000000000002E-2</v>
      </c>
      <c r="M12" s="3822"/>
      <c r="N12" s="1025" t="s">
        <v>344</v>
      </c>
      <c r="O12" s="1148" t="str">
        <f>IFERROR(VLOOKUP(O5,AktuellerRentenwert,IF(Ost,3,2)),"")</f>
        <v/>
      </c>
      <c r="P12" s="224" t="str">
        <f>IFERROR(VLOOKUP(P5,AktuellerRentenwert,IF(Ost,3,2)),"")</f>
        <v/>
      </c>
      <c r="Q12" s="64"/>
      <c r="R12" s="1829" t="s">
        <v>1981</v>
      </c>
      <c r="S12" s="221">
        <f>IF(S11&lt;S8,S8-S11,0)</f>
        <v>0</v>
      </c>
      <c r="T12" s="1836">
        <f>IF(T11&lt;T8,T8-T11,0)</f>
        <v>0</v>
      </c>
      <c r="U12" s="64"/>
      <c r="W12" s="985" t="s">
        <v>1854</v>
      </c>
      <c r="X12" s="545"/>
      <c r="Y12" s="545"/>
    </row>
    <row r="13" spans="1:34" s="71" customFormat="1" ht="17.100000000000001" customHeight="1">
      <c r="A13" s="3781"/>
      <c r="B13" s="3776" t="str">
        <f>"Ehezeitende: "</f>
        <v xml:space="preserve">Ehezeitende: </v>
      </c>
      <c r="C13" s="3777"/>
      <c r="D13" s="2214"/>
      <c r="E13" s="1783" t="str">
        <f>IFERROR("aktRW: "&amp;TEXT(X15,"0,00 €"),"")</f>
        <v/>
      </c>
      <c r="F13" s="581"/>
      <c r="G13" s="3808" t="s">
        <v>691</v>
      </c>
      <c r="H13" s="3809"/>
      <c r="I13" s="3809"/>
      <c r="J13" s="3810"/>
      <c r="K13" s="418">
        <v>42735</v>
      </c>
      <c r="L13" s="639">
        <v>1.2500000000000001E-2</v>
      </c>
      <c r="M13" s="3822"/>
      <c r="N13" s="311" t="s">
        <v>914</v>
      </c>
      <c r="O13" s="3508" t="str">
        <f>IFERROR(O6*P12/O12,"")</f>
        <v/>
      </c>
      <c r="P13" s="3509"/>
      <c r="Q13" s="64"/>
      <c r="R13" s="1829" t="s">
        <v>1982</v>
      </c>
      <c r="S13" s="221">
        <f>IFERROR(ROUND(VLOOKUP(IF(S8&lt;S11,S11,S8),CHOOSE(V3,Lebenserwartung_M_V2,Lebenserwartung_F_V2,Lebenserwartung_N_V2),YEAR(S5)+IF(MONTH(S5)&gt;6,1,0)-1900+2),3),"")</f>
        <v>0</v>
      </c>
      <c r="T13" s="1836">
        <f>IFERROR(ROUND(VLOOKUP(IF(T8&lt;T11,T11,T8),CHOOSE(W3,Lebenserwartung_M_V2,Lebenserwartung_F_V2,Lebenserwartung_N_V2),YEAR(T5)+IF(MONTH(T5)&gt;6,1,0)-1900+2),3),"")</f>
        <v>0</v>
      </c>
      <c r="U13" s="64"/>
      <c r="W13" s="985" t="s">
        <v>619</v>
      </c>
      <c r="X13" s="1374" t="e">
        <f>IF(S17&gt;0,S17,CHOOSE(Y9,X10,X11,S17))</f>
        <v>#N/A</v>
      </c>
      <c r="Y13" s="1374" t="e">
        <f>CHOOSE(Y9,X10,X11,T17)</f>
        <v>#N/A</v>
      </c>
    </row>
    <row r="14" spans="1:34" s="71" customFormat="1" ht="17.100000000000001" customHeight="1" thickBot="1">
      <c r="A14" s="3781"/>
      <c r="B14" s="3776" t="s">
        <v>1720</v>
      </c>
      <c r="C14" s="3777"/>
      <c r="D14" s="1688"/>
      <c r="E14" s="1784"/>
      <c r="F14" s="879"/>
      <c r="G14" s="3808" t="s">
        <v>1010</v>
      </c>
      <c r="H14" s="3809"/>
      <c r="I14" s="3809"/>
      <c r="J14" s="3810"/>
      <c r="K14" s="419">
        <v>44561</v>
      </c>
      <c r="L14" s="639">
        <v>8.9999999999999993E-3</v>
      </c>
      <c r="M14" s="3822"/>
      <c r="N14" s="1026" t="str">
        <f>+N9</f>
        <v>Steigerung in %</v>
      </c>
      <c r="O14" s="3814" t="str">
        <f>IFERROR(+(O13/O6)-1,"")</f>
        <v/>
      </c>
      <c r="P14" s="3815"/>
      <c r="Q14" s="64"/>
      <c r="R14" s="1837" t="s">
        <v>1983</v>
      </c>
      <c r="S14" s="228">
        <f>ROUND(S7*(1+S9)^(S12),2)</f>
        <v>0</v>
      </c>
      <c r="T14" s="1838">
        <f>ROUND(T7*(1+T9)^T12,2)</f>
        <v>0</v>
      </c>
      <c r="U14" s="64"/>
      <c r="W14" s="71" t="str">
        <f>+B11</f>
        <v>Umrechnungen Kapital, Rente &amp; Entgeltpunkte</v>
      </c>
    </row>
    <row r="15" spans="1:34" s="71" customFormat="1" ht="17.100000000000001" customHeight="1" thickTop="1" thickBot="1">
      <c r="A15" s="3781"/>
      <c r="B15" s="3791" t="s">
        <v>1015</v>
      </c>
      <c r="C15" s="3792"/>
      <c r="D15" s="3792"/>
      <c r="E15" s="3793"/>
      <c r="F15" s="20"/>
      <c r="G15" s="1418" t="s">
        <v>1326</v>
      </c>
      <c r="H15" s="3881" t="s">
        <v>1596</v>
      </c>
      <c r="I15" s="3881"/>
      <c r="J15" s="25"/>
      <c r="K15" s="419">
        <v>45657</v>
      </c>
      <c r="L15" s="560">
        <v>2.5000000000000001E-3</v>
      </c>
      <c r="M15" s="3822"/>
      <c r="N15" s="1027" t="str">
        <f>N10</f>
        <v>Ø % pro Jahr</v>
      </c>
      <c r="O15" s="3879" t="str">
        <f>IFERROR(_xlfn.RRI(YEARFRAC(O5,P5,0),O12,P12),"")</f>
        <v/>
      </c>
      <c r="P15" s="3880"/>
      <c r="Q15" s="64"/>
      <c r="R15" s="1842" t="s">
        <v>1984</v>
      </c>
      <c r="S15" s="1843">
        <f>-PV(-S10,S13,S14*12,,1)</f>
        <v>0</v>
      </c>
      <c r="T15" s="1844">
        <f>-PV(-T10,T13,T14*12,,1)</f>
        <v>0</v>
      </c>
      <c r="U15" s="2181"/>
      <c r="W15" s="71" t="s">
        <v>932</v>
      </c>
      <c r="X15" s="64" t="e">
        <f>VLOOKUP(EzE_P,aktRW,IF(Dies_und_Das_Ost,3,2))</f>
        <v>#N/A</v>
      </c>
      <c r="Z15" s="71" t="s">
        <v>1716</v>
      </c>
    </row>
    <row r="16" spans="1:34" s="71" customFormat="1" ht="17.100000000000001" customHeight="1">
      <c r="A16" s="3781"/>
      <c r="B16" s="3776" t="str">
        <f>"Kapital i.H.v.  in EP zum EzE"</f>
        <v>Kapital i.H.v.  in EP zum EzE</v>
      </c>
      <c r="C16" s="3777"/>
      <c r="D16" s="1685" t="s">
        <v>807</v>
      </c>
      <c r="E16" s="1785" t="s">
        <v>61</v>
      </c>
      <c r="F16" s="20"/>
      <c r="G16" s="3802" t="s">
        <v>1431</v>
      </c>
      <c r="H16" s="3803"/>
      <c r="I16" s="3803"/>
      <c r="J16" s="3804"/>
      <c r="K16" s="419" t="s">
        <v>2020</v>
      </c>
      <c r="L16" s="639">
        <v>0.01</v>
      </c>
      <c r="M16" s="3822"/>
      <c r="N16" s="3885" t="s">
        <v>973</v>
      </c>
      <c r="O16" s="3886"/>
      <c r="P16" s="3887"/>
      <c r="Q16" s="64"/>
      <c r="R16" s="1845" t="s">
        <v>2009</v>
      </c>
      <c r="S16" s="1840">
        <f>IFERROR(+S15/12/S13,0)</f>
        <v>0</v>
      </c>
      <c r="T16" s="1841" t="str">
        <f>IFERROR(+T15/T13/12,"")</f>
        <v/>
      </c>
      <c r="U16" s="64"/>
      <c r="W16" s="71" t="s">
        <v>933</v>
      </c>
      <c r="X16" s="64" t="e">
        <f>VLOOKUP(EzE_P,Umrechnungsfaktoren_BeitraginEP,IF(Dies_und_Das_Ost,3,2))</f>
        <v>#N/A</v>
      </c>
      <c r="Z16" s="71" t="s">
        <v>1717</v>
      </c>
    </row>
    <row r="17" spans="1:30" s="71" customFormat="1" ht="17.100000000000001" customHeight="1" thickBot="1">
      <c r="A17" s="3781"/>
      <c r="B17" s="3776"/>
      <c r="C17" s="3777"/>
      <c r="D17" s="1686"/>
      <c r="E17" s="1786" t="str">
        <f>IF(Kapital_P&gt;0,Kapital_P,IF(Rente_P&gt;0,Rente_P/X15/X16,IF(D21&gt;0,D21*X16,"")))</f>
        <v/>
      </c>
      <c r="F17" s="20"/>
      <c r="G17" s="3823" t="s">
        <v>641</v>
      </c>
      <c r="H17" s="3824"/>
      <c r="I17" s="3824"/>
      <c r="J17" s="3825"/>
      <c r="K17" s="575"/>
      <c r="L17" s="640"/>
      <c r="M17" s="3822"/>
      <c r="N17" s="3888"/>
      <c r="O17" s="3889"/>
      <c r="P17" s="3890"/>
      <c r="Q17" s="64"/>
      <c r="R17" s="1846" t="e">
        <f>"15.ReZins f. BW-Berechnung: "&amp;TEXT(X13,"0,00%")</f>
        <v>#N/A</v>
      </c>
      <c r="S17" s="432"/>
      <c r="T17" s="1835"/>
      <c r="U17" s="64"/>
      <c r="W17" s="71" t="s">
        <v>1323</v>
      </c>
      <c r="X17" s="16" t="b">
        <v>0</v>
      </c>
      <c r="Z17" s="71" t="s">
        <v>230</v>
      </c>
    </row>
    <row r="18" spans="1:30" s="71" customFormat="1" ht="17.100000000000001" customHeight="1" thickBot="1">
      <c r="A18" s="3781"/>
      <c r="B18" s="3776" t="str">
        <f>"Rente i.H.v. "&amp;TEXT(IF(D19=0,"…",D19),"###.##0 €")&amp;" in EP zum Ehezeitende "</f>
        <v xml:space="preserve">Rente i.H.v. … in EP zum Ehezeitende </v>
      </c>
      <c r="C18" s="3777"/>
      <c r="D18" s="1685" t="s">
        <v>808</v>
      </c>
      <c r="E18" s="1785" t="s">
        <v>21</v>
      </c>
      <c r="F18" s="20"/>
      <c r="G18" s="64"/>
      <c r="H18" s="880"/>
      <c r="I18" s="880"/>
      <c r="J18" s="579"/>
      <c r="K18" s="579"/>
      <c r="L18" s="580"/>
      <c r="M18" s="872"/>
      <c r="N18" s="3891" t="s">
        <v>1502</v>
      </c>
      <c r="O18" s="3892"/>
      <c r="P18" s="874" t="s">
        <v>981</v>
      </c>
      <c r="Q18" s="64"/>
      <c r="R18" s="1847" t="s">
        <v>1979</v>
      </c>
      <c r="S18" s="1823">
        <f>IFERROR(IF(DuD_VVR1,IF(S11&gt;S8,1,ROUND(VLOOKUP(S8,CHOOSE(V3,G_Kohorte_M,G_Kohorte_F,G_Kohorte_N),YEAR(S5)+IF(MONTH(S5)&gt;6,1,0)-1900+2)/VLOOKUP(S11,CHOOSE(V3,G_Kohorte_M,G_Kohorte_F,G_Kohorte_N),YEAR(S5)+IF(MONTH(S5)&gt;6,1,0)-1900+2),4)),1),"")</f>
        <v>1</v>
      </c>
      <c r="T18" s="1839">
        <f>IFERROR(IF(DuD_VVR1,IF(T11&gt;T8,1,ROUND(VLOOKUP(T8,CHOOSE(W3,G_Kohorte_M,G_Kohorte_F,G_Kohorte_N),YEAR(T5)+IF(MONTH(T5)&gt;6,1,0)-1900+2)/VLOOKUP(T11,CHOOSE(W3,G_Kohorte_M,G_Kohorte_F,G_Kohorte_N),YEAR(T5)+IF(MONTH(T5)&gt;6,1,0)-1900+2),4)),1),"")</f>
        <v>1</v>
      </c>
      <c r="U18" s="64"/>
      <c r="W18" s="71" t="s">
        <v>1848</v>
      </c>
      <c r="X18" s="16" t="b">
        <v>0</v>
      </c>
      <c r="Z18" s="71" t="s">
        <v>271</v>
      </c>
    </row>
    <row r="19" spans="1:30" s="71" customFormat="1" ht="17.100000000000001" customHeight="1" thickBot="1">
      <c r="A19" s="3781"/>
      <c r="B19" s="3776"/>
      <c r="C19" s="3777"/>
      <c r="D19" s="1686"/>
      <c r="E19" s="1787" t="str">
        <f>IFERROR(IF(D19&gt;0,D19,IF(D21&gt;0,D21*X15,IF(Kapital_P&gt;0,Kapital_P*X16*X15,""))),0)</f>
        <v/>
      </c>
      <c r="F19" s="20"/>
      <c r="G19" s="3811" t="s">
        <v>266</v>
      </c>
      <c r="H19" s="3812"/>
      <c r="I19" s="3812"/>
      <c r="J19" s="3812"/>
      <c r="K19" s="3812"/>
      <c r="L19" s="3813"/>
      <c r="M19" s="64"/>
      <c r="N19" s="875" t="s">
        <v>596</v>
      </c>
      <c r="O19" s="567"/>
      <c r="P19" s="876" t="str">
        <f>IF(O19="","",DATE(YEAR(O19)+65,MONTH(O19)+1+VLOOKUP(YEAR(O19),Regelaltersgrenze,2),1))</f>
        <v/>
      </c>
      <c r="Q19" s="64"/>
      <c r="R19" s="2178" t="e">
        <f>"17. BW der Altersrente (AusglWert) berechnet mit "&amp;TEXT(X13,"0,00%")&amp;" bzw. "&amp;TEXT(Y13,"0,00%")&amp;": "</f>
        <v>#N/A</v>
      </c>
      <c r="S19" s="2176" t="str">
        <f>IFERROR(ROUND(-PV(X13/12-S9/12,S12*12,,-PV(X13/12-S10/12,S13*12,S14))*S18,0),"")</f>
        <v/>
      </c>
      <c r="T19" s="2179" t="str">
        <f>IFERROR(ROUND(-PV(Y13/12-T9/12,T12*12,,-PV(Y13/12-T10/12,T13*12,T14))*T18,0),"")</f>
        <v/>
      </c>
      <c r="U19" s="2181"/>
      <c r="AB19" s="545" t="s">
        <v>1718</v>
      </c>
      <c r="AC19" s="545"/>
      <c r="AD19" s="66" t="s">
        <v>126</v>
      </c>
    </row>
    <row r="20" spans="1:30" s="71" customFormat="1" ht="17.100000000000001" customHeight="1">
      <c r="A20" s="3781"/>
      <c r="B20" s="3789" t="str">
        <f>TEXT(E21,"0,0000")&amp;" Entgeltpunkte zum Ehezeitende am "&amp;TEXT(EzE_P,"TT.MM.JJJJ")&amp;Zeichen!B9&amp;IF(Rente_P&gt;0,TEXT(Rente_P,"#.##0,00 €")&amp;" Rente",IF(Kapital_P&gt;0,TEXT(Kapital_P,"#.##0,00€")&amp;" Kapital",""))</f>
        <v xml:space="preserve"> Entgeltpunkte zum Ehezeitende am 00.01.1900≙</v>
      </c>
      <c r="C20" s="3790"/>
      <c r="D20" s="1685" t="s">
        <v>931</v>
      </c>
      <c r="E20" s="1785" t="s">
        <v>931</v>
      </c>
      <c r="F20" s="20"/>
      <c r="G20" s="3898"/>
      <c r="H20" s="3899"/>
      <c r="I20" s="3899"/>
      <c r="J20" s="3899"/>
      <c r="K20" s="3899"/>
      <c r="L20" s="3900"/>
      <c r="M20" s="64"/>
      <c r="N20" s="3893" t="s">
        <v>982</v>
      </c>
      <c r="O20" s="3894"/>
      <c r="P20" s="3895"/>
      <c r="Q20" s="64"/>
      <c r="R20" s="2185" t="s">
        <v>1980</v>
      </c>
      <c r="S20" s="2183"/>
      <c r="T20" s="2186"/>
      <c r="U20" s="64"/>
      <c r="AB20" s="545" t="s">
        <v>257</v>
      </c>
      <c r="AC20" s="545" t="s">
        <v>219</v>
      </c>
      <c r="AD20" s="366" t="b">
        <v>1</v>
      </c>
    </row>
    <row r="21" spans="1:30" s="71" customFormat="1" ht="17.100000000000001" customHeight="1">
      <c r="A21" s="3781"/>
      <c r="B21" s="3789"/>
      <c r="C21" s="3790"/>
      <c r="D21" s="1687"/>
      <c r="E21" s="1788" t="str">
        <f>IFERROR(IF(Kapital2_p&gt;0,Kapital2_p,IF(Rente_P&gt;0,Rente_P/X15,IF(Kapital_P&gt;0,Kapital_P*X16,""))),0)</f>
        <v/>
      </c>
      <c r="F21" s="20"/>
      <c r="G21" s="3754" t="s">
        <v>267</v>
      </c>
      <c r="H21" s="3755"/>
      <c r="I21" s="3755"/>
      <c r="J21" s="3755"/>
      <c r="K21" s="2249"/>
      <c r="L21" s="1308" t="str">
        <f>IF(K21&gt;0,K21,IF(K22="m",Dat_GebDat_M,Dat_GebDat_F))</f>
        <v/>
      </c>
      <c r="M21" s="64"/>
      <c r="N21" s="3893"/>
      <c r="O21" s="3894"/>
      <c r="P21" s="3895"/>
      <c r="Q21" s="64"/>
      <c r="R21" s="2177" t="str">
        <f>"19. DRV-Rente zum Renteneintritt "&amp;TEXT(S8,"0,00")&amp;" aus "&amp;TEXT(S19,"#.##0 €")&amp;IF(S8&lt;DuD_RAltersgr1,", verminderter Zugangsfaktor:","")</f>
        <v>19. DRV-Rente zum Renteneintritt 0,00 aus , verminderter Zugangsfaktor:</v>
      </c>
      <c r="S21" s="2184">
        <f>IFERROR(IF(S20&gt;0,S20,S19)*VLOOKUP(S6,Umrechnungsfaktoren_BeitraginEP,2)*VLOOKUP(S6,aktRW,2)*(1-(DuD_RAltersgr1-S8)*12*0.003)*(1+RententrendDRV)^S12,0)</f>
        <v>0</v>
      </c>
      <c r="T21" s="2187">
        <f>IFERROR(IF(T20&gt;0,T20,T19)*VLOOKUP(T6,Umrechnungsfaktoren_BeitraginEP,2)*VLOOKUP(T6,aktRW,2)*(1-(DuD_RAltersgr1-T8)*12*0.003)*(1+RententrendDRV)^T12,0)</f>
        <v>0</v>
      </c>
      <c r="U21" s="2181"/>
      <c r="W21" s="71" t="s">
        <v>1167</v>
      </c>
      <c r="X21" s="71" t="s">
        <v>1168</v>
      </c>
      <c r="AB21" s="545"/>
      <c r="AC21" s="545" t="s">
        <v>265</v>
      </c>
      <c r="AD21" s="66"/>
    </row>
    <row r="22" spans="1:30" s="71" customFormat="1" ht="17.100000000000001" customHeight="1">
      <c r="A22" s="3781"/>
      <c r="B22" s="3794" t="str">
        <f>IFERROR("mit "&amp;TEXT(RententrendDRV,"#0,0%")&amp;" dynam. Rente i.H.v. "&amp;TEXT(E19,"0,00 €")&amp;" am: ","")</f>
        <v xml:space="preserve">mit 2,6% dynam. Rente i.H.v.  am: </v>
      </c>
      <c r="C22" s="3795"/>
      <c r="D22" s="1688"/>
      <c r="E22" s="1828" t="str">
        <f>IF(D22="","",IFERROR(-FV(RententrendDRV,YEARFRAC(EzE_P,D22,4),,E19),""))</f>
        <v/>
      </c>
      <c r="F22" s="20"/>
      <c r="G22" s="3754" t="s">
        <v>268</v>
      </c>
      <c r="H22" s="3755"/>
      <c r="I22" s="3755"/>
      <c r="J22" s="3755"/>
      <c r="K22" s="1502"/>
      <c r="L22" s="583"/>
      <c r="M22" s="64"/>
      <c r="N22" s="311" t="s">
        <v>980</v>
      </c>
      <c r="O22" s="582"/>
      <c r="P22" s="3896" t="str">
        <f>IF(O23="","",IF(AND(O22&gt;W22,O22&gt;X22),"keine Änderung erwartbar",TEXT(VLOOKUP(YEAR(O23),Regelaltersgrenze,2),"00")&amp;" Monate"))</f>
        <v/>
      </c>
      <c r="Q22" s="64"/>
      <c r="R22" s="2177" t="s">
        <v>1985</v>
      </c>
      <c r="S22" s="2182">
        <f>IFERROR(-PV(X13-RententrendDRV,S13,S21*12),0)</f>
        <v>0</v>
      </c>
      <c r="T22" s="2188">
        <f>IFERROR(-PV(Y13-RententrendDRV,T13,T21*12),0)</f>
        <v>0</v>
      </c>
      <c r="U22" s="2181"/>
      <c r="W22" s="792">
        <v>39856</v>
      </c>
      <c r="X22" s="792">
        <v>37622</v>
      </c>
      <c r="AB22" s="545" t="s">
        <v>277</v>
      </c>
      <c r="AC22" s="1782" t="e">
        <f>ROUND(YEARFRAC(L21,K24,0),2)</f>
        <v>#VALUE!</v>
      </c>
      <c r="AD22" s="1132">
        <f>YEARFRAC(D14,EzE_P,0)</f>
        <v>0</v>
      </c>
    </row>
    <row r="23" spans="1:30" s="71" customFormat="1" ht="17.100000000000001" customHeight="1">
      <c r="A23" s="3781"/>
      <c r="B23" s="3785" t="s">
        <v>1799</v>
      </c>
      <c r="C23" s="3786"/>
      <c r="D23" s="1801" t="str">
        <f>IF(O_BilMoG,"10","7")</f>
        <v>10</v>
      </c>
      <c r="E23" s="1789" t="e">
        <f>AD32</f>
        <v>#N/A</v>
      </c>
      <c r="F23" s="20"/>
      <c r="G23" s="3754" t="s">
        <v>269</v>
      </c>
      <c r="H23" s="3755"/>
      <c r="I23" s="3755"/>
      <c r="J23" s="3755"/>
      <c r="K23" s="1503"/>
      <c r="L23" s="208" t="s">
        <v>7</v>
      </c>
      <c r="M23" s="64"/>
      <c r="N23" s="311" t="s">
        <v>596</v>
      </c>
      <c r="O23" s="582"/>
      <c r="P23" s="3897"/>
      <c r="Q23" s="64"/>
      <c r="R23" s="1961" t="str">
        <f>"21. KoKa DRV zum "&amp;TEXT(S6,"TT.MM.JJJJ")</f>
        <v>21. KoKa DRV zum 00.01.1900</v>
      </c>
      <c r="S23" s="1962" t="str">
        <f>IFERROR(ROUND(S7/VLOOKUP(S6,aktRW,2),4)*VLOOKUP(S6,UmrechnungEP_Kap,2),"")</f>
        <v/>
      </c>
      <c r="T23" s="493" t="str">
        <f>IFERROR(ROUND(T7/VLOOKUP(T6,aktRW,2),4)*VLOOKUP(T6,UmrechnungEP_Kap,2),"")</f>
        <v/>
      </c>
      <c r="U23" s="64"/>
      <c r="AB23" s="545" t="s">
        <v>278</v>
      </c>
      <c r="AC23" s="1782" t="e">
        <f>VLOOKUP(AC22,IF(K22="M",Lebenserwartung_M_V2,Lebenserwartung_F_V2),YEAR(L21)-1900+2)</f>
        <v>#VALUE!</v>
      </c>
      <c r="AD23" s="66"/>
    </row>
    <row r="24" spans="1:30" s="71" customFormat="1" ht="17.100000000000001" customHeight="1" thickBot="1">
      <c r="A24" s="3782"/>
      <c r="B24" s="3787" t="s">
        <v>1800</v>
      </c>
      <c r="C24" s="3788"/>
      <c r="D24" s="1791"/>
      <c r="E24" s="1790" t="str">
        <f>IFERROR(AD33,"")</f>
        <v/>
      </c>
      <c r="F24" s="20"/>
      <c r="G24" s="3754" t="s">
        <v>270</v>
      </c>
      <c r="H24" s="3755"/>
      <c r="I24" s="3755"/>
      <c r="J24" s="3755"/>
      <c r="K24" s="1502"/>
      <c r="L24" s="209" t="str">
        <f>IFERROR(AC22,"")</f>
        <v/>
      </c>
      <c r="M24" s="64"/>
      <c r="N24" s="3768" t="s">
        <v>976</v>
      </c>
      <c r="O24" s="3769"/>
      <c r="P24" s="324"/>
      <c r="Q24" s="64"/>
      <c r="R24" s="3867" t="str">
        <f>"22. "&amp;Summenzeichen&amp;" Rentenzahlung in DRV "</f>
        <v xml:space="preserve">22. ∑ Rentenzahlung in DRV </v>
      </c>
      <c r="S24" s="3869">
        <f>-PV(-RententrendDRV,S13,S21*12)</f>
        <v>0</v>
      </c>
      <c r="T24" s="3871">
        <f>-PV(-RententrendDRV,T13,T21*12)</f>
        <v>0</v>
      </c>
      <c r="U24" s="2180"/>
      <c r="AB24" s="545" t="s">
        <v>279</v>
      </c>
      <c r="AC24" s="1782" t="e">
        <f>VLOOKUP(YEAR(L21),Renteneintrittstabelle,3)</f>
        <v>#VALUE!</v>
      </c>
      <c r="AD24" s="66">
        <f>ROUND(VLOOKUP(YEAR(D14),Renteneintrittstabelle,3),2)</f>
        <v>65</v>
      </c>
    </row>
    <row r="25" spans="1:30" s="71" customFormat="1" ht="17.100000000000001" customHeight="1" thickBot="1">
      <c r="A25" s="577"/>
      <c r="B25" s="577"/>
      <c r="C25" s="85"/>
      <c r="D25" s="85"/>
      <c r="E25" s="85"/>
      <c r="F25" s="64"/>
      <c r="G25" s="3754" t="s">
        <v>271</v>
      </c>
      <c r="H25" s="3755"/>
      <c r="I25" s="3755"/>
      <c r="J25" s="3755"/>
      <c r="K25" s="1504"/>
      <c r="L25" s="208" t="s">
        <v>272</v>
      </c>
      <c r="M25" s="64"/>
      <c r="N25" s="3768" t="s">
        <v>974</v>
      </c>
      <c r="O25" s="3769"/>
      <c r="P25" s="948">
        <f>IF(O23="",0,DATE(YEAR(O23)+IF(P24&gt;0,P24,65),MONTH(O23)+1,1))</f>
        <v>0</v>
      </c>
      <c r="Q25" s="64"/>
      <c r="R25" s="3868"/>
      <c r="S25" s="3870"/>
      <c r="T25" s="3872"/>
      <c r="U25" s="2181"/>
      <c r="AB25" s="545" t="s">
        <v>280</v>
      </c>
      <c r="AC25" s="1779" t="e">
        <f>VLOOKUP(IF(AC24&lt;AC22,AC22,AC24),IF(K22="M",Lebenserwartung_M_V2,Lebenserwartung_F_V2),YEAR(L21)-1900+2)</f>
        <v>#VALUE!</v>
      </c>
      <c r="AD25" s="66">
        <f>ROUND(VLOOKUP(IF(AD24&gt;AD22,AD24,AD22),Lebenserwartung_N_V2,YEAR(D14)+IF(MONTH(D14)&gt;6,1,0)-1900+2),2)</f>
        <v>0</v>
      </c>
    </row>
    <row r="26" spans="1:30" s="71" customFormat="1" ht="17.100000000000001" customHeight="1" thickTop="1" thickBot="1">
      <c r="A26" s="577"/>
      <c r="B26" s="3743" t="str">
        <f>IF(ForderungRente=1,"Barwert einer zukünftigen Forderung","befristete Rente inkl. Vorversterbensrisiko")&amp;", ReZins: "&amp;TEXT(E34,"0,00%")</f>
        <v xml:space="preserve">Barwert einer zukünftigen Forderung, ReZins: </v>
      </c>
      <c r="C26" s="3744"/>
      <c r="D26" s="3744"/>
      <c r="E26" s="3745"/>
      <c r="F26" s="64"/>
      <c r="G26" s="3754" t="s">
        <v>273</v>
      </c>
      <c r="H26" s="3755"/>
      <c r="I26" s="3755"/>
      <c r="J26" s="3755"/>
      <c r="K26" s="584" t="str">
        <f>IFERROR(-PMT(K25/12,AC23*12,K23),"")</f>
        <v/>
      </c>
      <c r="L26" s="210" t="str">
        <f>IFERROR(IF(L21=0,"",+AC23),"")</f>
        <v/>
      </c>
      <c r="M26" s="64"/>
      <c r="N26" s="3768" t="s">
        <v>975</v>
      </c>
      <c r="O26" s="3769"/>
      <c r="P26" s="948">
        <f>IF(O23="",0,DATE(YEAR(O23)++IF(P24&gt;0,P24,65),MONTH(O23)+1+VLOOKUP(YEAR(O23),Regelaltersgrenze,2),1))</f>
        <v>0</v>
      </c>
      <c r="Q26" s="64"/>
      <c r="R26" s="1824"/>
      <c r="S26" s="1824"/>
      <c r="T26" s="1824"/>
      <c r="U26" s="64"/>
      <c r="W26" s="154">
        <f>-PV(4%,10,6000)</f>
        <v>48665.37467613021</v>
      </c>
      <c r="AB26" s="545" t="s">
        <v>259</v>
      </c>
      <c r="AC26" s="1779" t="e">
        <f>+AC24-AC22</f>
        <v>#VALUE!</v>
      </c>
      <c r="AD26" s="66">
        <f>IF(AD24&gt;AD22,AD24-AD22,0)</f>
        <v>65</v>
      </c>
    </row>
    <row r="27" spans="1:30" s="71" customFormat="1" ht="17.100000000000001" customHeight="1" thickBot="1">
      <c r="A27" s="577"/>
      <c r="B27" s="3746"/>
      <c r="C27" s="3747"/>
      <c r="D27" s="3747"/>
      <c r="E27" s="3748"/>
      <c r="F27" s="64"/>
      <c r="G27" s="3754" t="s">
        <v>274</v>
      </c>
      <c r="H27" s="3755"/>
      <c r="I27" s="3755"/>
      <c r="J27" s="3755"/>
      <c r="K27" s="584" t="str">
        <f>IFERROR(-PMT(K25/12,AC25*12,IF(AC26&gt;0,-FV(K25,AC26,,K23),K23)),"")</f>
        <v/>
      </c>
      <c r="L27" s="210" t="str">
        <f>IFERROR(IF(L21=0,"",AC25),"")</f>
        <v/>
      </c>
      <c r="M27" s="64"/>
      <c r="N27" s="3863" t="s">
        <v>977</v>
      </c>
      <c r="O27" s="3864"/>
      <c r="P27" s="324"/>
      <c r="Q27" s="64"/>
      <c r="R27" s="3735" t="s">
        <v>1920</v>
      </c>
      <c r="S27" s="3736"/>
      <c r="T27" s="3737"/>
      <c r="U27" s="64"/>
      <c r="AB27" s="545" t="s">
        <v>282</v>
      </c>
      <c r="AC27" s="1780"/>
      <c r="AD27" s="619" t="e">
        <f>ROUND(VLOOKUP(AD22,CHOOSE(68-AD24,HRIR67,HRIR66,HRIR,HRIR64,HRIR63,HRIR62,HRIR61,HRIR60),25),4)</f>
        <v>#N/A</v>
      </c>
    </row>
    <row r="28" spans="1:30" s="71" customFormat="1" ht="17.100000000000001" customHeight="1" thickBot="1">
      <c r="A28" s="577"/>
      <c r="B28" s="3753" t="s">
        <v>73</v>
      </c>
      <c r="C28" s="3591"/>
      <c r="D28" s="927"/>
      <c r="E28" s="333"/>
      <c r="F28" s="64"/>
      <c r="G28" s="3754" t="s">
        <v>275</v>
      </c>
      <c r="H28" s="3755"/>
      <c r="I28" s="3755"/>
      <c r="J28" s="3755"/>
      <c r="K28" s="585"/>
      <c r="L28" s="208" t="s">
        <v>276</v>
      </c>
      <c r="M28" s="64"/>
      <c r="N28" s="3768" t="s">
        <v>979</v>
      </c>
      <c r="O28" s="3769"/>
      <c r="P28" s="324"/>
      <c r="Q28" s="64"/>
      <c r="R28" s="3738"/>
      <c r="S28" s="3739"/>
      <c r="T28" s="3740"/>
      <c r="U28" s="64"/>
      <c r="AB28" s="545" t="s">
        <v>281</v>
      </c>
      <c r="AC28" s="1780"/>
      <c r="AD28" s="619" t="e">
        <f>ROUND(VLOOKUP(AD22,CHOOSE(68-AD24,HRIR67,HRIR66,HRIR,HRIR64,HRIR63,HRIR62,HRIR61,HRIR60),26)*0.55,4)</f>
        <v>#N/A</v>
      </c>
    </row>
    <row r="29" spans="1:30" s="71" customFormat="1" ht="17.100000000000001" customHeight="1" thickBot="1">
      <c r="A29" s="577"/>
      <c r="B29" s="3753" t="s">
        <v>99</v>
      </c>
      <c r="C29" s="3591"/>
      <c r="D29" s="927"/>
      <c r="E29" s="333"/>
      <c r="F29" s="64"/>
      <c r="G29" s="3754" t="str">
        <f>"Monatsergebnis bei Verrentung über "&amp;TEXT(K28,"0,0")&amp;" Jahre"</f>
        <v>Monatsergebnis bei Verrentung über 0,0 Jahre</v>
      </c>
      <c r="H29" s="3755"/>
      <c r="I29" s="3755"/>
      <c r="J29" s="3755"/>
      <c r="K29" s="584" t="str">
        <f>IFERROR(-PMT(K25/12,K28*12,K23),"")</f>
        <v/>
      </c>
      <c r="L29" s="586"/>
      <c r="M29" s="64"/>
      <c r="N29" s="3768" t="s">
        <v>978</v>
      </c>
      <c r="O29" s="3769"/>
      <c r="P29" s="226" t="str">
        <f>IFERROR(IF(O29&gt;0,O29,+P28/P27),"")</f>
        <v/>
      </c>
      <c r="Q29" s="64"/>
      <c r="R29" s="732" t="s">
        <v>1949</v>
      </c>
      <c r="S29" s="1721"/>
      <c r="T29" s="3484" t="s">
        <v>1923</v>
      </c>
      <c r="U29" s="64"/>
      <c r="AB29" s="545" t="s">
        <v>1801</v>
      </c>
      <c r="AC29" s="1780"/>
      <c r="AD29" s="66">
        <f>VLOOKUP(ROUND(AD24,0),G_Kohorte_N,YEAR(D14)+IF(MONTH(D14)&gt;6,1,0)-1900+2)</f>
        <v>0</v>
      </c>
    </row>
    <row r="30" spans="1:30" s="71" customFormat="1" ht="17.100000000000001" customHeight="1" thickBot="1">
      <c r="A30" s="577"/>
      <c r="B30" s="3753" t="s">
        <v>1644</v>
      </c>
      <c r="C30" s="3591"/>
      <c r="D30" s="865"/>
      <c r="E30" s="1008" t="s">
        <v>74</v>
      </c>
      <c r="F30" s="64"/>
      <c r="G30" s="3758" t="s">
        <v>138</v>
      </c>
      <c r="H30" s="3759"/>
      <c r="I30" s="3759"/>
      <c r="J30" s="3759"/>
      <c r="K30" s="3759"/>
      <c r="L30" s="3760"/>
      <c r="M30" s="64"/>
      <c r="N30" s="1013" t="str">
        <f>IFERROR("+ "&amp;TEXT(VLOOKUP(YEAR(O23),Regelaltersgrenze,2)/12,"0,00")&amp;IF(O30&lt;&gt;0,IF(O30&gt;0," + "," ")&amp;TEXT(O30,"0,00")&amp;" Dienstjahre?"," Dienstjahre?"),"")</f>
        <v>+ 0,00 Dienstjahre?</v>
      </c>
      <c r="O30" s="881"/>
      <c r="P30" s="223">
        <f>+P27+VLOOKUP(YEAR(O23),Regelaltersgrenze,2)/12+O30</f>
        <v>0</v>
      </c>
      <c r="Q30" s="64"/>
      <c r="R30" s="732" t="s">
        <v>1950</v>
      </c>
      <c r="S30" s="366"/>
      <c r="T30" s="3486"/>
      <c r="U30" s="64"/>
      <c r="AB30" s="545" t="s">
        <v>1719</v>
      </c>
      <c r="AC30" s="1780"/>
      <c r="AD30" s="66">
        <f>VLOOKUP(ROUND(AD22,0),G_Kohorte_N,YEAR(D14)+IF(MONTH(D14)&gt;6,1,0)-1900+2)</f>
        <v>0</v>
      </c>
    </row>
    <row r="31" spans="1:30" s="71" customFormat="1" ht="17.100000000000001" customHeight="1" thickBot="1">
      <c r="A31" s="577"/>
      <c r="B31" s="1455" t="s">
        <v>71</v>
      </c>
      <c r="C31" s="1456"/>
      <c r="D31" s="927"/>
      <c r="E31" s="1009">
        <f>IF(D30="",1,VLOOKUP(YEARFRAC(D28,D31,0),IF(D30="m",G_Kohorte_M,IF(D30="w",G_Kohorte_F,G_Kohorte_N)),YEAR(D28)-1900+2))</f>
        <v>1</v>
      </c>
      <c r="F31" s="64"/>
      <c r="G31" s="3761" t="s">
        <v>1522</v>
      </c>
      <c r="H31" s="3762"/>
      <c r="I31" s="3762"/>
      <c r="J31" s="3762"/>
      <c r="K31" s="3762"/>
      <c r="L31" s="3763"/>
      <c r="M31" s="64"/>
      <c r="N31" s="362" t="s">
        <v>1170</v>
      </c>
      <c r="O31" s="1151"/>
      <c r="P31" s="742"/>
      <c r="Q31" s="64"/>
      <c r="R31" s="732" t="s">
        <v>1922</v>
      </c>
      <c r="S31" s="432"/>
      <c r="T31" s="226">
        <f>ROUND(IFERROR(IF(S31&gt;0,S31,RATE(S30,-S29,T32)),0),4)</f>
        <v>0</v>
      </c>
      <c r="U31" s="64"/>
      <c r="W31" s="71" t="s">
        <v>1169</v>
      </c>
      <c r="X31" s="16" t="b">
        <f>IF(O22&gt;=X22,TRUE,FALSE)</f>
        <v>0</v>
      </c>
      <c r="AB31" s="545" t="s">
        <v>1367</v>
      </c>
      <c r="AC31" s="1780"/>
      <c r="AD31" s="66" t="e">
        <f>ROUND(IF(AD29/AD30&gt;1,1,AD29/AD30),3)</f>
        <v>#DIV/0!</v>
      </c>
    </row>
    <row r="32" spans="1:30" s="71" customFormat="1" ht="17.100000000000001" customHeight="1" thickBot="1">
      <c r="A32" s="577"/>
      <c r="B32" s="1455" t="s">
        <v>72</v>
      </c>
      <c r="C32" s="1456"/>
      <c r="D32" s="927"/>
      <c r="E32" s="1009">
        <f>IF(D30="",1,VLOOKUP(YEARFRAC(D28,D32,0),IF(D30="m",G_Kohorte_M,IF(D30="f",G_Kohorte_F,G_Kohorte_N)),YEAR(D28)-1900+2))</f>
        <v>1</v>
      </c>
      <c r="F32" s="64"/>
      <c r="G32" s="3764"/>
      <c r="H32" s="3765"/>
      <c r="I32" s="3765"/>
      <c r="J32" s="3765"/>
      <c r="K32" s="3765"/>
      <c r="L32" s="3766"/>
      <c r="M32" s="64"/>
      <c r="N32" s="732" t="s">
        <v>1055</v>
      </c>
      <c r="O32" s="225">
        <f>IF(O31&gt;0,O31,IF(Alt_Neu,IF(P27*0.7175/40&gt;71.75%,71.75%,P27*0.7175/40),IF(P27*0.75/40&gt;75%,75%,P27*0.75/40)))</f>
        <v>0</v>
      </c>
      <c r="P32" s="226">
        <f>IF(P31&gt;0,P31,IF(P30*0.7175/40&gt;0.7175,0.7175,P30*0.7175/40))</f>
        <v>0</v>
      </c>
      <c r="Q32" s="64"/>
      <c r="R32" s="732" t="s">
        <v>1921</v>
      </c>
      <c r="S32" s="2000"/>
      <c r="T32" s="1069">
        <f>IF(S32&gt;0,S32,-PV(S31,S30,S29))</f>
        <v>0</v>
      </c>
      <c r="U32" s="64"/>
      <c r="AB32" s="71" t="s">
        <v>619</v>
      </c>
      <c r="AC32" s="1781"/>
      <c r="AD32" s="560" t="e">
        <f>IF(D24&gt;0,D24,VLOOKUP(EzE_P,IF(O_BilMoG,BilmoGZins,BilMoG10),16)/100)</f>
        <v>#N/A</v>
      </c>
    </row>
    <row r="33" spans="1:33" s="71" customFormat="1" ht="17.100000000000001" customHeight="1" thickBot="1">
      <c r="A33" s="577"/>
      <c r="B33" s="3753" t="s">
        <v>211</v>
      </c>
      <c r="C33" s="3591"/>
      <c r="D33" s="1059"/>
      <c r="E33" s="1010" t="str">
        <f>IFERROR(IF(ForderungRente=2,-PV(E34,YEARFRAC(D31,D32,0),D33),""),"")</f>
        <v/>
      </c>
      <c r="F33" s="64"/>
      <c r="G33" s="3756" t="s">
        <v>130</v>
      </c>
      <c r="H33" s="3757"/>
      <c r="I33" s="3757"/>
      <c r="J33" s="3757"/>
      <c r="K33" s="587"/>
      <c r="L33" s="588" t="s">
        <v>548</v>
      </c>
      <c r="M33" s="64"/>
      <c r="N33" s="3447" t="str">
        <f>"Ehezeitanteil (neu): "&amp;TEXT(P28,"0,00")&amp;" / "&amp;TEXT(P30,"0,00")</f>
        <v>Ehezeitanteil (neu): 0,00 / 0,00</v>
      </c>
      <c r="O33" s="3448"/>
      <c r="P33" s="226">
        <f>IFERROR(ROUND(P28/P30,4),0)</f>
        <v>0</v>
      </c>
      <c r="Q33" s="64"/>
      <c r="R33" s="3770" t="str">
        <f>IF(AND(S32&gt;0,S31&gt;0),"Achtung! Es kann nur ein Feld in Zeile 3 oder 4 eingegeben werden!","")</f>
        <v/>
      </c>
      <c r="S33" s="3771"/>
      <c r="T33" s="3772"/>
      <c r="U33" s="64"/>
      <c r="AB33" s="545" t="s">
        <v>1508</v>
      </c>
      <c r="AC33" s="545"/>
      <c r="AD33" s="1684" t="e">
        <f>ROUND(-PV(AD32-RententrendDRV,AD26,,-PV(AD32-RententrendDRV,AD25,E19*12)),0)*(1+AD28+AD27)*AD31</f>
        <v>#N/A</v>
      </c>
      <c r="AG33" s="154" t="e">
        <f>-PV(AD32-RententrendDRV,AD25,E19*12)</f>
        <v>#N/A</v>
      </c>
    </row>
    <row r="34" spans="1:33" s="71" customFormat="1" ht="17.100000000000001" customHeight="1" thickBot="1">
      <c r="A34" s="577"/>
      <c r="B34" s="3447" t="s">
        <v>1208</v>
      </c>
      <c r="C34" s="3448"/>
      <c r="D34" s="866"/>
      <c r="E34" s="1011" t="str">
        <f>IF(OR(D31=0,D32=0),"",IFERROR(IF(D34&gt;0,D34,VLOOKUP(D29,IF(BilMoG_10,BilMoG10,BilmoGZins),YEARFRAC(D31,D32,0)+1)/100),""))</f>
        <v/>
      </c>
      <c r="F34" s="64"/>
      <c r="G34" s="2800" t="s">
        <v>1521</v>
      </c>
      <c r="H34" s="2801"/>
      <c r="I34" s="2801"/>
      <c r="J34" s="2801"/>
      <c r="K34" s="589"/>
      <c r="L34" s="1028" t="str">
        <f>IFERROR(VLOOKUP(K34,BilmoGZins,16)/100,"Kein Zins")</f>
        <v>Kein Zins</v>
      </c>
      <c r="M34" s="64"/>
      <c r="N34" s="692" t="s">
        <v>1056</v>
      </c>
      <c r="O34" s="1156"/>
      <c r="P34" s="983" t="str">
        <f>IFERROR(O34*P32/O32*P33/P29,"")</f>
        <v/>
      </c>
      <c r="Q34" s="64"/>
      <c r="R34" s="3735" t="s">
        <v>1943</v>
      </c>
      <c r="S34" s="3736"/>
      <c r="T34" s="3737"/>
      <c r="U34" s="64"/>
      <c r="W34" s="71" t="s">
        <v>1042</v>
      </c>
      <c r="X34" s="16" t="b">
        <v>0</v>
      </c>
      <c r="AD34" s="71" t="s">
        <v>100</v>
      </c>
      <c r="AE34" s="16">
        <v>1</v>
      </c>
    </row>
    <row r="35" spans="1:33" s="71" customFormat="1" ht="17.100000000000001" customHeight="1">
      <c r="A35" s="577"/>
      <c r="B35" s="2969" t="str">
        <f>"Vorversterbensfaktor: "&amp;IF(VVR,TEXT(E32,"#.###")&amp;" / "&amp;TEXT(E31,"#.###")&amp;": ","")</f>
        <v xml:space="preserve">Vorversterbensfaktor: 1 / 1: </v>
      </c>
      <c r="C35" s="3749"/>
      <c r="D35" s="1458">
        <f>IF(VVR,+E32/E31,1)</f>
        <v>1</v>
      </c>
      <c r="E35" s="1012"/>
      <c r="F35" s="64"/>
      <c r="G35" s="2800" t="s">
        <v>1520</v>
      </c>
      <c r="H35" s="2801"/>
      <c r="I35" s="2801"/>
      <c r="J35" s="2801"/>
      <c r="K35" s="589"/>
      <c r="L35" s="1028" t="str">
        <f>IFERROR(VLOOKUP(K35,BilmoGZins,16)/100,"")</f>
        <v/>
      </c>
      <c r="M35" s="873"/>
      <c r="N35" s="690" t="s">
        <v>511</v>
      </c>
      <c r="O35" s="961">
        <f>IFERROR(O34/2,"")</f>
        <v>0</v>
      </c>
      <c r="P35" s="983" t="str">
        <f>IFERROR(P34/2,"")</f>
        <v/>
      </c>
      <c r="Q35" s="64"/>
      <c r="R35" s="3738"/>
      <c r="S35" s="3739"/>
      <c r="T35" s="3740"/>
      <c r="U35" s="64"/>
    </row>
    <row r="36" spans="1:33" s="71" customFormat="1" ht="17.100000000000001" customHeight="1">
      <c r="A36" s="577"/>
      <c r="B36" s="3447" t="str">
        <f>"Forderungsabschlag: "&amp;TEXT(D33,"#.###.##0,00")&amp;" x (1 - "&amp;TEXT(E32,"#.##0")&amp;" / "&amp;TEXT(E31,"#.##0")&amp;")"</f>
        <v>Forderungsabschlag: 0,00 x (1 - 1 / 1)</v>
      </c>
      <c r="C36" s="3767"/>
      <c r="D36" s="3448"/>
      <c r="E36" s="224">
        <f>IFERROR(-(1-D35)*IF(ForderungRente=2,E33,D33),"")</f>
        <v>0</v>
      </c>
      <c r="F36" s="64"/>
      <c r="G36" s="2800" t="s">
        <v>131</v>
      </c>
      <c r="H36" s="2801"/>
      <c r="I36" s="2801"/>
      <c r="J36" s="2801"/>
      <c r="K36" s="590"/>
      <c r="L36" s="1029" t="s">
        <v>133</v>
      </c>
      <c r="M36" s="64"/>
      <c r="N36" s="3848" t="str">
        <f>IF(P36&lt;5%,"Abweichungssoll 5% "&amp;IF(ABS(P36)&gt;=0.05,"über","unter")&amp;"schritten","relative Abweichung:")</f>
        <v>Abweichungssoll 5% unterschritten</v>
      </c>
      <c r="O36" s="3849"/>
      <c r="P36" s="984">
        <f>IFERROR(1-+O35/P35,0)</f>
        <v>0</v>
      </c>
      <c r="Q36" s="64"/>
      <c r="R36" s="732"/>
      <c r="S36" s="1066" t="s">
        <v>1944</v>
      </c>
      <c r="T36" s="333" t="s">
        <v>1945</v>
      </c>
      <c r="U36" s="64"/>
      <c r="W36" s="71">
        <f>ROUND(YEARFRAC(D31,D32,0),0)</f>
        <v>0</v>
      </c>
      <c r="AD36" s="71" t="s">
        <v>207</v>
      </c>
      <c r="AE36" s="16" t="b">
        <v>1</v>
      </c>
    </row>
    <row r="37" spans="1:33" s="71" customFormat="1" ht="17.100000000000001" customHeight="1">
      <c r="A37" s="577"/>
      <c r="B37" s="3750"/>
      <c r="C37" s="3751"/>
      <c r="D37" s="3752"/>
      <c r="E37" s="224"/>
      <c r="F37" s="64"/>
      <c r="G37" s="3860" t="str">
        <f>"Ergebnis der Aufzinsung mit Zinssatz "&amp;TEXT(IF(K36=0,L34,K36),"0,00%")&amp;": "&amp;TEXT(K33,"###.##0,00")&amp;" x (1 + "&amp;TEXT(IF(K36="",L34,K36),"0,00%")&amp;")^"&amp;IF(K34&gt;K35,"-","")&amp;TEXT(YEARFRAC(K34,K35,0),"#0,00")&amp;" ="</f>
        <v>Ergebnis der Aufzinsung mit Zinssatz Kein Zins: 0,00 x (1 + Kein Zins)^0,00 =</v>
      </c>
      <c r="H37" s="3861"/>
      <c r="I37" s="3861"/>
      <c r="J37" s="3861"/>
      <c r="K37" s="3862" t="str">
        <f>IFERROR(-FV(IF(K36&gt;0,K36,L34),YEARFRAC(K34,K35,3),,K33,1),"")</f>
        <v/>
      </c>
      <c r="L37" s="3850" t="str">
        <f>IFERROR(IF(K36&gt;0,K36,L34)*K33*IF(K34&gt;K35,-1,1)*YEARFRAC(K34,K35,0)+K33,"")</f>
        <v/>
      </c>
      <c r="M37" s="64"/>
      <c r="N37" s="1264"/>
      <c r="O37" s="1265"/>
      <c r="P37" s="984"/>
      <c r="Q37" s="64"/>
      <c r="R37" s="2077" t="s">
        <v>1946</v>
      </c>
      <c r="S37" s="2078"/>
      <c r="T37" s="2080"/>
      <c r="U37" s="64"/>
      <c r="AD37" s="71" t="s">
        <v>132</v>
      </c>
    </row>
    <row r="38" spans="1:33" s="71" customFormat="1" ht="17.100000000000001" customHeight="1">
      <c r="A38" s="577"/>
      <c r="B38" s="3741" t="str">
        <f>IFERROR("tatsächlicher "&amp;IF(ForderungRente=2,"Bar","Forderungs")&amp;"wert: "&amp;TEXT(IF(ForderungRente=1,D33,E33),"###.##0,00")&amp;" - "&amp;TEXT(ABS(E36),"###.##0,00"),"")</f>
        <v>tatsächlicher Forderungswert: 0,00 - 0,00</v>
      </c>
      <c r="C38" s="3742"/>
      <c r="D38" s="3742"/>
      <c r="E38" s="1457">
        <f>IFERROR(+IF(ForderungRente=1,D33,E33)+E36,"")</f>
        <v>0</v>
      </c>
      <c r="F38" s="64"/>
      <c r="G38" s="3860"/>
      <c r="H38" s="3861"/>
      <c r="I38" s="3861"/>
      <c r="J38" s="3861"/>
      <c r="K38" s="3862"/>
      <c r="L38" s="3850"/>
      <c r="M38" s="64"/>
      <c r="N38" s="3447" t="str">
        <f>"Wesentlichkeitsgr. § 225 III FamFG:"</f>
        <v>Wesentlichkeitsgr. § 225 III FamFG:</v>
      </c>
      <c r="O38" s="3448"/>
      <c r="P38" s="224">
        <f>IFERROR(VLOOKUP(YEAR(O22),MonatlicheBezugsgroesse,2)/100,0)</f>
        <v>0</v>
      </c>
      <c r="Q38" s="64"/>
      <c r="R38" s="2077" t="s">
        <v>1214</v>
      </c>
      <c r="S38" s="2079"/>
      <c r="T38" s="2081"/>
      <c r="U38" s="64"/>
      <c r="W38" s="16"/>
      <c r="X38" s="16"/>
      <c r="Y38" s="16"/>
      <c r="Z38" s="16"/>
      <c r="AA38" s="16"/>
      <c r="AB38" s="16"/>
      <c r="AC38" s="16"/>
    </row>
    <row r="39" spans="1:33" s="71" customFormat="1" ht="17.100000000000001" customHeight="1" thickBot="1">
      <c r="A39" s="577"/>
      <c r="B39" s="3854" t="str">
        <f>IF(ForderungRente=2,"","mit "&amp;TEXT(E34,"#0,00%")&amp;" abgezinst auf den "&amp;TEXT(D31,"TT.MM.JJJJ")&amp;": "&amp;TEXT(E38,"#.##0,00")&amp;" / (1 + "&amp;TEXT(E34,"0,00%")&amp;")^"&amp;TEXT(-YEARFRAC(D31,D32,0),"0,0"))</f>
        <v>mit  abgezinst auf den 00.01.1900: 0,00 / (1 + )^0,0</v>
      </c>
      <c r="C39" s="3855"/>
      <c r="D39" s="3855"/>
      <c r="E39" s="3858" t="str">
        <f>IFERROR(IF(DiesuDas_AboderAuf=1,-PV(E34,YEARFRAC(D31,D32,0),,E38),-FV(E34,YEARFRAC(D31,D32,0),,D33)),"")</f>
        <v/>
      </c>
      <c r="F39" s="64"/>
      <c r="G39" s="3851"/>
      <c r="H39" s="3852"/>
      <c r="I39" s="3852"/>
      <c r="J39" s="3852"/>
      <c r="K39" s="3852"/>
      <c r="L39" s="3853"/>
      <c r="M39" s="64"/>
      <c r="N39" s="3502" t="str">
        <f>IFERROR("Wesentlichkeitsgrenze "&amp;IF(ABS(P39)&lt;P38,"unterschritten","erreicht"),"")</f>
        <v/>
      </c>
      <c r="O39" s="3503"/>
      <c r="P39" s="224" t="str">
        <f>IFERROR(+P35-O35,"")</f>
        <v/>
      </c>
      <c r="Q39" s="64"/>
      <c r="R39" s="2077" t="s">
        <v>1947</v>
      </c>
      <c r="S39" s="3733" t="str">
        <f>IFERROR(ROUND(_xlfn.RRI(YEARFRAC(S37,T37,3),S38,T38),4),"")</f>
        <v/>
      </c>
      <c r="T39" s="3734"/>
      <c r="U39" s="64"/>
      <c r="W39" s="71" t="s">
        <v>1705</v>
      </c>
      <c r="X39" s="16">
        <v>1</v>
      </c>
    </row>
    <row r="40" spans="1:33" s="71" customFormat="1" ht="17.100000000000001" customHeight="1" thickBot="1">
      <c r="A40" s="577"/>
      <c r="B40" s="3856"/>
      <c r="C40" s="3857"/>
      <c r="D40" s="3857"/>
      <c r="E40" s="3859"/>
      <c r="F40" s="64"/>
      <c r="G40" s="2946" t="s">
        <v>138</v>
      </c>
      <c r="H40" s="2946"/>
      <c r="I40" s="2946"/>
      <c r="J40" s="2946"/>
      <c r="K40" s="2946"/>
      <c r="L40" s="2946"/>
      <c r="M40" s="64"/>
      <c r="N40" s="3845" t="str">
        <f>IFERROR(IF(SUM(P27:P28,O23)=0,"",IF(AND(ABS(P36)&gt;=5%,ABS(P39)&gt;=P38),"Abänderung voraussichtlich möglich","Abänderung voraussichtlich nicht möglich")),"")</f>
        <v/>
      </c>
      <c r="O40" s="3846"/>
      <c r="P40" s="3847"/>
      <c r="Q40" s="64"/>
      <c r="R40" s="2082" t="s">
        <v>1948</v>
      </c>
      <c r="S40" s="3771" t="str">
        <f>"("&amp;TEXT(T38,"0,00")&amp;"/"&amp;TEXT(S38,"0,00")&amp;")^(1/"&amp;TEXT(YEARFRAC(S37,T37,3),"0,00")&amp;") -1)"</f>
        <v>(0,00/0,00)^(1/0,00) -1)</v>
      </c>
      <c r="T40" s="3772"/>
      <c r="U40" s="64"/>
    </row>
    <row r="41" spans="1:33" s="71" customFormat="1" ht="17.100000000000001" customHeight="1" thickBot="1">
      <c r="A41" s="577"/>
      <c r="B41" s="3843" t="s">
        <v>1645</v>
      </c>
      <c r="C41" s="3844"/>
      <c r="D41" s="3844"/>
      <c r="E41" s="1508" t="str">
        <f>IFERROR(VLOOKUP(YEARFRAC(D31,D32,3),Abzinsungstabelle§12BewG,2)*D33,"")</f>
        <v/>
      </c>
      <c r="F41" s="855"/>
      <c r="G41" s="855"/>
      <c r="H41" s="855"/>
      <c r="I41" s="855"/>
      <c r="J41" s="855"/>
      <c r="K41" s="855"/>
      <c r="L41" s="855"/>
      <c r="M41" s="855"/>
      <c r="N41" s="1152"/>
      <c r="O41" s="1152"/>
      <c r="P41" s="578"/>
      <c r="Q41" s="64"/>
      <c r="R41" s="1824"/>
      <c r="S41" s="1824"/>
      <c r="T41" s="1824"/>
      <c r="U41" s="64"/>
    </row>
    <row r="42" spans="1:33" s="71" customFormat="1" hidden="1">
      <c r="B42" s="884"/>
      <c r="C42" s="128"/>
      <c r="D42" s="128"/>
      <c r="E42" s="128"/>
      <c r="N42" s="884"/>
      <c r="P42" s="885"/>
      <c r="R42" s="64"/>
      <c r="S42" s="64"/>
      <c r="T42" s="64"/>
      <c r="U42" s="64"/>
    </row>
    <row r="43" spans="1:33" s="71" customFormat="1" hidden="1">
      <c r="B43" s="884"/>
      <c r="C43" s="128"/>
      <c r="D43" s="128"/>
      <c r="E43" s="128"/>
      <c r="N43" s="884"/>
      <c r="P43" s="885"/>
      <c r="R43" s="64"/>
      <c r="S43" s="64"/>
      <c r="T43" s="64"/>
      <c r="U43" s="64"/>
    </row>
    <row r="44" spans="1:33" s="71" customFormat="1" hidden="1">
      <c r="B44" s="884"/>
      <c r="C44" s="128"/>
      <c r="D44" s="128"/>
      <c r="E44" s="128"/>
      <c r="N44" s="884"/>
      <c r="P44" s="885"/>
      <c r="R44" s="64"/>
      <c r="S44" s="64"/>
      <c r="T44" s="64"/>
      <c r="U44" s="64"/>
    </row>
    <row r="45" spans="1:33" s="71" customFormat="1" hidden="1">
      <c r="B45" s="884"/>
      <c r="C45" s="128"/>
      <c r="D45" s="128"/>
      <c r="E45" s="128"/>
      <c r="N45" s="884"/>
      <c r="P45" s="885"/>
      <c r="R45" s="64"/>
      <c r="S45" s="64"/>
      <c r="T45" s="64"/>
      <c r="U45" s="64"/>
    </row>
    <row r="46" spans="1:33" s="71" customFormat="1" hidden="1">
      <c r="B46" s="884"/>
      <c r="C46" s="128"/>
      <c r="D46" s="128"/>
      <c r="E46" s="128"/>
      <c r="N46" s="884"/>
      <c r="P46" s="885"/>
      <c r="R46" s="64"/>
      <c r="S46" s="64"/>
      <c r="T46" s="64"/>
      <c r="U46" s="64"/>
    </row>
    <row r="47" spans="1:33" s="71" customFormat="1" hidden="1">
      <c r="B47" s="884"/>
      <c r="C47" s="128"/>
      <c r="D47" s="128"/>
      <c r="E47" s="128"/>
      <c r="N47" s="884"/>
      <c r="P47" s="885"/>
      <c r="R47" s="64"/>
      <c r="S47" s="64"/>
      <c r="T47" s="64"/>
      <c r="U47" s="64"/>
    </row>
    <row r="48" spans="1:33" s="71" customFormat="1" hidden="1">
      <c r="B48" s="884"/>
      <c r="C48" s="128"/>
      <c r="D48" s="128"/>
      <c r="E48" s="128"/>
      <c r="N48" s="884"/>
      <c r="P48" s="885"/>
      <c r="R48" s="64"/>
      <c r="S48" s="64"/>
      <c r="T48" s="64"/>
      <c r="U48" s="64"/>
    </row>
    <row r="49" spans="1:21" s="71" customFormat="1" hidden="1">
      <c r="B49" s="884"/>
      <c r="C49" s="128"/>
      <c r="D49" s="128"/>
      <c r="E49" s="128"/>
      <c r="N49" s="884"/>
      <c r="P49" s="885"/>
      <c r="R49" s="64"/>
      <c r="S49" s="64"/>
      <c r="T49" s="64"/>
      <c r="U49" s="64"/>
    </row>
    <row r="50" spans="1:21" s="71" customFormat="1" hidden="1">
      <c r="B50" s="884"/>
      <c r="C50" s="128"/>
      <c r="D50" s="128"/>
      <c r="E50" s="128"/>
      <c r="N50" s="884"/>
      <c r="P50" s="885"/>
      <c r="R50" s="64"/>
      <c r="S50" s="64"/>
      <c r="T50" s="64"/>
      <c r="U50" s="64"/>
    </row>
    <row r="51" spans="1:21" s="71" customFormat="1" hidden="1">
      <c r="A51" s="64"/>
      <c r="B51" s="884"/>
      <c r="C51" s="128"/>
      <c r="D51" s="128"/>
      <c r="E51" s="128"/>
      <c r="N51" s="884"/>
      <c r="P51" s="885"/>
      <c r="R51" s="64"/>
      <c r="S51" s="64"/>
      <c r="T51" s="64"/>
      <c r="U51" s="64"/>
    </row>
    <row r="52" spans="1:21" s="71" customFormat="1" hidden="1">
      <c r="A52" s="64"/>
      <c r="B52" s="884"/>
      <c r="C52" s="128"/>
      <c r="D52" s="128"/>
      <c r="E52" s="128"/>
      <c r="N52" s="884"/>
      <c r="P52" s="885"/>
      <c r="R52" s="64"/>
      <c r="S52" s="64"/>
      <c r="T52" s="64"/>
      <c r="U52" s="64"/>
    </row>
    <row r="53" spans="1:21" s="71" customFormat="1" hidden="1">
      <c r="A53" s="64"/>
      <c r="B53" s="884"/>
      <c r="C53" s="128"/>
      <c r="D53" s="128"/>
      <c r="E53" s="128"/>
      <c r="N53" s="884"/>
      <c r="P53" s="885"/>
      <c r="R53" s="64"/>
      <c r="S53" s="64"/>
      <c r="T53" s="64"/>
      <c r="U53" s="64"/>
    </row>
    <row r="54" spans="1:21" s="71" customFormat="1" hidden="1">
      <c r="A54" s="64"/>
      <c r="B54" s="884"/>
      <c r="C54" s="128"/>
      <c r="D54" s="128"/>
      <c r="E54" s="128"/>
      <c r="N54" s="884"/>
      <c r="P54" s="885"/>
      <c r="R54" s="64"/>
      <c r="S54" s="64"/>
      <c r="T54" s="64"/>
      <c r="U54" s="64"/>
    </row>
    <row r="55" spans="1:21" s="71" customFormat="1" hidden="1">
      <c r="A55" s="64"/>
      <c r="B55" s="884"/>
      <c r="C55" s="128"/>
      <c r="D55" s="128"/>
      <c r="E55" s="128"/>
      <c r="N55" s="884"/>
      <c r="P55" s="885"/>
      <c r="R55" s="64"/>
      <c r="S55" s="64"/>
      <c r="T55" s="64"/>
      <c r="U55" s="64"/>
    </row>
    <row r="56" spans="1:21" s="71" customFormat="1" hidden="1">
      <c r="A56" s="64"/>
      <c r="B56" s="884"/>
      <c r="C56" s="128"/>
      <c r="D56" s="128"/>
      <c r="E56" s="128"/>
      <c r="N56" s="884"/>
      <c r="P56" s="885"/>
      <c r="R56" s="64"/>
      <c r="S56" s="64"/>
      <c r="T56" s="64"/>
      <c r="U56" s="64"/>
    </row>
    <row r="57" spans="1:21" s="71" customFormat="1" hidden="1">
      <c r="A57" s="64"/>
      <c r="B57" s="884"/>
      <c r="C57" s="128"/>
      <c r="D57" s="128"/>
      <c r="E57" s="128"/>
      <c r="N57" s="884"/>
      <c r="P57" s="885"/>
      <c r="R57" s="64"/>
      <c r="S57" s="64"/>
      <c r="T57" s="64"/>
      <c r="U57" s="64"/>
    </row>
    <row r="58" spans="1:21" s="71" customFormat="1" hidden="1">
      <c r="A58" s="64"/>
      <c r="B58" s="884"/>
      <c r="C58" s="128"/>
      <c r="D58" s="128"/>
      <c r="E58" s="128"/>
      <c r="N58" s="884"/>
      <c r="P58" s="885"/>
      <c r="R58" s="64"/>
      <c r="S58" s="64"/>
      <c r="T58" s="64"/>
      <c r="U58" s="64"/>
    </row>
    <row r="59" spans="1:21" s="71" customFormat="1" hidden="1">
      <c r="A59" s="64"/>
      <c r="B59" s="884"/>
      <c r="C59" s="128"/>
      <c r="D59" s="128"/>
      <c r="E59" s="128"/>
      <c r="N59" s="884"/>
      <c r="P59" s="885"/>
      <c r="R59" s="64"/>
      <c r="S59" s="64"/>
      <c r="T59" s="64"/>
      <c r="U59" s="64"/>
    </row>
    <row r="60" spans="1:21" s="71" customFormat="1" hidden="1">
      <c r="A60" s="64"/>
      <c r="B60" s="884"/>
      <c r="C60" s="128"/>
      <c r="D60" s="128"/>
      <c r="E60" s="128"/>
      <c r="N60" s="884"/>
      <c r="P60" s="885"/>
      <c r="R60" s="64"/>
      <c r="S60" s="64"/>
      <c r="T60" s="64"/>
      <c r="U60" s="64"/>
    </row>
    <row r="61" spans="1:21" s="71" customFormat="1" hidden="1">
      <c r="A61" s="64"/>
      <c r="B61" s="884"/>
      <c r="C61" s="128"/>
      <c r="D61" s="128"/>
      <c r="E61" s="128"/>
      <c r="N61" s="884"/>
      <c r="P61" s="885"/>
      <c r="R61" s="64"/>
      <c r="S61" s="64"/>
      <c r="T61" s="64"/>
      <c r="U61" s="64"/>
    </row>
    <row r="62" spans="1:21" s="71" customFormat="1" hidden="1">
      <c r="A62" s="64"/>
      <c r="B62" s="884"/>
      <c r="C62" s="128"/>
      <c r="D62" s="128"/>
      <c r="E62" s="128"/>
      <c r="N62" s="884"/>
      <c r="P62" s="885"/>
      <c r="R62" s="64"/>
      <c r="S62" s="64"/>
      <c r="T62" s="64"/>
      <c r="U62" s="64"/>
    </row>
    <row r="63" spans="1:21" s="71" customFormat="1" hidden="1">
      <c r="A63" s="64"/>
      <c r="B63" s="884"/>
      <c r="C63" s="128"/>
      <c r="D63" s="128"/>
      <c r="E63" s="128"/>
      <c r="N63" s="884"/>
      <c r="P63" s="885"/>
      <c r="R63" s="64"/>
      <c r="S63" s="64"/>
      <c r="T63" s="64"/>
      <c r="U63" s="64"/>
    </row>
    <row r="64" spans="1:21" s="71" customFormat="1" hidden="1">
      <c r="A64" s="64"/>
      <c r="B64" s="884"/>
      <c r="C64" s="128"/>
      <c r="D64" s="128"/>
      <c r="E64" s="128"/>
      <c r="N64" s="884"/>
      <c r="P64" s="885"/>
      <c r="R64" s="64"/>
      <c r="S64" s="64"/>
      <c r="T64" s="64"/>
      <c r="U64" s="64"/>
    </row>
    <row r="65" spans="1:21" s="71" customFormat="1" hidden="1">
      <c r="A65" s="64"/>
      <c r="B65" s="884"/>
      <c r="C65" s="128"/>
      <c r="D65" s="128"/>
      <c r="E65" s="128"/>
      <c r="N65" s="884"/>
      <c r="P65" s="885"/>
      <c r="R65" s="64"/>
      <c r="S65" s="64"/>
      <c r="T65" s="64"/>
      <c r="U65" s="64"/>
    </row>
    <row r="66" spans="1:21" s="71" customFormat="1" hidden="1">
      <c r="A66" s="64"/>
      <c r="B66" s="884"/>
      <c r="C66" s="128"/>
      <c r="D66" s="128"/>
      <c r="E66" s="128"/>
      <c r="N66" s="884"/>
      <c r="P66" s="885"/>
      <c r="R66" s="64"/>
      <c r="S66" s="64"/>
      <c r="T66" s="64"/>
      <c r="U66" s="64"/>
    </row>
    <row r="67" spans="1:21" s="71" customFormat="1" hidden="1">
      <c r="A67" s="64"/>
      <c r="B67" s="884"/>
      <c r="C67" s="128"/>
      <c r="D67" s="128"/>
      <c r="E67" s="128"/>
      <c r="N67" s="884"/>
      <c r="P67" s="885"/>
      <c r="R67" s="64"/>
      <c r="S67" s="64"/>
      <c r="T67" s="64"/>
      <c r="U67" s="64"/>
    </row>
    <row r="68" spans="1:21" s="71" customFormat="1" hidden="1">
      <c r="A68" s="64"/>
      <c r="B68" s="884"/>
      <c r="C68" s="128"/>
      <c r="D68" s="128"/>
      <c r="E68" s="128"/>
      <c r="N68" s="884"/>
      <c r="P68" s="885"/>
      <c r="R68" s="64"/>
      <c r="S68" s="64"/>
      <c r="T68" s="64"/>
      <c r="U68" s="64"/>
    </row>
    <row r="69" spans="1:21" s="71" customFormat="1" hidden="1">
      <c r="A69" s="64"/>
      <c r="B69" s="884"/>
      <c r="C69" s="128"/>
      <c r="D69" s="128"/>
      <c r="E69" s="128"/>
      <c r="N69" s="884"/>
      <c r="P69" s="885"/>
      <c r="R69" s="64"/>
      <c r="S69" s="64"/>
      <c r="T69" s="64"/>
      <c r="U69" s="64"/>
    </row>
    <row r="70" spans="1:21" s="71" customFormat="1" hidden="1">
      <c r="A70" s="64"/>
      <c r="B70" s="884"/>
      <c r="C70" s="128"/>
      <c r="D70" s="128"/>
      <c r="E70" s="128"/>
      <c r="N70" s="884"/>
      <c r="P70" s="885"/>
      <c r="R70" s="64"/>
      <c r="S70" s="64"/>
      <c r="T70" s="64"/>
      <c r="U70" s="64"/>
    </row>
    <row r="71" spans="1:21" s="71" customFormat="1" hidden="1">
      <c r="A71" s="64"/>
      <c r="B71" s="884"/>
      <c r="C71" s="128"/>
      <c r="D71" s="128"/>
      <c r="E71" s="128"/>
      <c r="N71" s="884"/>
      <c r="P71" s="885"/>
      <c r="R71" s="64"/>
      <c r="S71" s="64"/>
      <c r="T71" s="64"/>
      <c r="U71" s="64"/>
    </row>
    <row r="72" spans="1:21" s="71" customFormat="1" hidden="1">
      <c r="A72" s="64"/>
      <c r="B72" s="884"/>
      <c r="C72" s="128"/>
      <c r="D72" s="128"/>
      <c r="E72" s="128"/>
      <c r="N72" s="884"/>
      <c r="P72" s="885"/>
      <c r="R72" s="64"/>
      <c r="S72" s="64"/>
      <c r="T72" s="64"/>
      <c r="U72" s="64"/>
    </row>
    <row r="73" spans="1:21" s="71" customFormat="1" hidden="1">
      <c r="A73" s="64"/>
      <c r="B73" s="884"/>
      <c r="C73" s="128"/>
      <c r="D73" s="128"/>
      <c r="E73" s="128"/>
      <c r="N73" s="884"/>
      <c r="P73" s="885"/>
      <c r="R73" s="64"/>
      <c r="S73" s="64"/>
      <c r="T73" s="64"/>
      <c r="U73" s="64"/>
    </row>
    <row r="74" spans="1:21" s="71" customFormat="1" hidden="1">
      <c r="A74" s="64"/>
      <c r="B74" s="884"/>
      <c r="C74" s="128"/>
      <c r="D74" s="128"/>
      <c r="E74" s="128"/>
      <c r="N74" s="884"/>
      <c r="P74" s="885"/>
      <c r="R74" s="64"/>
      <c r="S74" s="64"/>
      <c r="T74" s="64"/>
      <c r="U74" s="64"/>
    </row>
    <row r="75" spans="1:21" s="71" customFormat="1" hidden="1">
      <c r="A75" s="64"/>
      <c r="B75" s="884"/>
      <c r="C75" s="128"/>
      <c r="D75" s="128"/>
      <c r="E75" s="128"/>
      <c r="N75" s="884"/>
      <c r="P75" s="885"/>
      <c r="R75" s="64"/>
      <c r="S75" s="64"/>
      <c r="T75" s="64"/>
      <c r="U75" s="64"/>
    </row>
    <row r="76" spans="1:21" s="71" customFormat="1" hidden="1">
      <c r="A76" s="64"/>
      <c r="B76" s="884"/>
      <c r="C76" s="128"/>
      <c r="D76" s="128"/>
      <c r="E76" s="128"/>
      <c r="N76" s="884"/>
      <c r="P76" s="885"/>
      <c r="R76" s="64"/>
      <c r="S76" s="64"/>
      <c r="T76" s="64"/>
      <c r="U76" s="64"/>
    </row>
    <row r="77" spans="1:21" s="71" customFormat="1" hidden="1">
      <c r="A77" s="64"/>
      <c r="B77" s="884"/>
      <c r="C77" s="128"/>
      <c r="D77" s="128"/>
      <c r="E77" s="128"/>
      <c r="N77" s="884"/>
      <c r="P77" s="885"/>
      <c r="R77" s="64"/>
      <c r="S77" s="64"/>
      <c r="T77" s="64"/>
      <c r="U77" s="64"/>
    </row>
    <row r="78" spans="1:21" s="71" customFormat="1" hidden="1">
      <c r="A78" s="64"/>
      <c r="B78" s="884"/>
      <c r="C78" s="128"/>
      <c r="D78" s="128"/>
      <c r="E78" s="128"/>
      <c r="N78" s="884"/>
      <c r="P78" s="885"/>
      <c r="R78" s="64"/>
      <c r="S78" s="64"/>
      <c r="T78" s="64"/>
      <c r="U78" s="64"/>
    </row>
    <row r="79" spans="1:21" s="71" customFormat="1" hidden="1">
      <c r="A79" s="64"/>
      <c r="B79" s="884"/>
      <c r="C79" s="128"/>
      <c r="D79" s="128"/>
      <c r="E79" s="128"/>
      <c r="N79" s="884"/>
      <c r="P79" s="885"/>
      <c r="R79" s="64"/>
      <c r="S79" s="64"/>
      <c r="T79" s="64"/>
      <c r="U79" s="64"/>
    </row>
    <row r="80" spans="1:21" s="71" customFormat="1" hidden="1">
      <c r="A80" s="64"/>
      <c r="B80" s="884"/>
      <c r="C80" s="128"/>
      <c r="D80" s="128"/>
      <c r="E80" s="128"/>
      <c r="N80" s="884"/>
      <c r="P80" s="885"/>
      <c r="R80" s="64"/>
      <c r="S80" s="64"/>
      <c r="T80" s="64"/>
      <c r="U80" s="64"/>
    </row>
    <row r="81" spans="1:21" s="71" customFormat="1" hidden="1">
      <c r="A81" s="64"/>
      <c r="B81" s="884"/>
      <c r="C81" s="128"/>
      <c r="D81" s="128"/>
      <c r="E81" s="128"/>
      <c r="N81" s="884"/>
      <c r="P81" s="885"/>
      <c r="R81" s="64"/>
      <c r="S81" s="64"/>
      <c r="T81" s="64"/>
      <c r="U81" s="64"/>
    </row>
    <row r="82" spans="1:21" s="71" customFormat="1" hidden="1">
      <c r="A82" s="64"/>
      <c r="B82" s="884"/>
      <c r="C82" s="128"/>
      <c r="D82" s="128"/>
      <c r="E82" s="128"/>
      <c r="N82" s="884"/>
      <c r="P82" s="885"/>
      <c r="R82" s="64"/>
      <c r="S82" s="64"/>
      <c r="T82" s="64"/>
      <c r="U82" s="64"/>
    </row>
    <row r="83" spans="1:21" s="71" customFormat="1" hidden="1">
      <c r="A83" s="64"/>
      <c r="B83" s="884"/>
      <c r="C83" s="128"/>
      <c r="D83" s="128"/>
      <c r="E83" s="128"/>
      <c r="N83" s="884"/>
      <c r="P83" s="885"/>
      <c r="R83" s="64"/>
      <c r="S83" s="64"/>
      <c r="T83" s="64"/>
      <c r="U83" s="64"/>
    </row>
    <row r="84" spans="1:21" s="71" customFormat="1" hidden="1">
      <c r="A84" s="64"/>
      <c r="B84" s="884"/>
      <c r="C84" s="128"/>
      <c r="D84" s="128"/>
      <c r="E84" s="128"/>
      <c r="N84" s="884"/>
      <c r="P84" s="885"/>
      <c r="R84" s="64"/>
      <c r="S84" s="64"/>
      <c r="T84" s="64"/>
      <c r="U84" s="64"/>
    </row>
    <row r="85" spans="1:21" s="71" customFormat="1" hidden="1">
      <c r="A85" s="64"/>
      <c r="B85" s="884"/>
      <c r="C85" s="128"/>
      <c r="D85" s="128"/>
      <c r="E85" s="128"/>
      <c r="N85" s="884"/>
      <c r="P85" s="885"/>
      <c r="R85" s="64"/>
      <c r="S85" s="64"/>
      <c r="T85" s="64"/>
      <c r="U85" s="64"/>
    </row>
    <row r="86" spans="1:21" s="71" customFormat="1" hidden="1">
      <c r="A86" s="64"/>
      <c r="B86" s="884"/>
      <c r="C86" s="128"/>
      <c r="D86" s="128"/>
      <c r="E86" s="128"/>
      <c r="N86" s="884"/>
      <c r="P86" s="885"/>
      <c r="R86" s="64"/>
      <c r="S86" s="64"/>
      <c r="T86" s="64"/>
      <c r="U86" s="64"/>
    </row>
    <row r="87" spans="1:21" s="71" customFormat="1" hidden="1">
      <c r="A87" s="64"/>
      <c r="B87" s="884"/>
      <c r="C87" s="128"/>
      <c r="D87" s="128"/>
      <c r="E87" s="128"/>
      <c r="N87" s="884"/>
      <c r="P87" s="885"/>
      <c r="R87" s="64"/>
      <c r="S87" s="64"/>
      <c r="T87" s="64"/>
      <c r="U87" s="64"/>
    </row>
    <row r="88" spans="1:21" s="71" customFormat="1" hidden="1">
      <c r="A88" s="64"/>
      <c r="B88" s="884"/>
      <c r="C88" s="128"/>
      <c r="D88" s="128"/>
      <c r="E88" s="128"/>
      <c r="N88" s="884"/>
      <c r="P88" s="885"/>
      <c r="R88" s="64"/>
      <c r="S88" s="64"/>
      <c r="T88" s="64"/>
      <c r="U88" s="64"/>
    </row>
    <row r="89" spans="1:21" s="71" customFormat="1" hidden="1">
      <c r="A89" s="64"/>
      <c r="B89" s="884"/>
      <c r="C89" s="128"/>
      <c r="D89" s="128"/>
      <c r="E89" s="128"/>
      <c r="N89" s="884"/>
      <c r="P89" s="885"/>
      <c r="R89" s="64"/>
      <c r="S89" s="64"/>
      <c r="T89" s="64"/>
      <c r="U89" s="64"/>
    </row>
    <row r="90" spans="1:21" s="71" customFormat="1" hidden="1">
      <c r="A90" s="64"/>
      <c r="B90" s="884"/>
      <c r="C90" s="128"/>
      <c r="D90" s="128"/>
      <c r="E90" s="128"/>
      <c r="N90" s="884"/>
      <c r="P90" s="885"/>
      <c r="R90" s="64"/>
      <c r="S90" s="64"/>
      <c r="T90" s="64"/>
      <c r="U90" s="64"/>
    </row>
    <row r="91" spans="1:21" s="71" customFormat="1" hidden="1">
      <c r="A91" s="64"/>
      <c r="B91" s="884"/>
      <c r="C91" s="128"/>
      <c r="D91" s="128"/>
      <c r="E91" s="128"/>
      <c r="N91" s="884"/>
      <c r="P91" s="885"/>
      <c r="R91" s="64"/>
      <c r="S91" s="64"/>
      <c r="T91" s="64"/>
      <c r="U91" s="64"/>
    </row>
    <row r="92" spans="1:21" s="71" customFormat="1" hidden="1">
      <c r="A92" s="64"/>
      <c r="B92" s="884"/>
      <c r="C92" s="128"/>
      <c r="D92" s="128"/>
      <c r="E92" s="128"/>
      <c r="N92" s="884"/>
      <c r="P92" s="885"/>
      <c r="R92" s="64"/>
      <c r="S92" s="64"/>
      <c r="T92" s="64"/>
      <c r="U92" s="64"/>
    </row>
    <row r="93" spans="1:21" s="71" customFormat="1" hidden="1">
      <c r="A93" s="64"/>
      <c r="B93" s="884"/>
      <c r="C93" s="128"/>
      <c r="D93" s="128"/>
      <c r="E93" s="128"/>
      <c r="N93" s="884"/>
      <c r="P93" s="885"/>
      <c r="R93" s="64"/>
      <c r="S93" s="64"/>
      <c r="T93" s="64"/>
      <c r="U93" s="64"/>
    </row>
    <row r="94" spans="1:21" s="71" customFormat="1" hidden="1">
      <c r="A94" s="64"/>
      <c r="B94" s="884"/>
      <c r="C94" s="128"/>
      <c r="D94" s="128"/>
      <c r="E94" s="128"/>
      <c r="N94" s="884"/>
      <c r="P94" s="885"/>
      <c r="R94" s="64"/>
      <c r="S94" s="64"/>
      <c r="T94" s="64"/>
      <c r="U94" s="64"/>
    </row>
    <row r="95" spans="1:21" s="71" customFormat="1" hidden="1">
      <c r="A95" s="64"/>
      <c r="B95" s="884"/>
      <c r="C95" s="128"/>
      <c r="D95" s="128"/>
      <c r="E95" s="128"/>
      <c r="N95" s="884"/>
      <c r="P95" s="885"/>
      <c r="R95" s="64"/>
      <c r="S95" s="64"/>
      <c r="T95" s="64"/>
      <c r="U95" s="64"/>
    </row>
    <row r="96" spans="1:21" s="71" customFormat="1" hidden="1">
      <c r="A96" s="64"/>
      <c r="B96" s="884"/>
      <c r="C96" s="128"/>
      <c r="D96" s="128"/>
      <c r="E96" s="128"/>
      <c r="N96" s="884"/>
      <c r="P96" s="885"/>
      <c r="R96" s="64"/>
      <c r="S96" s="64"/>
      <c r="T96" s="64"/>
      <c r="U96" s="64"/>
    </row>
    <row r="97" spans="1:21" s="71" customFormat="1" hidden="1">
      <c r="A97" s="64"/>
      <c r="B97" s="884"/>
      <c r="C97" s="128"/>
      <c r="D97" s="128"/>
      <c r="E97" s="128"/>
      <c r="N97" s="884"/>
      <c r="P97" s="885"/>
      <c r="R97" s="64"/>
      <c r="S97" s="64"/>
      <c r="T97" s="64"/>
      <c r="U97" s="64"/>
    </row>
    <row r="98" spans="1:21" s="71" customFormat="1" hidden="1">
      <c r="A98" s="64"/>
      <c r="B98" s="884"/>
      <c r="C98" s="128"/>
      <c r="D98" s="128"/>
      <c r="E98" s="128"/>
      <c r="N98" s="884"/>
      <c r="P98" s="885"/>
      <c r="R98" s="64"/>
      <c r="S98" s="64"/>
      <c r="T98" s="64"/>
      <c r="U98" s="64"/>
    </row>
    <row r="99" spans="1:21" s="71" customFormat="1" hidden="1">
      <c r="A99" s="64"/>
      <c r="B99" s="884"/>
      <c r="C99" s="128"/>
      <c r="D99" s="128"/>
      <c r="E99" s="128"/>
      <c r="N99" s="884"/>
      <c r="P99" s="885"/>
      <c r="R99" s="64"/>
      <c r="S99" s="64"/>
      <c r="T99" s="64"/>
      <c r="U99" s="64"/>
    </row>
    <row r="100" spans="1:21" s="71" customFormat="1" hidden="1">
      <c r="A100" s="64"/>
      <c r="B100" s="884"/>
      <c r="C100" s="128"/>
      <c r="D100" s="128"/>
      <c r="E100" s="128"/>
      <c r="N100" s="884"/>
      <c r="P100" s="885"/>
      <c r="R100" s="64"/>
      <c r="S100" s="64"/>
      <c r="T100" s="64"/>
      <c r="U100" s="64"/>
    </row>
    <row r="101" spans="1:21" s="71" customFormat="1" hidden="1">
      <c r="A101" s="64"/>
      <c r="B101" s="884"/>
      <c r="C101" s="128"/>
      <c r="D101" s="128"/>
      <c r="E101" s="128"/>
      <c r="N101" s="884"/>
      <c r="P101" s="885"/>
      <c r="R101" s="64"/>
      <c r="S101" s="64"/>
      <c r="T101" s="64"/>
      <c r="U101" s="64"/>
    </row>
    <row r="102" spans="1:21" s="71" customFormat="1" hidden="1">
      <c r="A102" s="64"/>
      <c r="B102" s="884"/>
      <c r="C102" s="128"/>
      <c r="D102" s="128"/>
      <c r="E102" s="128"/>
      <c r="N102" s="884"/>
      <c r="P102" s="885"/>
      <c r="R102" s="64"/>
      <c r="S102" s="64"/>
      <c r="T102" s="64"/>
      <c r="U102" s="64"/>
    </row>
    <row r="103" spans="1:21" s="71" customFormat="1" hidden="1">
      <c r="A103" s="64"/>
      <c r="B103" s="884"/>
      <c r="C103" s="128"/>
      <c r="D103" s="128"/>
      <c r="E103" s="128"/>
      <c r="N103" s="884"/>
      <c r="P103" s="885"/>
      <c r="R103" s="64"/>
      <c r="S103" s="64"/>
      <c r="T103" s="64"/>
      <c r="U103" s="64"/>
    </row>
    <row r="104" spans="1:21" s="71" customFormat="1" hidden="1">
      <c r="A104" s="64"/>
      <c r="B104" s="884"/>
      <c r="C104" s="128"/>
      <c r="D104" s="128"/>
      <c r="E104" s="128"/>
      <c r="N104" s="884"/>
      <c r="P104" s="885"/>
      <c r="R104" s="64"/>
      <c r="S104" s="64"/>
      <c r="T104" s="64"/>
      <c r="U104" s="64"/>
    </row>
    <row r="105" spans="1:21" s="71" customFormat="1" hidden="1">
      <c r="A105" s="64"/>
      <c r="B105" s="884"/>
      <c r="C105" s="128"/>
      <c r="D105" s="128"/>
      <c r="E105" s="128"/>
      <c r="N105" s="884"/>
      <c r="P105" s="885"/>
      <c r="R105" s="64"/>
      <c r="S105" s="64"/>
      <c r="T105" s="64"/>
      <c r="U105" s="64"/>
    </row>
    <row r="106" spans="1:21" s="71" customFormat="1" hidden="1">
      <c r="A106" s="64"/>
      <c r="B106" s="884"/>
      <c r="C106" s="128"/>
      <c r="D106" s="128"/>
      <c r="E106" s="128"/>
      <c r="N106" s="884"/>
      <c r="P106" s="885"/>
      <c r="R106" s="64"/>
      <c r="S106" s="64"/>
      <c r="T106" s="64"/>
      <c r="U106" s="64"/>
    </row>
    <row r="107" spans="1:21" s="71" customFormat="1" hidden="1">
      <c r="A107" s="64"/>
      <c r="B107" s="884"/>
      <c r="C107" s="128"/>
      <c r="D107" s="128"/>
      <c r="E107" s="128"/>
      <c r="N107" s="884"/>
      <c r="P107" s="885"/>
      <c r="R107" s="64"/>
      <c r="S107" s="64"/>
      <c r="T107" s="64"/>
      <c r="U107" s="64"/>
    </row>
    <row r="108" spans="1:21" s="71" customFormat="1" hidden="1">
      <c r="A108" s="64"/>
      <c r="B108" s="884"/>
      <c r="C108" s="128"/>
      <c r="D108" s="128"/>
      <c r="E108" s="128"/>
      <c r="N108" s="884"/>
      <c r="P108" s="885"/>
      <c r="R108" s="64"/>
      <c r="S108" s="64"/>
      <c r="T108" s="64"/>
      <c r="U108" s="64"/>
    </row>
    <row r="109" spans="1:21" s="71" customFormat="1" hidden="1">
      <c r="A109" s="64"/>
      <c r="B109" s="884"/>
      <c r="C109" s="128"/>
      <c r="D109" s="128"/>
      <c r="E109" s="128"/>
      <c r="N109" s="884"/>
      <c r="P109" s="885"/>
      <c r="R109" s="64"/>
      <c r="S109" s="64"/>
      <c r="T109" s="64"/>
      <c r="U109" s="64"/>
    </row>
    <row r="110" spans="1:21" s="71" customFormat="1" hidden="1">
      <c r="A110" s="64"/>
      <c r="B110" s="884"/>
      <c r="C110" s="128"/>
      <c r="D110" s="128"/>
      <c r="E110" s="128"/>
      <c r="N110" s="884"/>
      <c r="P110" s="885"/>
      <c r="R110" s="64"/>
      <c r="S110" s="64"/>
      <c r="T110" s="64"/>
      <c r="U110" s="64"/>
    </row>
    <row r="111" spans="1:21" s="71" customFormat="1" hidden="1">
      <c r="A111" s="64"/>
      <c r="B111" s="884"/>
      <c r="C111" s="128"/>
      <c r="D111" s="128"/>
      <c r="E111" s="128"/>
      <c r="N111" s="884"/>
      <c r="P111" s="885"/>
      <c r="R111" s="64"/>
      <c r="S111" s="64"/>
      <c r="T111" s="64"/>
      <c r="U111" s="64"/>
    </row>
    <row r="112" spans="1:21" s="71" customFormat="1" hidden="1">
      <c r="A112" s="64"/>
      <c r="B112" s="884"/>
      <c r="C112" s="128"/>
      <c r="D112" s="128"/>
      <c r="E112" s="128"/>
      <c r="N112" s="884"/>
      <c r="P112" s="885"/>
      <c r="R112" s="64"/>
      <c r="S112" s="64"/>
      <c r="T112" s="64"/>
      <c r="U112" s="64"/>
    </row>
    <row r="113" spans="1:21" s="71" customFormat="1" hidden="1">
      <c r="A113" s="64"/>
      <c r="B113" s="884"/>
      <c r="C113" s="128"/>
      <c r="D113" s="128"/>
      <c r="E113" s="128"/>
      <c r="N113" s="884"/>
      <c r="P113" s="885"/>
      <c r="R113" s="64"/>
      <c r="S113" s="64"/>
      <c r="T113" s="64"/>
      <c r="U113" s="64"/>
    </row>
    <row r="114" spans="1:21" s="71" customFormat="1" hidden="1">
      <c r="A114" s="64"/>
      <c r="B114" s="884"/>
      <c r="C114" s="128"/>
      <c r="D114" s="128"/>
      <c r="E114" s="128"/>
      <c r="N114" s="884"/>
      <c r="P114" s="885"/>
      <c r="R114" s="64"/>
      <c r="S114" s="64"/>
      <c r="T114" s="64"/>
      <c r="U114" s="64"/>
    </row>
    <row r="115" spans="1:21" s="71" customFormat="1" hidden="1">
      <c r="A115" s="64"/>
      <c r="B115" s="884"/>
      <c r="C115" s="128"/>
      <c r="D115" s="128"/>
      <c r="E115" s="128"/>
      <c r="N115" s="884"/>
      <c r="P115" s="885"/>
      <c r="R115" s="64"/>
      <c r="S115" s="64"/>
      <c r="T115" s="64"/>
      <c r="U115" s="64"/>
    </row>
    <row r="116" spans="1:21" s="71" customFormat="1" hidden="1">
      <c r="A116" s="64"/>
      <c r="B116" s="884"/>
      <c r="C116" s="128"/>
      <c r="D116" s="128"/>
      <c r="E116" s="128"/>
      <c r="N116" s="884"/>
      <c r="P116" s="885"/>
      <c r="R116" s="64"/>
      <c r="S116" s="64"/>
      <c r="T116" s="64"/>
      <c r="U116" s="64"/>
    </row>
    <row r="117" spans="1:21" s="71" customFormat="1" hidden="1">
      <c r="A117" s="64"/>
      <c r="B117" s="884"/>
      <c r="C117" s="128"/>
      <c r="D117" s="128"/>
      <c r="E117" s="128"/>
      <c r="N117" s="884"/>
      <c r="P117" s="885"/>
      <c r="R117" s="64"/>
      <c r="S117" s="64"/>
      <c r="T117" s="64"/>
      <c r="U117" s="64"/>
    </row>
    <row r="118" spans="1:21" s="71" customFormat="1" hidden="1">
      <c r="A118" s="64"/>
      <c r="B118" s="884"/>
      <c r="C118" s="128"/>
      <c r="D118" s="128"/>
      <c r="E118" s="128"/>
      <c r="N118" s="884"/>
      <c r="P118" s="885"/>
      <c r="R118" s="64"/>
      <c r="S118" s="64"/>
      <c r="T118" s="64"/>
      <c r="U118" s="64"/>
    </row>
    <row r="119" spans="1:21" s="71" customFormat="1" hidden="1">
      <c r="A119" s="64"/>
      <c r="B119" s="884"/>
      <c r="C119" s="128"/>
      <c r="D119" s="128"/>
      <c r="E119" s="128"/>
      <c r="N119" s="884"/>
      <c r="P119" s="885"/>
      <c r="R119" s="64"/>
      <c r="S119" s="64"/>
      <c r="T119" s="64"/>
      <c r="U119" s="64"/>
    </row>
    <row r="120" spans="1:21" s="71" customFormat="1" hidden="1">
      <c r="A120" s="64"/>
      <c r="B120" s="884"/>
      <c r="C120" s="128"/>
      <c r="D120" s="128"/>
      <c r="E120" s="128"/>
      <c r="N120" s="884"/>
      <c r="P120" s="885"/>
      <c r="R120" s="64"/>
      <c r="S120" s="64"/>
      <c r="T120" s="64"/>
      <c r="U120" s="64"/>
    </row>
    <row r="121" spans="1:21" s="71" customFormat="1" hidden="1">
      <c r="A121" s="64"/>
      <c r="B121" s="884"/>
      <c r="C121" s="128"/>
      <c r="D121" s="128"/>
      <c r="E121" s="128"/>
      <c r="N121" s="884"/>
      <c r="P121" s="885"/>
      <c r="R121" s="64"/>
      <c r="S121" s="64"/>
      <c r="T121" s="64"/>
      <c r="U121" s="64"/>
    </row>
    <row r="122" spans="1:21" s="71" customFormat="1" hidden="1">
      <c r="A122" s="64"/>
      <c r="B122" s="884"/>
      <c r="C122" s="128"/>
      <c r="D122" s="128"/>
      <c r="E122" s="128"/>
      <c r="N122" s="884"/>
      <c r="P122" s="885"/>
      <c r="R122" s="64"/>
      <c r="S122" s="64"/>
      <c r="T122" s="64"/>
      <c r="U122" s="64"/>
    </row>
    <row r="123" spans="1:21" s="71" customFormat="1" hidden="1">
      <c r="A123" s="64"/>
      <c r="B123" s="884"/>
      <c r="C123" s="128"/>
      <c r="D123" s="128"/>
      <c r="E123" s="128"/>
      <c r="N123" s="884"/>
      <c r="P123" s="885"/>
      <c r="R123" s="64"/>
      <c r="S123" s="64"/>
      <c r="T123" s="64"/>
      <c r="U123" s="64"/>
    </row>
    <row r="124" spans="1:21" s="71" customFormat="1" hidden="1">
      <c r="A124" s="64"/>
      <c r="B124" s="884"/>
      <c r="C124" s="128"/>
      <c r="D124" s="128"/>
      <c r="E124" s="128"/>
      <c r="N124" s="884"/>
      <c r="P124" s="885"/>
      <c r="R124" s="64"/>
      <c r="S124" s="64"/>
      <c r="T124" s="64"/>
      <c r="U124" s="64"/>
    </row>
    <row r="125" spans="1:21" s="71" customFormat="1" hidden="1">
      <c r="A125" s="64"/>
      <c r="B125" s="884"/>
      <c r="C125" s="128"/>
      <c r="D125" s="128"/>
      <c r="E125" s="128"/>
      <c r="N125" s="884"/>
      <c r="P125" s="885"/>
      <c r="R125" s="64"/>
      <c r="S125" s="64"/>
      <c r="T125" s="64"/>
      <c r="U125" s="64"/>
    </row>
    <row r="126" spans="1:21" s="71" customFormat="1" hidden="1">
      <c r="A126" s="64"/>
      <c r="B126" s="884"/>
      <c r="C126" s="128"/>
      <c r="D126" s="128"/>
      <c r="E126" s="128"/>
      <c r="N126" s="884"/>
      <c r="P126" s="885"/>
      <c r="R126" s="64"/>
      <c r="S126" s="64"/>
      <c r="T126" s="64"/>
      <c r="U126" s="64"/>
    </row>
    <row r="127" spans="1:21" s="71" customFormat="1" hidden="1">
      <c r="A127" s="64"/>
      <c r="B127" s="884"/>
      <c r="C127" s="128"/>
      <c r="D127" s="128"/>
      <c r="E127" s="128"/>
      <c r="N127" s="884"/>
      <c r="P127" s="885"/>
      <c r="R127" s="64"/>
      <c r="S127" s="64"/>
      <c r="T127" s="64"/>
      <c r="U127" s="64"/>
    </row>
    <row r="128" spans="1:21" s="71" customFormat="1" hidden="1">
      <c r="A128" s="64"/>
      <c r="B128" s="884"/>
      <c r="C128" s="128"/>
      <c r="D128" s="128"/>
      <c r="E128" s="128"/>
      <c r="N128" s="884"/>
      <c r="P128" s="885"/>
      <c r="R128" s="64"/>
      <c r="S128" s="64"/>
      <c r="T128" s="64"/>
      <c r="U128" s="64"/>
    </row>
    <row r="129" spans="1:21" s="71" customFormat="1" hidden="1">
      <c r="A129" s="64"/>
      <c r="B129" s="884"/>
      <c r="C129" s="128"/>
      <c r="D129" s="128"/>
      <c r="E129" s="128"/>
      <c r="N129" s="884"/>
      <c r="P129" s="885"/>
      <c r="R129" s="64"/>
      <c r="S129" s="64"/>
      <c r="T129" s="64"/>
      <c r="U129" s="64"/>
    </row>
    <row r="130" spans="1:21" s="71" customFormat="1" hidden="1">
      <c r="A130" s="64"/>
      <c r="B130" s="884"/>
      <c r="C130" s="128"/>
      <c r="D130" s="128"/>
      <c r="E130" s="128"/>
      <c r="N130" s="884"/>
      <c r="P130" s="885"/>
      <c r="R130" s="64"/>
      <c r="S130" s="64"/>
      <c r="T130" s="64"/>
      <c r="U130" s="64"/>
    </row>
    <row r="131" spans="1:21" s="71" customFormat="1" hidden="1">
      <c r="A131" s="64"/>
      <c r="B131" s="884"/>
      <c r="C131" s="128"/>
      <c r="D131" s="128"/>
      <c r="E131" s="128"/>
      <c r="N131" s="884"/>
      <c r="P131" s="885"/>
      <c r="R131" s="64"/>
      <c r="S131" s="64"/>
      <c r="T131" s="64"/>
      <c r="U131" s="64"/>
    </row>
    <row r="132" spans="1:21" s="71" customFormat="1" hidden="1">
      <c r="A132" s="64"/>
      <c r="B132" s="884"/>
      <c r="C132" s="128"/>
      <c r="D132" s="128"/>
      <c r="E132" s="128"/>
      <c r="N132" s="884"/>
      <c r="P132" s="885"/>
      <c r="R132" s="64"/>
      <c r="S132" s="64"/>
      <c r="T132" s="64"/>
      <c r="U132" s="64"/>
    </row>
    <row r="133" spans="1:21" s="71" customFormat="1" hidden="1">
      <c r="A133" s="64"/>
      <c r="B133" s="884"/>
      <c r="C133" s="128"/>
      <c r="D133" s="128"/>
      <c r="E133" s="128"/>
      <c r="N133" s="884"/>
      <c r="P133" s="885"/>
      <c r="R133" s="64"/>
      <c r="S133" s="64"/>
      <c r="T133" s="64"/>
      <c r="U133" s="64"/>
    </row>
    <row r="134" spans="1:21" s="71" customFormat="1" hidden="1">
      <c r="A134" s="64"/>
      <c r="B134" s="884"/>
      <c r="C134" s="128"/>
      <c r="D134" s="128"/>
      <c r="E134" s="128"/>
      <c r="N134" s="884"/>
      <c r="P134" s="885"/>
      <c r="R134" s="64"/>
      <c r="S134" s="64"/>
      <c r="T134" s="64"/>
      <c r="U134" s="64"/>
    </row>
    <row r="135" spans="1:21" s="71" customFormat="1" hidden="1">
      <c r="A135" s="64"/>
      <c r="B135" s="884"/>
      <c r="C135" s="128"/>
      <c r="D135" s="128"/>
      <c r="E135" s="128"/>
      <c r="N135" s="884"/>
      <c r="P135" s="885"/>
      <c r="R135" s="64"/>
      <c r="S135" s="64"/>
      <c r="T135" s="64"/>
      <c r="U135" s="64"/>
    </row>
    <row r="136" spans="1:21" s="71" customFormat="1" hidden="1">
      <c r="A136" s="64"/>
      <c r="B136" s="884"/>
      <c r="C136" s="128"/>
      <c r="D136" s="128"/>
      <c r="E136" s="128"/>
      <c r="N136" s="884"/>
      <c r="P136" s="885"/>
      <c r="R136" s="64"/>
      <c r="S136" s="64"/>
      <c r="T136" s="64"/>
      <c r="U136" s="64"/>
    </row>
    <row r="137" spans="1:21" s="71" customFormat="1" hidden="1">
      <c r="A137" s="64"/>
      <c r="B137" s="884"/>
      <c r="C137" s="128"/>
      <c r="D137" s="128"/>
      <c r="E137" s="128"/>
      <c r="N137" s="884"/>
      <c r="P137" s="885"/>
      <c r="R137" s="64"/>
      <c r="S137" s="64"/>
      <c r="T137" s="64"/>
      <c r="U137" s="64"/>
    </row>
    <row r="138" spans="1:21" s="71" customFormat="1" hidden="1">
      <c r="A138" s="64"/>
      <c r="B138" s="884"/>
      <c r="C138" s="128"/>
      <c r="D138" s="128"/>
      <c r="E138" s="128"/>
      <c r="N138" s="884"/>
      <c r="P138" s="885"/>
      <c r="R138" s="64"/>
      <c r="S138" s="64"/>
      <c r="T138" s="64"/>
      <c r="U138" s="64"/>
    </row>
    <row r="139" spans="1:21" s="71" customFormat="1" hidden="1">
      <c r="A139" s="64"/>
      <c r="B139" s="884"/>
      <c r="C139" s="128"/>
      <c r="D139" s="128"/>
      <c r="E139" s="128"/>
      <c r="N139" s="884"/>
      <c r="P139" s="885"/>
      <c r="R139" s="64"/>
      <c r="S139" s="64"/>
      <c r="T139" s="64"/>
      <c r="U139" s="64"/>
    </row>
    <row r="140" spans="1:21" s="71" customFormat="1" hidden="1">
      <c r="A140" s="64"/>
      <c r="B140" s="884"/>
      <c r="C140" s="128"/>
      <c r="D140" s="128"/>
      <c r="E140" s="128"/>
      <c r="N140" s="884"/>
      <c r="P140" s="885"/>
      <c r="R140" s="64"/>
      <c r="S140" s="64"/>
      <c r="T140" s="64"/>
      <c r="U140" s="64"/>
    </row>
    <row r="141" spans="1:21" s="71" customFormat="1" hidden="1">
      <c r="A141" s="64"/>
      <c r="B141" s="884"/>
      <c r="C141" s="128"/>
      <c r="D141" s="128"/>
      <c r="E141" s="128"/>
      <c r="N141" s="884"/>
      <c r="P141" s="885"/>
      <c r="R141" s="64"/>
      <c r="S141" s="64"/>
      <c r="T141" s="64"/>
      <c r="U141" s="64"/>
    </row>
    <row r="142" spans="1:21" s="71" customFormat="1" hidden="1">
      <c r="A142" s="64"/>
      <c r="B142" s="884"/>
      <c r="C142" s="128"/>
      <c r="D142" s="128"/>
      <c r="E142" s="128"/>
      <c r="N142" s="884"/>
      <c r="P142" s="885"/>
      <c r="R142" s="64"/>
      <c r="S142" s="64"/>
      <c r="T142" s="64"/>
      <c r="U142" s="64"/>
    </row>
    <row r="143" spans="1:21" s="71" customFormat="1" hidden="1">
      <c r="A143" s="64"/>
      <c r="B143" s="884"/>
      <c r="C143" s="128"/>
      <c r="D143" s="128"/>
      <c r="E143" s="128"/>
      <c r="N143" s="884"/>
      <c r="P143" s="885"/>
      <c r="R143" s="64"/>
      <c r="S143" s="64"/>
      <c r="T143" s="64"/>
      <c r="U143" s="64"/>
    </row>
    <row r="144" spans="1:21" s="71" customFormat="1" hidden="1">
      <c r="A144" s="64"/>
      <c r="B144" s="884"/>
      <c r="C144" s="128"/>
      <c r="D144" s="128"/>
      <c r="E144" s="128"/>
      <c r="N144" s="884"/>
      <c r="P144" s="885"/>
      <c r="R144" s="64"/>
      <c r="S144" s="64"/>
      <c r="T144" s="64"/>
      <c r="U144" s="64"/>
    </row>
    <row r="145" spans="1:21" s="71" customFormat="1" hidden="1">
      <c r="A145" s="64"/>
      <c r="B145" s="884"/>
      <c r="C145" s="128"/>
      <c r="D145" s="128"/>
      <c r="E145" s="128"/>
      <c r="N145" s="884"/>
      <c r="P145" s="885"/>
      <c r="R145" s="64"/>
      <c r="S145" s="64"/>
      <c r="T145" s="64"/>
      <c r="U145" s="64"/>
    </row>
    <row r="146" spans="1:21" s="71" customFormat="1" hidden="1">
      <c r="A146" s="64"/>
      <c r="B146" s="884"/>
      <c r="C146" s="128"/>
      <c r="D146" s="128"/>
      <c r="E146" s="128"/>
      <c r="N146" s="884"/>
      <c r="P146" s="885"/>
      <c r="R146" s="64"/>
      <c r="S146" s="64"/>
      <c r="T146" s="64"/>
      <c r="U146" s="64"/>
    </row>
    <row r="147" spans="1:21" s="71" customFormat="1" hidden="1">
      <c r="A147" s="64"/>
      <c r="B147" s="884"/>
      <c r="C147" s="128"/>
      <c r="D147" s="128"/>
      <c r="E147" s="128"/>
      <c r="N147" s="884"/>
      <c r="P147" s="885"/>
      <c r="R147" s="64"/>
      <c r="S147" s="64"/>
      <c r="T147" s="64"/>
      <c r="U147" s="64"/>
    </row>
    <row r="148" spans="1:21" s="71" customFormat="1" hidden="1">
      <c r="A148" s="64"/>
      <c r="B148" s="884"/>
      <c r="C148" s="128"/>
      <c r="D148" s="128"/>
      <c r="E148" s="128"/>
      <c r="N148" s="884"/>
      <c r="P148" s="885"/>
      <c r="R148" s="64"/>
      <c r="S148" s="64"/>
      <c r="T148" s="64"/>
      <c r="U148" s="64"/>
    </row>
    <row r="149" spans="1:21" s="71" customFormat="1" hidden="1">
      <c r="A149" s="64"/>
      <c r="B149" s="884"/>
      <c r="C149" s="128"/>
      <c r="D149" s="128"/>
      <c r="E149" s="128"/>
      <c r="N149" s="884"/>
      <c r="P149" s="885"/>
      <c r="R149" s="64"/>
      <c r="S149" s="64"/>
      <c r="T149" s="64"/>
      <c r="U149" s="64"/>
    </row>
    <row r="150" spans="1:21" s="71" customFormat="1" hidden="1">
      <c r="A150" s="64"/>
      <c r="B150" s="884"/>
      <c r="C150" s="128"/>
      <c r="D150" s="128"/>
      <c r="E150" s="128"/>
      <c r="N150" s="884"/>
      <c r="P150" s="885"/>
      <c r="R150" s="64"/>
      <c r="S150" s="64"/>
      <c r="T150" s="64"/>
      <c r="U150" s="64"/>
    </row>
    <row r="151" spans="1:21" s="71" customFormat="1" hidden="1">
      <c r="A151" s="64"/>
      <c r="B151" s="884"/>
      <c r="C151" s="128"/>
      <c r="D151" s="128"/>
      <c r="E151" s="128"/>
      <c r="N151" s="884"/>
      <c r="P151" s="885"/>
      <c r="R151" s="64"/>
      <c r="S151" s="64"/>
      <c r="T151" s="64"/>
      <c r="U151" s="64"/>
    </row>
    <row r="152" spans="1:21" s="71" customFormat="1" hidden="1">
      <c r="A152" s="64"/>
      <c r="B152" s="884"/>
      <c r="C152" s="128"/>
      <c r="D152" s="128"/>
      <c r="E152" s="128"/>
      <c r="N152" s="884"/>
      <c r="P152" s="885"/>
      <c r="R152" s="64"/>
      <c r="S152" s="64"/>
      <c r="T152" s="64"/>
      <c r="U152" s="64"/>
    </row>
    <row r="153" spans="1:21" s="71" customFormat="1" hidden="1">
      <c r="A153" s="64"/>
      <c r="B153" s="884"/>
      <c r="C153" s="128"/>
      <c r="D153" s="128"/>
      <c r="E153" s="128"/>
      <c r="N153" s="884"/>
      <c r="P153" s="885"/>
      <c r="R153" s="64"/>
      <c r="S153" s="64"/>
      <c r="T153" s="64"/>
      <c r="U153" s="64"/>
    </row>
    <row r="154" spans="1:21" s="71" customFormat="1" hidden="1">
      <c r="A154" s="64"/>
      <c r="B154" s="884"/>
      <c r="C154" s="128"/>
      <c r="D154" s="128"/>
      <c r="E154" s="128"/>
      <c r="N154" s="884"/>
      <c r="P154" s="885"/>
      <c r="R154" s="64"/>
      <c r="S154" s="64"/>
      <c r="T154" s="64"/>
      <c r="U154" s="64"/>
    </row>
    <row r="155" spans="1:21" s="71" customFormat="1" hidden="1">
      <c r="A155" s="64"/>
      <c r="B155" s="884"/>
      <c r="C155" s="128"/>
      <c r="D155" s="128"/>
      <c r="E155" s="128"/>
      <c r="N155" s="884"/>
      <c r="P155" s="885"/>
      <c r="R155" s="64"/>
      <c r="S155" s="64"/>
      <c r="T155" s="64"/>
      <c r="U155" s="64"/>
    </row>
    <row r="156" spans="1:21" s="71" customFormat="1" hidden="1">
      <c r="A156" s="64"/>
      <c r="B156" s="884"/>
      <c r="C156" s="128"/>
      <c r="D156" s="128"/>
      <c r="E156" s="128"/>
      <c r="N156" s="884"/>
      <c r="P156" s="885"/>
      <c r="R156" s="64"/>
      <c r="S156" s="64"/>
      <c r="T156" s="64"/>
      <c r="U156" s="64"/>
    </row>
    <row r="157" spans="1:21" s="71" customFormat="1" hidden="1">
      <c r="A157" s="64"/>
      <c r="B157" s="884"/>
      <c r="C157" s="128"/>
      <c r="D157" s="128"/>
      <c r="E157" s="128"/>
      <c r="N157" s="884"/>
      <c r="P157" s="885"/>
      <c r="R157" s="64"/>
      <c r="S157" s="64"/>
      <c r="T157" s="64"/>
      <c r="U157" s="64"/>
    </row>
    <row r="158" spans="1:21" s="71" customFormat="1" hidden="1">
      <c r="A158" s="64"/>
      <c r="B158" s="884"/>
      <c r="C158" s="128"/>
      <c r="D158" s="128"/>
      <c r="E158" s="128"/>
      <c r="N158" s="884"/>
      <c r="P158" s="885"/>
      <c r="R158" s="64"/>
      <c r="S158" s="64"/>
      <c r="T158" s="64"/>
      <c r="U158" s="64"/>
    </row>
    <row r="159" spans="1:21" s="71" customFormat="1" hidden="1">
      <c r="A159" s="64"/>
      <c r="B159" s="884"/>
      <c r="C159" s="128"/>
      <c r="D159" s="128"/>
      <c r="E159" s="128"/>
      <c r="N159" s="884"/>
      <c r="P159" s="885"/>
      <c r="R159" s="64"/>
      <c r="S159" s="64"/>
      <c r="T159" s="64"/>
      <c r="U159" s="64"/>
    </row>
    <row r="160" spans="1:21" s="71" customFormat="1" hidden="1">
      <c r="A160" s="64"/>
      <c r="B160" s="884"/>
      <c r="C160" s="128"/>
      <c r="D160" s="128"/>
      <c r="E160" s="128"/>
      <c r="N160" s="884"/>
      <c r="P160" s="885"/>
      <c r="R160" s="64"/>
      <c r="S160" s="64"/>
      <c r="T160" s="64"/>
      <c r="U160" s="64"/>
    </row>
    <row r="161" spans="1:21" s="71" customFormat="1" hidden="1">
      <c r="A161" s="64"/>
      <c r="B161" s="884"/>
      <c r="C161" s="128"/>
      <c r="D161" s="128"/>
      <c r="E161" s="128"/>
      <c r="N161" s="884"/>
      <c r="P161" s="885"/>
      <c r="R161" s="64"/>
      <c r="S161" s="64"/>
      <c r="T161" s="64"/>
      <c r="U161" s="64"/>
    </row>
    <row r="162" spans="1:21" s="71" customFormat="1" hidden="1">
      <c r="A162" s="64"/>
      <c r="B162" s="884"/>
      <c r="C162" s="128"/>
      <c r="D162" s="128"/>
      <c r="E162" s="128"/>
      <c r="N162" s="884"/>
      <c r="P162" s="885"/>
      <c r="R162" s="64"/>
      <c r="S162" s="64"/>
      <c r="T162" s="64"/>
      <c r="U162" s="64"/>
    </row>
    <row r="163" spans="1:21" s="71" customFormat="1" hidden="1">
      <c r="A163" s="64"/>
      <c r="B163" s="884"/>
      <c r="C163" s="128"/>
      <c r="D163" s="128"/>
      <c r="E163" s="128"/>
      <c r="N163" s="884"/>
      <c r="P163" s="885"/>
      <c r="R163" s="64"/>
      <c r="S163" s="64"/>
      <c r="T163" s="64"/>
      <c r="U163" s="64"/>
    </row>
    <row r="164" spans="1:21" s="71" customFormat="1" hidden="1">
      <c r="A164" s="64"/>
      <c r="B164" s="884"/>
      <c r="C164" s="128"/>
      <c r="D164" s="128"/>
      <c r="E164" s="128"/>
      <c r="N164" s="884"/>
      <c r="P164" s="885"/>
      <c r="R164" s="64"/>
      <c r="S164" s="64"/>
      <c r="T164" s="64"/>
      <c r="U164" s="64"/>
    </row>
    <row r="165" spans="1:21" s="71" customFormat="1" hidden="1">
      <c r="A165" s="64"/>
      <c r="B165" s="884"/>
      <c r="C165" s="128"/>
      <c r="D165" s="128"/>
      <c r="E165" s="128"/>
      <c r="N165" s="884"/>
      <c r="P165" s="885"/>
      <c r="R165" s="64"/>
      <c r="S165" s="64"/>
      <c r="T165" s="64"/>
      <c r="U165" s="64"/>
    </row>
    <row r="166" spans="1:21" s="71" customFormat="1" hidden="1">
      <c r="A166" s="64"/>
      <c r="B166" s="884"/>
      <c r="C166" s="128"/>
      <c r="D166" s="128"/>
      <c r="E166" s="128"/>
      <c r="N166" s="884"/>
      <c r="P166" s="885"/>
      <c r="R166" s="64"/>
      <c r="S166" s="64"/>
      <c r="T166" s="64"/>
      <c r="U166" s="64"/>
    </row>
    <row r="167" spans="1:21" s="71" customFormat="1" hidden="1">
      <c r="A167" s="64"/>
      <c r="B167" s="884"/>
      <c r="C167" s="128"/>
      <c r="D167" s="128"/>
      <c r="E167" s="128"/>
      <c r="N167" s="884"/>
      <c r="P167" s="885"/>
      <c r="R167" s="64"/>
      <c r="S167" s="64"/>
      <c r="T167" s="64"/>
      <c r="U167" s="64"/>
    </row>
    <row r="168" spans="1:21" s="71" customFormat="1" hidden="1">
      <c r="A168" s="64"/>
      <c r="B168" s="884"/>
      <c r="C168" s="128"/>
      <c r="D168" s="128"/>
      <c r="E168" s="128"/>
      <c r="N168" s="884"/>
      <c r="P168" s="885"/>
      <c r="R168" s="64"/>
      <c r="S168" s="64"/>
      <c r="T168" s="64"/>
      <c r="U168" s="64"/>
    </row>
    <row r="169" spans="1:21" s="71" customFormat="1" hidden="1">
      <c r="A169" s="64"/>
      <c r="B169" s="884"/>
      <c r="C169" s="128"/>
      <c r="D169" s="128"/>
      <c r="E169" s="128"/>
      <c r="N169" s="884"/>
      <c r="P169" s="885"/>
      <c r="R169" s="64"/>
      <c r="S169" s="64"/>
      <c r="T169" s="64"/>
      <c r="U169" s="64"/>
    </row>
    <row r="170" spans="1:21" s="71" customFormat="1" hidden="1">
      <c r="A170" s="64"/>
      <c r="B170" s="884"/>
      <c r="C170" s="128"/>
      <c r="D170" s="128"/>
      <c r="E170" s="128"/>
      <c r="N170" s="884"/>
      <c r="P170" s="885"/>
      <c r="R170" s="64"/>
      <c r="S170" s="64"/>
      <c r="T170" s="64"/>
      <c r="U170" s="64"/>
    </row>
    <row r="171" spans="1:21" s="71" customFormat="1" hidden="1">
      <c r="A171" s="64"/>
      <c r="B171" s="884"/>
      <c r="C171" s="128"/>
      <c r="D171" s="128"/>
      <c r="E171" s="128"/>
      <c r="N171" s="884"/>
      <c r="P171" s="885"/>
      <c r="R171" s="64"/>
      <c r="S171" s="64"/>
      <c r="T171" s="64"/>
      <c r="U171" s="64"/>
    </row>
    <row r="172" spans="1:21" s="71" customFormat="1" hidden="1">
      <c r="A172" s="64"/>
      <c r="B172" s="884"/>
      <c r="C172" s="128"/>
      <c r="D172" s="128"/>
      <c r="E172" s="128"/>
      <c r="N172" s="884"/>
      <c r="P172" s="885"/>
      <c r="R172" s="64"/>
      <c r="S172" s="64"/>
      <c r="T172" s="64"/>
      <c r="U172" s="64"/>
    </row>
    <row r="173" spans="1:21" s="71" customFormat="1" hidden="1">
      <c r="A173" s="64"/>
      <c r="B173" s="884"/>
      <c r="C173" s="128"/>
      <c r="D173" s="128"/>
      <c r="E173" s="128"/>
      <c r="N173" s="884"/>
      <c r="P173" s="885"/>
      <c r="R173" s="64"/>
      <c r="S173" s="64"/>
      <c r="T173" s="64"/>
      <c r="U173" s="64"/>
    </row>
    <row r="174" spans="1:21" s="71" customFormat="1" hidden="1">
      <c r="A174" s="64"/>
      <c r="B174" s="884"/>
      <c r="C174" s="128"/>
      <c r="D174" s="128"/>
      <c r="E174" s="128"/>
      <c r="N174" s="884"/>
      <c r="P174" s="885"/>
      <c r="R174" s="64"/>
      <c r="S174" s="64"/>
      <c r="T174" s="64"/>
      <c r="U174" s="64"/>
    </row>
    <row r="175" spans="1:21" s="71" customFormat="1" hidden="1">
      <c r="A175" s="64"/>
      <c r="B175" s="884"/>
      <c r="C175" s="128"/>
      <c r="D175" s="128"/>
      <c r="E175" s="128"/>
      <c r="N175" s="884"/>
      <c r="P175" s="885"/>
      <c r="R175" s="64"/>
      <c r="S175" s="64"/>
      <c r="T175" s="64"/>
      <c r="U175" s="64"/>
    </row>
    <row r="176" spans="1:21" s="71" customFormat="1" hidden="1">
      <c r="A176" s="64"/>
      <c r="B176" s="884"/>
      <c r="C176" s="128"/>
      <c r="D176" s="128"/>
      <c r="E176" s="128"/>
      <c r="N176" s="884"/>
      <c r="P176" s="885"/>
      <c r="R176" s="64"/>
      <c r="S176" s="64"/>
      <c r="T176" s="64"/>
      <c r="U176" s="64"/>
    </row>
    <row r="177" spans="1:21" s="71" customFormat="1" hidden="1">
      <c r="A177" s="64"/>
      <c r="B177" s="884"/>
      <c r="C177" s="128"/>
      <c r="D177" s="128"/>
      <c r="E177" s="128"/>
      <c r="N177" s="884"/>
      <c r="P177" s="885"/>
      <c r="R177" s="64"/>
      <c r="S177" s="64"/>
      <c r="T177" s="64"/>
      <c r="U177" s="64"/>
    </row>
    <row r="178" spans="1:21" s="71" customFormat="1" hidden="1">
      <c r="A178" s="64"/>
      <c r="B178" s="884"/>
      <c r="C178" s="128"/>
      <c r="D178" s="128"/>
      <c r="E178" s="128"/>
      <c r="N178" s="884"/>
      <c r="P178" s="885"/>
      <c r="R178" s="64"/>
      <c r="S178" s="64"/>
      <c r="T178" s="64"/>
      <c r="U178" s="64"/>
    </row>
    <row r="179" spans="1:21" s="71" customFormat="1" hidden="1">
      <c r="A179" s="64"/>
      <c r="B179" s="884"/>
      <c r="C179" s="128"/>
      <c r="D179" s="128"/>
      <c r="E179" s="128"/>
      <c r="N179" s="884"/>
      <c r="P179" s="885"/>
      <c r="R179" s="64"/>
      <c r="S179" s="64"/>
      <c r="T179" s="64"/>
      <c r="U179" s="64"/>
    </row>
    <row r="180" spans="1:21" s="71" customFormat="1" hidden="1">
      <c r="A180" s="64"/>
      <c r="B180" s="884"/>
      <c r="C180" s="128"/>
      <c r="D180" s="128"/>
      <c r="E180" s="128"/>
      <c r="N180" s="884"/>
      <c r="P180" s="885"/>
      <c r="R180" s="64"/>
      <c r="S180" s="64"/>
      <c r="T180" s="64"/>
      <c r="U180" s="64"/>
    </row>
    <row r="181" spans="1:21" s="71" customFormat="1" hidden="1">
      <c r="A181" s="64"/>
      <c r="B181" s="884"/>
      <c r="C181" s="128"/>
      <c r="D181" s="128"/>
      <c r="E181" s="128"/>
      <c r="N181" s="884"/>
      <c r="P181" s="885"/>
      <c r="R181" s="64"/>
      <c r="S181" s="64"/>
      <c r="T181" s="64"/>
      <c r="U181" s="64"/>
    </row>
    <row r="182" spans="1:21" s="71" customFormat="1" hidden="1">
      <c r="A182" s="64"/>
      <c r="B182" s="884"/>
      <c r="C182" s="128"/>
      <c r="D182" s="128"/>
      <c r="E182" s="128"/>
      <c r="N182" s="884"/>
      <c r="P182" s="885"/>
      <c r="R182" s="64"/>
      <c r="S182" s="64"/>
      <c r="T182" s="64"/>
      <c r="U182" s="64"/>
    </row>
    <row r="183" spans="1:21" s="71" customFormat="1" hidden="1">
      <c r="A183" s="64"/>
      <c r="B183" s="884"/>
      <c r="C183" s="128"/>
      <c r="D183" s="128"/>
      <c r="E183" s="128"/>
      <c r="N183" s="884"/>
      <c r="P183" s="885"/>
      <c r="R183" s="64"/>
      <c r="S183" s="64"/>
      <c r="T183" s="64"/>
      <c r="U183" s="64"/>
    </row>
    <row r="184" spans="1:21" s="71" customFormat="1" hidden="1">
      <c r="A184" s="64"/>
      <c r="B184" s="884"/>
      <c r="C184" s="128"/>
      <c r="D184" s="128"/>
      <c r="E184" s="128"/>
      <c r="N184" s="884"/>
      <c r="P184" s="885"/>
      <c r="R184" s="64"/>
      <c r="S184" s="64"/>
      <c r="T184" s="64"/>
      <c r="U184" s="64"/>
    </row>
    <row r="185" spans="1:21" s="71" customFormat="1" hidden="1">
      <c r="A185" s="64"/>
      <c r="B185" s="884"/>
      <c r="C185" s="128"/>
      <c r="D185" s="128"/>
      <c r="E185" s="128"/>
      <c r="N185" s="884"/>
      <c r="P185" s="885"/>
      <c r="R185" s="64"/>
      <c r="S185" s="64"/>
      <c r="T185" s="64"/>
      <c r="U185" s="64"/>
    </row>
    <row r="186" spans="1:21" s="71" customFormat="1" hidden="1">
      <c r="A186" s="64"/>
      <c r="B186" s="884"/>
      <c r="C186" s="128"/>
      <c r="D186" s="128"/>
      <c r="E186" s="128"/>
      <c r="N186" s="884"/>
      <c r="P186" s="885"/>
      <c r="R186" s="64"/>
      <c r="S186" s="64"/>
      <c r="T186" s="64"/>
      <c r="U186" s="64"/>
    </row>
    <row r="187" spans="1:21" s="71" customFormat="1" hidden="1">
      <c r="A187" s="64"/>
      <c r="B187" s="884"/>
      <c r="C187" s="128"/>
      <c r="D187" s="128"/>
      <c r="E187" s="128"/>
      <c r="N187" s="884"/>
      <c r="P187" s="885"/>
      <c r="R187" s="64"/>
      <c r="S187" s="64"/>
      <c r="T187" s="64"/>
      <c r="U187" s="64"/>
    </row>
    <row r="188" spans="1:21" s="71" customFormat="1" hidden="1">
      <c r="A188" s="64"/>
      <c r="B188" s="884"/>
      <c r="C188" s="128"/>
      <c r="D188" s="128"/>
      <c r="E188" s="128"/>
      <c r="N188" s="884"/>
      <c r="P188" s="885"/>
      <c r="R188" s="64"/>
      <c r="S188" s="64"/>
      <c r="T188" s="64"/>
      <c r="U188" s="64"/>
    </row>
    <row r="189" spans="1:21" s="71" customFormat="1" hidden="1">
      <c r="A189" s="64"/>
      <c r="B189" s="884"/>
      <c r="C189" s="128"/>
      <c r="D189" s="128"/>
      <c r="E189" s="128"/>
      <c r="N189" s="884"/>
      <c r="P189" s="885"/>
      <c r="R189" s="64"/>
      <c r="S189" s="64"/>
      <c r="T189" s="64"/>
      <c r="U189" s="64"/>
    </row>
    <row r="190" spans="1:21" s="71" customFormat="1" hidden="1">
      <c r="A190" s="64"/>
      <c r="B190" s="884"/>
      <c r="C190" s="128"/>
      <c r="D190" s="128"/>
      <c r="E190" s="128"/>
      <c r="N190" s="884"/>
      <c r="P190" s="885"/>
      <c r="R190" s="64"/>
      <c r="S190" s="64"/>
      <c r="T190" s="64"/>
      <c r="U190" s="64"/>
    </row>
    <row r="191" spans="1:21" s="71" customFormat="1" hidden="1">
      <c r="A191" s="64"/>
      <c r="B191" s="884"/>
      <c r="C191" s="128"/>
      <c r="D191" s="128"/>
      <c r="E191" s="128"/>
      <c r="N191" s="884"/>
      <c r="P191" s="885"/>
      <c r="R191" s="64"/>
      <c r="S191" s="64"/>
      <c r="T191" s="64"/>
      <c r="U191" s="64"/>
    </row>
    <row r="192" spans="1:21" s="71" customFormat="1" hidden="1">
      <c r="A192" s="64"/>
      <c r="B192" s="884"/>
      <c r="C192" s="128"/>
      <c r="D192" s="128"/>
      <c r="E192" s="128"/>
      <c r="N192" s="884"/>
      <c r="P192" s="885"/>
      <c r="R192" s="64"/>
      <c r="S192" s="64"/>
      <c r="T192" s="64"/>
      <c r="U192" s="64"/>
    </row>
    <row r="193" spans="1:21" s="71" customFormat="1" hidden="1">
      <c r="A193" s="64"/>
      <c r="B193" s="884"/>
      <c r="C193" s="128"/>
      <c r="D193" s="128"/>
      <c r="E193" s="128"/>
      <c r="N193" s="884"/>
      <c r="P193" s="885"/>
      <c r="R193" s="64"/>
      <c r="S193" s="64"/>
      <c r="T193" s="64"/>
      <c r="U193" s="64"/>
    </row>
    <row r="194" spans="1:21" s="71" customFormat="1" hidden="1">
      <c r="A194" s="64"/>
      <c r="B194" s="884"/>
      <c r="C194" s="128"/>
      <c r="D194" s="128"/>
      <c r="E194" s="128"/>
      <c r="N194" s="884"/>
      <c r="P194" s="885"/>
      <c r="R194" s="64"/>
      <c r="S194" s="64"/>
      <c r="T194" s="64"/>
      <c r="U194" s="64"/>
    </row>
    <row r="195" spans="1:21" s="71" customFormat="1" hidden="1">
      <c r="A195" s="64"/>
      <c r="B195" s="884"/>
      <c r="C195" s="128"/>
      <c r="D195" s="128"/>
      <c r="E195" s="128"/>
      <c r="N195" s="884"/>
      <c r="P195" s="885"/>
      <c r="R195" s="64"/>
      <c r="S195" s="64"/>
      <c r="T195" s="64"/>
      <c r="U195" s="64"/>
    </row>
    <row r="196" spans="1:21" s="71" customFormat="1" hidden="1">
      <c r="A196" s="64"/>
      <c r="B196" s="884"/>
      <c r="C196" s="128"/>
      <c r="D196" s="128"/>
      <c r="E196" s="128"/>
      <c r="N196" s="884"/>
      <c r="P196" s="885"/>
      <c r="R196" s="64"/>
      <c r="S196" s="64"/>
      <c r="T196" s="64"/>
      <c r="U196" s="64"/>
    </row>
    <row r="197" spans="1:21" s="71" customFormat="1" hidden="1">
      <c r="A197" s="64"/>
      <c r="B197" s="884"/>
      <c r="C197" s="128"/>
      <c r="D197" s="128"/>
      <c r="E197" s="128"/>
      <c r="N197" s="884"/>
      <c r="P197" s="885"/>
      <c r="R197" s="64"/>
      <c r="S197" s="64"/>
      <c r="T197" s="64"/>
      <c r="U197" s="64"/>
    </row>
    <row r="198" spans="1:21" s="71" customFormat="1" hidden="1">
      <c r="A198" s="64"/>
      <c r="B198" s="884"/>
      <c r="C198" s="128"/>
      <c r="D198" s="128"/>
      <c r="E198" s="128"/>
      <c r="N198" s="884"/>
      <c r="P198" s="885"/>
      <c r="R198" s="64"/>
      <c r="S198" s="64"/>
      <c r="T198" s="64"/>
      <c r="U198" s="64"/>
    </row>
    <row r="199" spans="1:21" s="71" customFormat="1" hidden="1">
      <c r="A199" s="64"/>
      <c r="B199" s="884"/>
      <c r="C199" s="128"/>
      <c r="D199" s="128"/>
      <c r="E199" s="128"/>
      <c r="N199" s="884"/>
      <c r="P199" s="885"/>
      <c r="R199" s="64"/>
      <c r="S199" s="64"/>
      <c r="T199" s="64"/>
      <c r="U199" s="64"/>
    </row>
    <row r="200" spans="1:21" s="71" customFormat="1" hidden="1">
      <c r="A200" s="64"/>
      <c r="B200" s="884"/>
      <c r="C200" s="128"/>
      <c r="D200" s="128"/>
      <c r="E200" s="128"/>
      <c r="N200" s="884"/>
      <c r="P200" s="885"/>
      <c r="R200" s="64"/>
      <c r="S200" s="64"/>
      <c r="T200" s="64"/>
      <c r="U200" s="64"/>
    </row>
    <row r="201" spans="1:21" s="71" customFormat="1" hidden="1">
      <c r="A201" s="64"/>
      <c r="B201" s="884"/>
      <c r="C201" s="128"/>
      <c r="D201" s="128"/>
      <c r="E201" s="128"/>
      <c r="N201" s="884"/>
      <c r="P201" s="885"/>
      <c r="R201" s="64"/>
      <c r="S201" s="64"/>
      <c r="T201" s="64"/>
      <c r="U201" s="64"/>
    </row>
    <row r="202" spans="1:21" s="71" customFormat="1" hidden="1">
      <c r="A202" s="64"/>
      <c r="B202" s="884"/>
      <c r="C202" s="128"/>
      <c r="D202" s="128"/>
      <c r="E202" s="128"/>
      <c r="N202" s="884"/>
      <c r="P202" s="885"/>
      <c r="R202" s="64"/>
      <c r="S202" s="64"/>
      <c r="T202" s="64"/>
      <c r="U202" s="64"/>
    </row>
    <row r="203" spans="1:21" s="71" customFormat="1" hidden="1">
      <c r="A203" s="64"/>
      <c r="B203" s="884"/>
      <c r="C203" s="128"/>
      <c r="D203" s="128"/>
      <c r="E203" s="128"/>
      <c r="N203" s="884"/>
      <c r="P203" s="885"/>
      <c r="R203" s="64"/>
      <c r="S203" s="64"/>
      <c r="T203" s="64"/>
      <c r="U203" s="64"/>
    </row>
    <row r="204" spans="1:21" s="71" customFormat="1" hidden="1">
      <c r="A204" s="64"/>
      <c r="B204" s="884"/>
      <c r="C204" s="128"/>
      <c r="D204" s="128"/>
      <c r="E204" s="128"/>
      <c r="N204" s="884"/>
      <c r="P204" s="885"/>
      <c r="R204" s="64"/>
      <c r="S204" s="64"/>
      <c r="T204" s="64"/>
      <c r="U204" s="64"/>
    </row>
    <row r="205" spans="1:21" s="71" customFormat="1" hidden="1">
      <c r="A205" s="64"/>
      <c r="B205" s="884"/>
      <c r="C205" s="128"/>
      <c r="D205" s="128"/>
      <c r="E205" s="128"/>
      <c r="N205" s="884"/>
      <c r="P205" s="885"/>
      <c r="R205" s="64"/>
      <c r="S205" s="64"/>
      <c r="T205" s="64"/>
      <c r="U205" s="64"/>
    </row>
    <row r="206" spans="1:21" s="71" customFormat="1" hidden="1">
      <c r="A206" s="64"/>
      <c r="B206" s="884"/>
      <c r="C206" s="128"/>
      <c r="D206" s="128"/>
      <c r="E206" s="128"/>
      <c r="N206" s="884"/>
      <c r="P206" s="885"/>
      <c r="R206" s="64"/>
      <c r="S206" s="64"/>
      <c r="T206" s="64"/>
      <c r="U206" s="64"/>
    </row>
    <row r="207" spans="1:21" s="71" customFormat="1" hidden="1">
      <c r="A207" s="64"/>
      <c r="B207" s="884"/>
      <c r="C207" s="128"/>
      <c r="D207" s="128"/>
      <c r="E207" s="128"/>
      <c r="N207" s="884"/>
      <c r="P207" s="885"/>
      <c r="R207" s="64"/>
      <c r="S207" s="64"/>
      <c r="T207" s="64"/>
      <c r="U207" s="64"/>
    </row>
    <row r="208" spans="1:21" s="71" customFormat="1" hidden="1">
      <c r="A208" s="64"/>
      <c r="B208" s="884"/>
      <c r="C208" s="128"/>
      <c r="D208" s="128"/>
      <c r="E208" s="128"/>
      <c r="N208" s="884"/>
      <c r="P208" s="885"/>
      <c r="R208" s="64"/>
      <c r="S208" s="64"/>
      <c r="T208" s="64"/>
      <c r="U208" s="64"/>
    </row>
    <row r="209" spans="1:21" s="71" customFormat="1" hidden="1">
      <c r="A209" s="64"/>
      <c r="B209" s="884"/>
      <c r="C209" s="128"/>
      <c r="D209" s="128"/>
      <c r="E209" s="128"/>
      <c r="N209" s="884"/>
      <c r="P209" s="885"/>
      <c r="R209" s="64"/>
      <c r="S209" s="64"/>
      <c r="T209" s="64"/>
      <c r="U209" s="64"/>
    </row>
    <row r="210" spans="1:21" s="71" customFormat="1" hidden="1">
      <c r="A210" s="64"/>
      <c r="B210" s="884"/>
      <c r="C210" s="128"/>
      <c r="D210" s="128"/>
      <c r="E210" s="128"/>
      <c r="N210" s="884"/>
      <c r="P210" s="885"/>
      <c r="R210" s="64"/>
      <c r="S210" s="64"/>
      <c r="T210" s="64"/>
      <c r="U210" s="64"/>
    </row>
    <row r="211" spans="1:21" s="71" customFormat="1" hidden="1">
      <c r="A211" s="64"/>
      <c r="B211" s="884"/>
      <c r="C211" s="128"/>
      <c r="D211" s="128"/>
      <c r="E211" s="128"/>
      <c r="N211" s="884"/>
      <c r="P211" s="885"/>
      <c r="R211" s="64"/>
      <c r="S211" s="64"/>
      <c r="T211" s="64"/>
      <c r="U211" s="64"/>
    </row>
    <row r="212" spans="1:21" s="71" customFormat="1" hidden="1">
      <c r="A212" s="64"/>
      <c r="B212" s="884"/>
      <c r="C212" s="128"/>
      <c r="D212" s="128"/>
      <c r="E212" s="128"/>
      <c r="N212" s="884"/>
      <c r="P212" s="885"/>
      <c r="R212" s="64"/>
      <c r="S212" s="64"/>
      <c r="T212" s="64"/>
      <c r="U212" s="64"/>
    </row>
    <row r="213" spans="1:21" s="71" customFormat="1" hidden="1">
      <c r="A213" s="64"/>
      <c r="B213" s="884"/>
      <c r="C213" s="128"/>
      <c r="D213" s="128"/>
      <c r="E213" s="128"/>
      <c r="N213" s="884"/>
      <c r="P213" s="885"/>
      <c r="R213" s="64"/>
      <c r="S213" s="64"/>
      <c r="T213" s="64"/>
      <c r="U213" s="64"/>
    </row>
    <row r="214" spans="1:21" s="71" customFormat="1" hidden="1">
      <c r="A214" s="64"/>
      <c r="B214" s="884"/>
      <c r="C214" s="128"/>
      <c r="D214" s="128"/>
      <c r="E214" s="128"/>
      <c r="N214" s="884"/>
      <c r="P214" s="885"/>
      <c r="R214" s="64"/>
      <c r="S214" s="64"/>
      <c r="T214" s="64"/>
      <c r="U214" s="64"/>
    </row>
    <row r="215" spans="1:21" s="71" customFormat="1" hidden="1">
      <c r="A215" s="64"/>
      <c r="B215" s="884"/>
      <c r="C215" s="128"/>
      <c r="D215" s="128"/>
      <c r="E215" s="128"/>
      <c r="N215" s="884"/>
      <c r="P215" s="885"/>
      <c r="R215" s="64"/>
      <c r="S215" s="64"/>
      <c r="T215" s="64"/>
      <c r="U215" s="64"/>
    </row>
    <row r="216" spans="1:21" s="71" customFormat="1" hidden="1">
      <c r="A216" s="64"/>
      <c r="B216" s="884"/>
      <c r="C216" s="128"/>
      <c r="D216" s="128"/>
      <c r="E216" s="128"/>
      <c r="N216" s="884"/>
      <c r="P216" s="885"/>
      <c r="R216" s="64"/>
      <c r="S216" s="64"/>
      <c r="T216" s="64"/>
      <c r="U216" s="64"/>
    </row>
    <row r="217" spans="1:21" s="71" customFormat="1" hidden="1">
      <c r="A217" s="64"/>
      <c r="B217" s="884"/>
      <c r="C217" s="128"/>
      <c r="D217" s="128"/>
      <c r="E217" s="128"/>
      <c r="N217" s="884"/>
      <c r="P217" s="885"/>
      <c r="R217" s="64"/>
      <c r="S217" s="64"/>
      <c r="T217" s="64"/>
      <c r="U217" s="64"/>
    </row>
    <row r="218" spans="1:21" s="71" customFormat="1" hidden="1">
      <c r="A218" s="64"/>
      <c r="B218" s="884"/>
      <c r="C218" s="128"/>
      <c r="D218" s="128"/>
      <c r="E218" s="128"/>
      <c r="N218" s="884"/>
      <c r="P218" s="885"/>
      <c r="R218" s="64"/>
      <c r="S218" s="64"/>
      <c r="T218" s="64"/>
      <c r="U218" s="64"/>
    </row>
    <row r="219" spans="1:21" s="71" customFormat="1" hidden="1">
      <c r="A219" s="64"/>
      <c r="B219" s="884"/>
      <c r="C219" s="128"/>
      <c r="D219" s="128"/>
      <c r="E219" s="128"/>
      <c r="N219" s="884"/>
      <c r="P219" s="885"/>
      <c r="R219" s="64"/>
      <c r="S219" s="64"/>
      <c r="T219" s="64"/>
      <c r="U219" s="64"/>
    </row>
    <row r="220" spans="1:21" s="71" customFormat="1" hidden="1">
      <c r="A220" s="64"/>
      <c r="B220" s="884"/>
      <c r="C220" s="128"/>
      <c r="D220" s="128"/>
      <c r="E220" s="128"/>
      <c r="N220" s="884"/>
      <c r="P220" s="885"/>
      <c r="R220" s="64"/>
      <c r="S220" s="64"/>
      <c r="T220" s="64"/>
      <c r="U220" s="64"/>
    </row>
    <row r="221" spans="1:21" s="71" customFormat="1" hidden="1">
      <c r="A221" s="64"/>
      <c r="B221" s="884"/>
      <c r="C221" s="128"/>
      <c r="D221" s="128"/>
      <c r="E221" s="128"/>
      <c r="N221" s="884"/>
      <c r="P221" s="885"/>
      <c r="R221" s="64"/>
      <c r="S221" s="64"/>
      <c r="T221" s="64"/>
      <c r="U221" s="64"/>
    </row>
    <row r="222" spans="1:21" s="71" customFormat="1" hidden="1">
      <c r="A222" s="64"/>
      <c r="B222" s="884"/>
      <c r="C222" s="128"/>
      <c r="D222" s="128"/>
      <c r="E222" s="128"/>
      <c r="N222" s="884"/>
      <c r="P222" s="885"/>
      <c r="R222" s="64"/>
      <c r="S222" s="64"/>
      <c r="T222" s="64"/>
      <c r="U222" s="64"/>
    </row>
    <row r="223" spans="1:21" s="71" customFormat="1" hidden="1">
      <c r="A223" s="64"/>
      <c r="B223" s="884"/>
      <c r="C223" s="128"/>
      <c r="D223" s="128"/>
      <c r="E223" s="128"/>
      <c r="N223" s="884"/>
      <c r="P223" s="885"/>
      <c r="R223" s="64"/>
      <c r="S223" s="64"/>
      <c r="T223" s="64"/>
      <c r="U223" s="64"/>
    </row>
    <row r="224" spans="1:21" s="71" customFormat="1" hidden="1">
      <c r="A224" s="64"/>
      <c r="B224" s="884"/>
      <c r="C224" s="128"/>
      <c r="D224" s="128"/>
      <c r="E224" s="128"/>
      <c r="N224" s="884"/>
      <c r="P224" s="885"/>
      <c r="R224" s="64"/>
      <c r="S224" s="64"/>
      <c r="T224" s="64"/>
      <c r="U224" s="64"/>
    </row>
    <row r="225" spans="1:21" s="71" customFormat="1" hidden="1">
      <c r="A225" s="64"/>
      <c r="B225" s="884"/>
      <c r="C225" s="128"/>
      <c r="D225" s="128"/>
      <c r="E225" s="128"/>
      <c r="N225" s="884"/>
      <c r="P225" s="885"/>
      <c r="R225" s="64"/>
      <c r="S225" s="64"/>
      <c r="T225" s="64"/>
      <c r="U225" s="64"/>
    </row>
    <row r="226" spans="1:21" s="71" customFormat="1" hidden="1">
      <c r="A226" s="64"/>
      <c r="B226" s="884"/>
      <c r="C226" s="128"/>
      <c r="D226" s="128"/>
      <c r="E226" s="128"/>
      <c r="N226" s="884"/>
      <c r="P226" s="885"/>
      <c r="R226" s="64"/>
      <c r="S226" s="64"/>
      <c r="T226" s="64"/>
      <c r="U226" s="64"/>
    </row>
    <row r="227" spans="1:21" s="71" customFormat="1" hidden="1">
      <c r="A227" s="64"/>
      <c r="B227" s="884"/>
      <c r="C227" s="128"/>
      <c r="D227" s="128"/>
      <c r="E227" s="128"/>
      <c r="N227" s="884"/>
      <c r="P227" s="885"/>
      <c r="R227" s="64"/>
      <c r="S227" s="64"/>
      <c r="T227" s="64"/>
      <c r="U227" s="64"/>
    </row>
    <row r="228" spans="1:21" s="71" customFormat="1" hidden="1">
      <c r="A228" s="64"/>
      <c r="B228" s="884"/>
      <c r="C228" s="128"/>
      <c r="D228" s="128"/>
      <c r="E228" s="128"/>
      <c r="N228" s="884"/>
      <c r="P228" s="885"/>
      <c r="R228" s="64"/>
      <c r="S228" s="64"/>
      <c r="T228" s="64"/>
      <c r="U228" s="64"/>
    </row>
    <row r="229" spans="1:21" s="71" customFormat="1" hidden="1">
      <c r="A229" s="64"/>
      <c r="B229" s="884"/>
      <c r="C229" s="128"/>
      <c r="D229" s="128"/>
      <c r="E229" s="128"/>
      <c r="N229" s="884"/>
      <c r="P229" s="885"/>
      <c r="R229" s="64"/>
      <c r="S229" s="64"/>
      <c r="T229" s="64"/>
      <c r="U229" s="64"/>
    </row>
    <row r="230" spans="1:21" s="71" customFormat="1" hidden="1">
      <c r="A230" s="64"/>
      <c r="B230" s="884"/>
      <c r="C230" s="128"/>
      <c r="D230" s="128"/>
      <c r="E230" s="128"/>
      <c r="N230" s="884"/>
      <c r="P230" s="885"/>
      <c r="R230" s="64"/>
      <c r="S230" s="64"/>
      <c r="T230" s="64"/>
      <c r="U230" s="64"/>
    </row>
    <row r="231" spans="1:21" s="71" customFormat="1" hidden="1">
      <c r="A231" s="64"/>
      <c r="B231" s="884"/>
      <c r="C231" s="128"/>
      <c r="D231" s="128"/>
      <c r="E231" s="128"/>
      <c r="N231" s="884"/>
      <c r="P231" s="885"/>
      <c r="R231" s="64"/>
      <c r="S231" s="64"/>
      <c r="T231" s="64"/>
      <c r="U231" s="64"/>
    </row>
    <row r="232" spans="1:21" s="71" customFormat="1" hidden="1">
      <c r="A232" s="64"/>
      <c r="B232" s="884"/>
      <c r="C232" s="128"/>
      <c r="D232" s="128"/>
      <c r="E232" s="128"/>
      <c r="N232" s="884"/>
      <c r="P232" s="885"/>
      <c r="R232" s="64"/>
      <c r="S232" s="64"/>
      <c r="T232" s="64"/>
      <c r="U232" s="64"/>
    </row>
    <row r="233" spans="1:21" s="71" customFormat="1" hidden="1">
      <c r="A233" s="64"/>
      <c r="B233" s="884"/>
      <c r="C233" s="128"/>
      <c r="D233" s="128"/>
      <c r="E233" s="128"/>
      <c r="N233" s="884"/>
      <c r="P233" s="885"/>
      <c r="R233" s="64"/>
      <c r="S233" s="64"/>
      <c r="T233" s="64"/>
      <c r="U233" s="64"/>
    </row>
    <row r="234" spans="1:21" s="71" customFormat="1" hidden="1">
      <c r="A234" s="64"/>
      <c r="B234" s="884"/>
      <c r="C234" s="128"/>
      <c r="D234" s="128"/>
      <c r="E234" s="128"/>
      <c r="N234" s="884"/>
      <c r="P234" s="885"/>
      <c r="R234" s="64"/>
      <c r="S234" s="64"/>
      <c r="T234" s="64"/>
      <c r="U234" s="64"/>
    </row>
    <row r="235" spans="1:21" s="71" customFormat="1" hidden="1">
      <c r="A235" s="64"/>
      <c r="B235" s="884"/>
      <c r="C235" s="128"/>
      <c r="D235" s="128"/>
      <c r="E235" s="128"/>
      <c r="N235" s="884"/>
      <c r="P235" s="885"/>
      <c r="R235" s="64"/>
      <c r="S235" s="64"/>
      <c r="T235" s="64"/>
      <c r="U235" s="64"/>
    </row>
    <row r="236" spans="1:21" s="71" customFormat="1" hidden="1">
      <c r="A236" s="64"/>
      <c r="B236" s="884"/>
      <c r="C236" s="128"/>
      <c r="D236" s="128"/>
      <c r="E236" s="128"/>
      <c r="N236" s="884"/>
      <c r="P236" s="885"/>
      <c r="R236" s="64"/>
      <c r="S236" s="64"/>
      <c r="T236" s="64"/>
      <c r="U236" s="64"/>
    </row>
    <row r="237" spans="1:21" s="71" customFormat="1" hidden="1">
      <c r="A237" s="64"/>
      <c r="B237" s="884"/>
      <c r="C237" s="128"/>
      <c r="D237" s="128"/>
      <c r="E237" s="128"/>
      <c r="N237" s="884"/>
      <c r="P237" s="885"/>
      <c r="R237" s="64"/>
      <c r="S237" s="64"/>
      <c r="T237" s="64"/>
      <c r="U237" s="64"/>
    </row>
    <row r="238" spans="1:21" s="71" customFormat="1" hidden="1">
      <c r="A238" s="64"/>
      <c r="B238" s="884"/>
      <c r="C238" s="128"/>
      <c r="D238" s="128"/>
      <c r="E238" s="128"/>
      <c r="N238" s="884"/>
      <c r="P238" s="885"/>
      <c r="R238" s="64"/>
      <c r="S238" s="64"/>
      <c r="T238" s="64"/>
      <c r="U238" s="64"/>
    </row>
    <row r="239" spans="1:21" s="71" customFormat="1" hidden="1">
      <c r="A239" s="64"/>
      <c r="B239" s="884"/>
      <c r="C239" s="128"/>
      <c r="D239" s="128"/>
      <c r="E239" s="128"/>
      <c r="N239" s="884"/>
      <c r="P239" s="885"/>
      <c r="R239" s="64"/>
      <c r="S239" s="64"/>
      <c r="T239" s="64"/>
      <c r="U239" s="64"/>
    </row>
    <row r="240" spans="1:21" s="71" customFormat="1" hidden="1">
      <c r="A240" s="64"/>
      <c r="B240" s="884"/>
      <c r="C240" s="128"/>
      <c r="D240" s="128"/>
      <c r="E240" s="128"/>
      <c r="N240" s="884"/>
      <c r="P240" s="885"/>
      <c r="R240" s="64"/>
      <c r="S240" s="64"/>
      <c r="T240" s="64"/>
      <c r="U240" s="64"/>
    </row>
    <row r="241" spans="1:21" s="71" customFormat="1" hidden="1">
      <c r="A241" s="64"/>
      <c r="B241" s="884"/>
      <c r="C241" s="128"/>
      <c r="D241" s="128"/>
      <c r="E241" s="128"/>
      <c r="N241" s="884"/>
      <c r="P241" s="885"/>
      <c r="R241" s="64"/>
      <c r="S241" s="64"/>
      <c r="T241" s="64"/>
      <c r="U241" s="64"/>
    </row>
    <row r="242" spans="1:21" s="71" customFormat="1" hidden="1">
      <c r="A242" s="64"/>
      <c r="B242" s="884"/>
      <c r="C242" s="128"/>
      <c r="D242" s="128"/>
      <c r="E242" s="128"/>
      <c r="N242" s="884"/>
      <c r="P242" s="885"/>
      <c r="R242" s="64"/>
      <c r="S242" s="64"/>
      <c r="T242" s="64"/>
      <c r="U242" s="64"/>
    </row>
    <row r="243" spans="1:21" s="71" customFormat="1" hidden="1">
      <c r="A243" s="64"/>
      <c r="B243" s="884"/>
      <c r="C243" s="128"/>
      <c r="D243" s="128"/>
      <c r="E243" s="128"/>
      <c r="N243" s="884"/>
      <c r="P243" s="885"/>
      <c r="R243" s="64"/>
      <c r="S243" s="64"/>
      <c r="T243" s="64"/>
      <c r="U243" s="64"/>
    </row>
    <row r="244" spans="1:21" s="71" customFormat="1" hidden="1">
      <c r="A244" s="64"/>
      <c r="B244" s="884"/>
      <c r="C244" s="128"/>
      <c r="D244" s="128"/>
      <c r="E244" s="128"/>
      <c r="N244" s="884"/>
      <c r="P244" s="885"/>
      <c r="R244" s="64"/>
      <c r="S244" s="64"/>
      <c r="T244" s="64"/>
      <c r="U244" s="64"/>
    </row>
    <row r="245" spans="1:21" s="71" customFormat="1" hidden="1">
      <c r="A245" s="64"/>
      <c r="B245" s="884"/>
      <c r="C245" s="128"/>
      <c r="D245" s="128"/>
      <c r="E245" s="128"/>
      <c r="N245" s="884"/>
      <c r="P245" s="885"/>
      <c r="R245" s="64"/>
      <c r="S245" s="64"/>
      <c r="T245" s="64"/>
      <c r="U245" s="64"/>
    </row>
    <row r="246" spans="1:21" s="71" customFormat="1" hidden="1">
      <c r="A246" s="64"/>
      <c r="B246" s="884"/>
      <c r="C246" s="128"/>
      <c r="D246" s="128"/>
      <c r="E246" s="128"/>
      <c r="N246" s="884"/>
      <c r="P246" s="885"/>
      <c r="R246" s="64"/>
      <c r="S246" s="64"/>
      <c r="T246" s="64"/>
      <c r="U246" s="64"/>
    </row>
    <row r="247" spans="1:21" s="71" customFormat="1" hidden="1">
      <c r="A247" s="64"/>
      <c r="B247" s="884"/>
      <c r="C247" s="128"/>
      <c r="D247" s="128"/>
      <c r="E247" s="128"/>
      <c r="N247" s="884"/>
      <c r="P247" s="885"/>
      <c r="R247" s="64"/>
      <c r="S247" s="64"/>
      <c r="T247" s="64"/>
      <c r="U247" s="64"/>
    </row>
    <row r="248" spans="1:21" s="71" customFormat="1" hidden="1">
      <c r="A248" s="64"/>
      <c r="B248" s="884"/>
      <c r="C248" s="128"/>
      <c r="D248" s="128"/>
      <c r="E248" s="128"/>
      <c r="N248" s="884"/>
      <c r="P248" s="885"/>
      <c r="R248" s="64"/>
      <c r="S248" s="64"/>
      <c r="T248" s="64"/>
      <c r="U248" s="64"/>
    </row>
    <row r="249" spans="1:21" s="71" customFormat="1" hidden="1">
      <c r="A249" s="64"/>
      <c r="B249" s="884"/>
      <c r="C249" s="128"/>
      <c r="D249" s="128"/>
      <c r="E249" s="128"/>
      <c r="N249" s="884"/>
      <c r="P249" s="885"/>
      <c r="R249" s="64"/>
      <c r="S249" s="64"/>
      <c r="T249" s="64"/>
      <c r="U249" s="64"/>
    </row>
    <row r="250" spans="1:21" s="71" customFormat="1" hidden="1">
      <c r="A250" s="64"/>
      <c r="B250" s="884"/>
      <c r="C250" s="128"/>
      <c r="D250" s="128"/>
      <c r="E250" s="128"/>
      <c r="N250" s="884"/>
      <c r="P250" s="885"/>
      <c r="R250" s="64"/>
      <c r="S250" s="64"/>
      <c r="T250" s="64"/>
      <c r="U250" s="64"/>
    </row>
    <row r="251" spans="1:21" s="71" customFormat="1" hidden="1">
      <c r="A251" s="64"/>
      <c r="B251" s="884"/>
      <c r="C251" s="128"/>
      <c r="D251" s="128"/>
      <c r="E251" s="128"/>
      <c r="N251" s="884"/>
      <c r="P251" s="885"/>
      <c r="R251" s="64"/>
      <c r="S251" s="64"/>
      <c r="T251" s="64"/>
      <c r="U251" s="64"/>
    </row>
    <row r="252" spans="1:21" s="71" customFormat="1" hidden="1">
      <c r="A252" s="64"/>
      <c r="B252" s="884"/>
      <c r="C252" s="128"/>
      <c r="D252" s="128"/>
      <c r="E252" s="128"/>
      <c r="N252" s="884"/>
      <c r="P252" s="885"/>
      <c r="R252" s="64"/>
      <c r="S252" s="64"/>
      <c r="T252" s="64"/>
      <c r="U252" s="64"/>
    </row>
    <row r="253" spans="1:21" s="71" customFormat="1" hidden="1">
      <c r="A253" s="64"/>
      <c r="B253" s="884"/>
      <c r="C253" s="128"/>
      <c r="D253" s="128"/>
      <c r="E253" s="128"/>
      <c r="N253" s="884"/>
      <c r="P253" s="885"/>
      <c r="R253" s="64"/>
      <c r="S253" s="64"/>
      <c r="T253" s="64"/>
      <c r="U253" s="64"/>
    </row>
    <row r="254" spans="1:21" s="71" customFormat="1" hidden="1">
      <c r="A254" s="64"/>
      <c r="B254" s="884"/>
      <c r="C254" s="128"/>
      <c r="D254" s="128"/>
      <c r="E254" s="128"/>
      <c r="N254" s="884"/>
      <c r="P254" s="885"/>
      <c r="R254" s="64"/>
      <c r="S254" s="64"/>
      <c r="T254" s="64"/>
      <c r="U254" s="64"/>
    </row>
    <row r="255" spans="1:21" s="71" customFormat="1" hidden="1">
      <c r="A255" s="64"/>
      <c r="B255" s="884"/>
      <c r="C255" s="128"/>
      <c r="D255" s="128"/>
      <c r="E255" s="128"/>
      <c r="N255" s="884"/>
      <c r="P255" s="885"/>
      <c r="R255" s="64"/>
      <c r="S255" s="64"/>
      <c r="T255" s="64"/>
      <c r="U255" s="64"/>
    </row>
    <row r="256" spans="1:21" s="71" customFormat="1" hidden="1">
      <c r="A256" s="64"/>
      <c r="B256" s="884"/>
      <c r="C256" s="128"/>
      <c r="D256" s="128"/>
      <c r="E256" s="128"/>
      <c r="N256" s="884"/>
      <c r="P256" s="885"/>
      <c r="R256" s="64"/>
      <c r="S256" s="64"/>
      <c r="T256" s="64"/>
      <c r="U256" s="64"/>
    </row>
    <row r="257" spans="1:21" s="71" customFormat="1" hidden="1">
      <c r="A257" s="64"/>
      <c r="B257" s="884"/>
      <c r="C257" s="128"/>
      <c r="D257" s="128"/>
      <c r="E257" s="128"/>
      <c r="N257" s="884"/>
      <c r="P257" s="885"/>
      <c r="R257" s="64"/>
      <c r="S257" s="64"/>
      <c r="T257" s="64"/>
      <c r="U257" s="64"/>
    </row>
    <row r="258" spans="1:21" s="71" customFormat="1" hidden="1">
      <c r="A258" s="64"/>
      <c r="B258" s="884"/>
      <c r="C258" s="128"/>
      <c r="D258" s="128"/>
      <c r="E258" s="128"/>
      <c r="N258" s="884"/>
      <c r="P258" s="885"/>
      <c r="R258" s="64"/>
      <c r="S258" s="64"/>
      <c r="T258" s="64"/>
      <c r="U258" s="64"/>
    </row>
    <row r="259" spans="1:21" s="71" customFormat="1" hidden="1">
      <c r="A259" s="64"/>
      <c r="B259" s="884"/>
      <c r="C259" s="128"/>
      <c r="D259" s="128"/>
      <c r="E259" s="128"/>
      <c r="N259" s="884"/>
      <c r="P259" s="885"/>
      <c r="R259" s="64"/>
      <c r="S259" s="64"/>
      <c r="T259" s="64"/>
      <c r="U259" s="64"/>
    </row>
    <row r="260" spans="1:21" s="71" customFormat="1" hidden="1">
      <c r="A260" s="64"/>
      <c r="B260" s="884"/>
      <c r="C260" s="128"/>
      <c r="D260" s="128"/>
      <c r="E260" s="128"/>
      <c r="N260" s="884"/>
      <c r="P260" s="885"/>
      <c r="R260" s="64"/>
      <c r="S260" s="64"/>
      <c r="T260" s="64"/>
      <c r="U260" s="64"/>
    </row>
    <row r="261" spans="1:21" s="71" customFormat="1" hidden="1">
      <c r="A261" s="64"/>
      <c r="B261" s="884"/>
      <c r="C261" s="128"/>
      <c r="D261" s="128"/>
      <c r="E261" s="128"/>
      <c r="N261" s="884"/>
      <c r="P261" s="885"/>
      <c r="R261" s="64"/>
      <c r="S261" s="64"/>
      <c r="T261" s="64"/>
      <c r="U261" s="64"/>
    </row>
    <row r="262" spans="1:21" s="71" customFormat="1" hidden="1">
      <c r="A262" s="64"/>
      <c r="B262" s="884"/>
      <c r="C262" s="128"/>
      <c r="D262" s="128"/>
      <c r="E262" s="128"/>
      <c r="N262" s="884"/>
      <c r="P262" s="885"/>
      <c r="R262" s="64"/>
      <c r="S262" s="64"/>
      <c r="T262" s="64"/>
      <c r="U262" s="64"/>
    </row>
    <row r="263" spans="1:21" s="71" customFormat="1" hidden="1">
      <c r="A263" s="64"/>
      <c r="B263" s="884"/>
      <c r="C263" s="128"/>
      <c r="D263" s="128"/>
      <c r="E263" s="128"/>
      <c r="N263" s="884"/>
      <c r="P263" s="885"/>
      <c r="R263" s="64"/>
      <c r="S263" s="64"/>
      <c r="T263" s="64"/>
      <c r="U263" s="64"/>
    </row>
    <row r="264" spans="1:21" s="71" customFormat="1" hidden="1">
      <c r="A264" s="64"/>
      <c r="B264" s="884"/>
      <c r="C264" s="128"/>
      <c r="D264" s="128"/>
      <c r="E264" s="128"/>
      <c r="N264" s="884"/>
      <c r="P264" s="885"/>
      <c r="R264" s="64"/>
      <c r="S264" s="64"/>
      <c r="T264" s="64"/>
      <c r="U264" s="64"/>
    </row>
    <row r="265" spans="1:21" s="71" customFormat="1" hidden="1">
      <c r="A265" s="64"/>
      <c r="B265" s="884"/>
      <c r="C265" s="128"/>
      <c r="D265" s="128"/>
      <c r="E265" s="128"/>
      <c r="N265" s="884"/>
      <c r="P265" s="885"/>
      <c r="R265" s="64"/>
      <c r="S265" s="64"/>
      <c r="T265" s="64"/>
      <c r="U265" s="64"/>
    </row>
    <row r="266" spans="1:21" s="71" customFormat="1" hidden="1">
      <c r="A266" s="64"/>
      <c r="B266" s="884"/>
      <c r="C266" s="128"/>
      <c r="D266" s="128"/>
      <c r="E266" s="128"/>
      <c r="N266" s="884"/>
      <c r="P266" s="885"/>
      <c r="R266" s="64"/>
      <c r="S266" s="64"/>
      <c r="T266" s="64"/>
      <c r="U266" s="64"/>
    </row>
    <row r="267" spans="1:21" s="71" customFormat="1" hidden="1">
      <c r="A267" s="64"/>
      <c r="B267" s="884"/>
      <c r="C267" s="128"/>
      <c r="D267" s="128"/>
      <c r="E267" s="128"/>
      <c r="N267" s="884"/>
      <c r="P267" s="885"/>
      <c r="R267" s="64"/>
      <c r="S267" s="64"/>
      <c r="T267" s="64"/>
      <c r="U267" s="64"/>
    </row>
    <row r="268" spans="1:21" s="71" customFormat="1" hidden="1">
      <c r="A268" s="64"/>
      <c r="B268" s="884"/>
      <c r="C268" s="128"/>
      <c r="D268" s="128"/>
      <c r="E268" s="128"/>
      <c r="N268" s="884"/>
      <c r="P268" s="885"/>
      <c r="R268" s="64"/>
      <c r="S268" s="64"/>
      <c r="T268" s="64"/>
      <c r="U268" s="64"/>
    </row>
    <row r="269" spans="1:21" s="71" customFormat="1" hidden="1">
      <c r="A269" s="64"/>
      <c r="B269" s="884"/>
      <c r="C269" s="128"/>
      <c r="D269" s="128"/>
      <c r="E269" s="128"/>
      <c r="N269" s="884"/>
      <c r="P269" s="885"/>
      <c r="R269" s="64"/>
      <c r="S269" s="64"/>
      <c r="T269" s="64"/>
      <c r="U269" s="64"/>
    </row>
    <row r="270" spans="1:21" s="71" customFormat="1" hidden="1">
      <c r="A270" s="64"/>
      <c r="B270" s="884"/>
      <c r="C270" s="128"/>
      <c r="D270" s="128"/>
      <c r="E270" s="128"/>
      <c r="N270" s="884"/>
      <c r="P270" s="885"/>
      <c r="R270" s="64"/>
      <c r="S270" s="64"/>
      <c r="T270" s="64"/>
      <c r="U270" s="64"/>
    </row>
    <row r="271" spans="1:21" s="71" customFormat="1" hidden="1">
      <c r="A271" s="64"/>
      <c r="B271" s="884"/>
      <c r="C271" s="128"/>
      <c r="D271" s="128"/>
      <c r="E271" s="128"/>
      <c r="N271" s="884"/>
      <c r="P271" s="885"/>
      <c r="R271" s="64"/>
      <c r="S271" s="64"/>
      <c r="T271" s="64"/>
      <c r="U271" s="64"/>
    </row>
    <row r="272" spans="1:21" s="71" customFormat="1" hidden="1">
      <c r="A272" s="64"/>
      <c r="B272" s="884"/>
      <c r="C272" s="128"/>
      <c r="D272" s="128"/>
      <c r="E272" s="128"/>
      <c r="N272" s="884"/>
      <c r="P272" s="885"/>
      <c r="R272" s="64"/>
      <c r="S272" s="64"/>
      <c r="T272" s="64"/>
      <c r="U272" s="64"/>
    </row>
    <row r="273" spans="1:21" s="71" customFormat="1" hidden="1">
      <c r="A273" s="64"/>
      <c r="B273" s="884"/>
      <c r="C273" s="128"/>
      <c r="D273" s="128"/>
      <c r="E273" s="128"/>
      <c r="N273" s="884"/>
      <c r="P273" s="885"/>
      <c r="R273" s="64"/>
      <c r="S273" s="64"/>
      <c r="T273" s="64"/>
      <c r="U273" s="64"/>
    </row>
    <row r="274" spans="1:21" s="71" customFormat="1" hidden="1">
      <c r="A274" s="64"/>
      <c r="B274" s="884"/>
      <c r="C274" s="128"/>
      <c r="D274" s="128"/>
      <c r="E274" s="128"/>
      <c r="N274" s="884"/>
      <c r="P274" s="885"/>
      <c r="R274" s="64"/>
      <c r="S274" s="64"/>
      <c r="T274" s="64"/>
      <c r="U274" s="64"/>
    </row>
    <row r="275" spans="1:21" s="71" customFormat="1" hidden="1">
      <c r="A275" s="64"/>
      <c r="B275" s="884"/>
      <c r="C275" s="128"/>
      <c r="D275" s="128"/>
      <c r="E275" s="128"/>
      <c r="N275" s="884"/>
      <c r="P275" s="885"/>
      <c r="R275" s="64"/>
      <c r="S275" s="64"/>
      <c r="T275" s="64"/>
      <c r="U275" s="64"/>
    </row>
    <row r="276" spans="1:21" s="71" customFormat="1" hidden="1">
      <c r="A276" s="64"/>
      <c r="B276" s="884"/>
      <c r="C276" s="128"/>
      <c r="D276" s="128"/>
      <c r="E276" s="128"/>
      <c r="N276" s="884"/>
      <c r="P276" s="885"/>
      <c r="R276" s="64"/>
      <c r="S276" s="64"/>
      <c r="T276" s="64"/>
      <c r="U276" s="64"/>
    </row>
    <row r="277" spans="1:21" s="71" customFormat="1" hidden="1">
      <c r="A277" s="64"/>
      <c r="B277" s="884"/>
      <c r="C277" s="128"/>
      <c r="D277" s="128"/>
      <c r="E277" s="128"/>
      <c r="N277" s="884"/>
      <c r="P277" s="885"/>
      <c r="R277" s="64"/>
      <c r="S277" s="64"/>
      <c r="T277" s="64"/>
      <c r="U277" s="64"/>
    </row>
    <row r="278" spans="1:21" s="71" customFormat="1" hidden="1">
      <c r="A278" s="64"/>
      <c r="B278" s="884"/>
      <c r="C278" s="128"/>
      <c r="D278" s="128"/>
      <c r="E278" s="128"/>
      <c r="N278" s="884"/>
      <c r="P278" s="885"/>
      <c r="R278" s="64"/>
      <c r="S278" s="64"/>
      <c r="T278" s="64"/>
      <c r="U278" s="64"/>
    </row>
    <row r="279" spans="1:21" s="71" customFormat="1" hidden="1">
      <c r="A279" s="64"/>
      <c r="B279" s="884"/>
      <c r="C279" s="128"/>
      <c r="D279" s="128"/>
      <c r="E279" s="128"/>
      <c r="N279" s="884"/>
      <c r="P279" s="885"/>
      <c r="R279" s="64"/>
      <c r="S279" s="64"/>
      <c r="T279" s="64"/>
      <c r="U279" s="64"/>
    </row>
    <row r="280" spans="1:21" s="71" customFormat="1" hidden="1">
      <c r="A280" s="64"/>
      <c r="B280" s="884"/>
      <c r="C280" s="128"/>
      <c r="D280" s="128"/>
      <c r="E280" s="128"/>
      <c r="N280" s="884"/>
      <c r="P280" s="885"/>
      <c r="R280" s="64"/>
      <c r="S280" s="64"/>
      <c r="T280" s="64"/>
      <c r="U280" s="64"/>
    </row>
    <row r="281" spans="1:21" s="71" customFormat="1" hidden="1">
      <c r="A281" s="64"/>
      <c r="B281" s="884"/>
      <c r="C281" s="128"/>
      <c r="D281" s="128"/>
      <c r="E281" s="128"/>
      <c r="N281" s="884"/>
      <c r="P281" s="885"/>
      <c r="R281" s="64"/>
      <c r="S281" s="64"/>
      <c r="T281" s="64"/>
      <c r="U281" s="64"/>
    </row>
    <row r="282" spans="1:21" s="71" customFormat="1" hidden="1">
      <c r="A282" s="64"/>
      <c r="B282" s="884"/>
      <c r="C282" s="128"/>
      <c r="D282" s="128"/>
      <c r="E282" s="128"/>
      <c r="N282" s="884"/>
      <c r="P282" s="885"/>
      <c r="R282" s="64"/>
      <c r="S282" s="64"/>
      <c r="T282" s="64"/>
      <c r="U282" s="64"/>
    </row>
    <row r="283" spans="1:21" s="71" customFormat="1" hidden="1">
      <c r="A283" s="64"/>
      <c r="B283" s="884"/>
      <c r="C283" s="128"/>
      <c r="D283" s="128"/>
      <c r="E283" s="128"/>
      <c r="N283" s="884"/>
      <c r="P283" s="885"/>
      <c r="R283" s="64"/>
      <c r="S283" s="64"/>
      <c r="T283" s="64"/>
      <c r="U283" s="64"/>
    </row>
    <row r="284" spans="1:21" s="71" customFormat="1" hidden="1">
      <c r="A284" s="64"/>
      <c r="B284" s="884"/>
      <c r="C284" s="128"/>
      <c r="D284" s="128"/>
      <c r="E284" s="128"/>
      <c r="N284" s="884"/>
      <c r="P284" s="885"/>
      <c r="R284" s="64"/>
      <c r="S284" s="64"/>
      <c r="T284" s="64"/>
      <c r="U284" s="64"/>
    </row>
    <row r="285" spans="1:21" s="71" customFormat="1" hidden="1">
      <c r="A285" s="64"/>
      <c r="B285" s="884"/>
      <c r="C285" s="128"/>
      <c r="D285" s="128"/>
      <c r="E285" s="128"/>
      <c r="N285" s="884"/>
      <c r="P285" s="885"/>
      <c r="R285" s="64"/>
      <c r="S285" s="64"/>
      <c r="T285" s="64"/>
      <c r="U285" s="64"/>
    </row>
    <row r="286" spans="1:21" s="71" customFormat="1" hidden="1">
      <c r="A286" s="64"/>
      <c r="B286" s="884"/>
      <c r="C286" s="128"/>
      <c r="D286" s="128"/>
      <c r="E286" s="128"/>
      <c r="N286" s="884"/>
      <c r="P286" s="885"/>
      <c r="R286" s="64"/>
      <c r="S286" s="64"/>
      <c r="T286" s="64"/>
      <c r="U286" s="64"/>
    </row>
    <row r="287" spans="1:21" s="71" customFormat="1" hidden="1">
      <c r="A287" s="64"/>
      <c r="B287" s="884"/>
      <c r="C287" s="128"/>
      <c r="D287" s="128"/>
      <c r="E287" s="128"/>
      <c r="N287" s="884"/>
      <c r="P287" s="885"/>
      <c r="R287" s="64"/>
      <c r="S287" s="64"/>
      <c r="T287" s="64"/>
      <c r="U287" s="64"/>
    </row>
    <row r="288" spans="1:21" s="71" customFormat="1" hidden="1">
      <c r="A288" s="64"/>
      <c r="B288" s="884"/>
      <c r="C288" s="128"/>
      <c r="D288" s="128"/>
      <c r="E288" s="128"/>
      <c r="N288" s="884"/>
      <c r="P288" s="885"/>
      <c r="R288" s="64"/>
      <c r="S288" s="64"/>
      <c r="T288" s="64"/>
      <c r="U288" s="64"/>
    </row>
    <row r="289" spans="1:21" s="71" customFormat="1" hidden="1">
      <c r="A289" s="64"/>
      <c r="B289" s="884"/>
      <c r="C289" s="128"/>
      <c r="D289" s="128"/>
      <c r="E289" s="128"/>
      <c r="N289" s="884"/>
      <c r="P289" s="885"/>
      <c r="R289" s="64"/>
      <c r="S289" s="64"/>
      <c r="T289" s="64"/>
      <c r="U289" s="64"/>
    </row>
    <row r="290" spans="1:21" s="71" customFormat="1" hidden="1">
      <c r="A290" s="64"/>
      <c r="B290" s="884"/>
      <c r="C290" s="128"/>
      <c r="D290" s="128"/>
      <c r="E290" s="128"/>
      <c r="N290" s="884"/>
      <c r="P290" s="885"/>
      <c r="R290" s="64"/>
      <c r="S290" s="64"/>
      <c r="T290" s="64"/>
      <c r="U290" s="64"/>
    </row>
    <row r="291" spans="1:21" s="71" customFormat="1" hidden="1">
      <c r="A291" s="64"/>
      <c r="B291" s="884"/>
      <c r="C291" s="128"/>
      <c r="D291" s="128"/>
      <c r="E291" s="128"/>
      <c r="N291" s="884"/>
      <c r="P291" s="885"/>
      <c r="R291" s="64"/>
      <c r="S291" s="64"/>
      <c r="T291" s="64"/>
      <c r="U291" s="64"/>
    </row>
    <row r="292" spans="1:21" s="71" customFormat="1" hidden="1">
      <c r="A292" s="64"/>
      <c r="B292" s="884"/>
      <c r="C292" s="128"/>
      <c r="D292" s="128"/>
      <c r="E292" s="128"/>
      <c r="N292" s="884"/>
      <c r="P292" s="885"/>
      <c r="R292" s="64"/>
      <c r="S292" s="64"/>
      <c r="T292" s="64"/>
      <c r="U292" s="64"/>
    </row>
    <row r="293" spans="1:21" s="71" customFormat="1" hidden="1">
      <c r="A293" s="64"/>
      <c r="B293" s="884"/>
      <c r="C293" s="128"/>
      <c r="D293" s="128"/>
      <c r="E293" s="128"/>
      <c r="N293" s="884"/>
      <c r="P293" s="885"/>
      <c r="R293" s="64"/>
      <c r="S293" s="64"/>
      <c r="T293" s="64"/>
      <c r="U293" s="64"/>
    </row>
    <row r="294" spans="1:21" s="71" customFormat="1" hidden="1">
      <c r="A294" s="64"/>
      <c r="B294" s="884"/>
      <c r="C294" s="128"/>
      <c r="D294" s="128"/>
      <c r="E294" s="128"/>
      <c r="N294" s="884"/>
      <c r="P294" s="885"/>
      <c r="R294" s="64"/>
      <c r="S294" s="64"/>
      <c r="T294" s="64"/>
      <c r="U294" s="64"/>
    </row>
    <row r="295" spans="1:21" s="71" customFormat="1" hidden="1">
      <c r="A295" s="64"/>
      <c r="B295" s="884"/>
      <c r="C295" s="128"/>
      <c r="D295" s="128"/>
      <c r="E295" s="128"/>
      <c r="N295" s="884"/>
      <c r="P295" s="885"/>
      <c r="R295" s="64"/>
      <c r="S295" s="64"/>
      <c r="T295" s="64"/>
      <c r="U295" s="64"/>
    </row>
    <row r="296" spans="1:21" s="71" customFormat="1" hidden="1">
      <c r="A296" s="64"/>
      <c r="B296" s="884"/>
      <c r="C296" s="128"/>
      <c r="D296" s="128"/>
      <c r="E296" s="128"/>
      <c r="N296" s="884"/>
      <c r="P296" s="885"/>
      <c r="R296" s="64"/>
      <c r="S296" s="64"/>
      <c r="T296" s="64"/>
      <c r="U296" s="64"/>
    </row>
    <row r="297" spans="1:21" s="71" customFormat="1" hidden="1">
      <c r="A297" s="64"/>
      <c r="B297" s="884"/>
      <c r="C297" s="128"/>
      <c r="D297" s="128"/>
      <c r="E297" s="128"/>
      <c r="N297" s="884"/>
      <c r="P297" s="885"/>
      <c r="R297" s="64"/>
      <c r="S297" s="64"/>
      <c r="T297" s="64"/>
      <c r="U297" s="64"/>
    </row>
    <row r="298" spans="1:21" s="71" customFormat="1" hidden="1">
      <c r="A298" s="64"/>
      <c r="B298" s="884"/>
      <c r="C298" s="128"/>
      <c r="D298" s="128"/>
      <c r="E298" s="128"/>
      <c r="N298" s="884"/>
      <c r="P298" s="885"/>
      <c r="R298" s="64"/>
      <c r="S298" s="64"/>
      <c r="T298" s="64"/>
      <c r="U298" s="64"/>
    </row>
    <row r="299" spans="1:21" s="71" customFormat="1" hidden="1">
      <c r="A299" s="64"/>
      <c r="B299" s="884"/>
      <c r="C299" s="128"/>
      <c r="D299" s="128"/>
      <c r="E299" s="128"/>
      <c r="N299" s="884"/>
      <c r="P299" s="885"/>
      <c r="R299" s="64"/>
      <c r="S299" s="64"/>
      <c r="T299" s="64"/>
      <c r="U299" s="64"/>
    </row>
    <row r="300" spans="1:21" s="71" customFormat="1" hidden="1">
      <c r="A300" s="64"/>
      <c r="B300" s="884"/>
      <c r="C300" s="128"/>
      <c r="D300" s="128"/>
      <c r="E300" s="128"/>
      <c r="N300" s="884"/>
      <c r="P300" s="885"/>
      <c r="R300" s="64"/>
      <c r="S300" s="64"/>
      <c r="T300" s="64"/>
      <c r="U300" s="64"/>
    </row>
    <row r="301" spans="1:21" s="71" customFormat="1" hidden="1">
      <c r="A301" s="64"/>
      <c r="B301" s="884"/>
      <c r="C301" s="128"/>
      <c r="D301" s="128"/>
      <c r="E301" s="128"/>
      <c r="N301" s="884"/>
      <c r="P301" s="885"/>
      <c r="R301" s="64"/>
      <c r="S301" s="64"/>
      <c r="T301" s="64"/>
      <c r="U301" s="64"/>
    </row>
    <row r="302" spans="1:21" s="71" customFormat="1" hidden="1">
      <c r="A302" s="64"/>
      <c r="B302" s="884"/>
      <c r="C302" s="128"/>
      <c r="D302" s="128"/>
      <c r="E302" s="128"/>
      <c r="N302" s="884"/>
      <c r="P302" s="885"/>
      <c r="R302" s="64"/>
      <c r="S302" s="64"/>
      <c r="T302" s="64"/>
      <c r="U302" s="64"/>
    </row>
    <row r="303" spans="1:21" s="71" customFormat="1" hidden="1">
      <c r="A303" s="64"/>
      <c r="B303" s="884"/>
      <c r="C303" s="128"/>
      <c r="D303" s="128"/>
      <c r="E303" s="128"/>
      <c r="N303" s="884"/>
      <c r="P303" s="885"/>
      <c r="R303" s="64"/>
      <c r="S303" s="64"/>
      <c r="T303" s="64"/>
      <c r="U303" s="64"/>
    </row>
    <row r="304" spans="1:21" s="71" customFormat="1" hidden="1">
      <c r="A304" s="64"/>
      <c r="B304" s="884"/>
      <c r="C304" s="128"/>
      <c r="D304" s="128"/>
      <c r="E304" s="128"/>
      <c r="N304" s="884"/>
      <c r="P304" s="885"/>
      <c r="R304" s="64"/>
      <c r="S304" s="64"/>
      <c r="T304" s="64"/>
      <c r="U304" s="64"/>
    </row>
    <row r="305" spans="1:21" s="71" customFormat="1" hidden="1">
      <c r="A305" s="64"/>
      <c r="B305" s="884"/>
      <c r="C305" s="128"/>
      <c r="D305" s="128"/>
      <c r="E305" s="128"/>
      <c r="N305" s="884"/>
      <c r="P305" s="885"/>
      <c r="R305" s="64"/>
      <c r="S305" s="64"/>
      <c r="T305" s="64"/>
      <c r="U305" s="64"/>
    </row>
    <row r="306" spans="1:21" s="71" customFormat="1" hidden="1">
      <c r="A306" s="64"/>
      <c r="B306" s="884"/>
      <c r="C306" s="128"/>
      <c r="D306" s="128"/>
      <c r="E306" s="128"/>
      <c r="N306" s="884"/>
      <c r="P306" s="885"/>
      <c r="R306" s="64"/>
      <c r="S306" s="64"/>
      <c r="T306" s="64"/>
      <c r="U306" s="64"/>
    </row>
    <row r="307" spans="1:21" s="71" customFormat="1" hidden="1">
      <c r="A307" s="64"/>
      <c r="B307" s="884"/>
      <c r="C307" s="128"/>
      <c r="D307" s="128"/>
      <c r="E307" s="128"/>
      <c r="N307" s="884"/>
      <c r="P307" s="885"/>
      <c r="R307" s="64"/>
      <c r="S307" s="64"/>
      <c r="T307" s="64"/>
      <c r="U307" s="64"/>
    </row>
    <row r="308" spans="1:21" s="71" customFormat="1" hidden="1">
      <c r="A308" s="64"/>
      <c r="B308" s="884"/>
      <c r="C308" s="128"/>
      <c r="D308" s="128"/>
      <c r="E308" s="128"/>
      <c r="N308" s="884"/>
      <c r="P308" s="885"/>
      <c r="R308" s="64"/>
      <c r="S308" s="64"/>
      <c r="T308" s="64"/>
      <c r="U308" s="64"/>
    </row>
    <row r="309" spans="1:21" s="71" customFormat="1" hidden="1">
      <c r="A309" s="64"/>
      <c r="B309" s="884"/>
      <c r="C309" s="128"/>
      <c r="D309" s="128"/>
      <c r="E309" s="128"/>
      <c r="N309" s="884"/>
      <c r="P309" s="885"/>
      <c r="R309" s="64"/>
      <c r="S309" s="64"/>
      <c r="T309" s="64"/>
      <c r="U309" s="64"/>
    </row>
    <row r="310" spans="1:21" s="71" customFormat="1" hidden="1">
      <c r="A310" s="64"/>
      <c r="B310" s="884"/>
      <c r="C310" s="128"/>
      <c r="D310" s="128"/>
      <c r="E310" s="128"/>
      <c r="N310" s="884"/>
      <c r="P310" s="885"/>
      <c r="R310" s="64"/>
      <c r="S310" s="64"/>
      <c r="T310" s="64"/>
      <c r="U310" s="64"/>
    </row>
    <row r="311" spans="1:21" s="71" customFormat="1" hidden="1">
      <c r="A311" s="64"/>
      <c r="B311" s="884"/>
      <c r="C311" s="128"/>
      <c r="D311" s="128"/>
      <c r="E311" s="128"/>
      <c r="N311" s="884"/>
      <c r="P311" s="885"/>
      <c r="R311" s="64"/>
      <c r="S311" s="64"/>
      <c r="T311" s="64"/>
      <c r="U311" s="64"/>
    </row>
    <row r="312" spans="1:21" s="71" customFormat="1" hidden="1">
      <c r="A312" s="64"/>
      <c r="B312" s="884"/>
      <c r="C312" s="128"/>
      <c r="D312" s="128"/>
      <c r="E312" s="128"/>
      <c r="N312" s="884"/>
      <c r="P312" s="885"/>
      <c r="R312" s="64"/>
      <c r="S312" s="64"/>
      <c r="T312" s="64"/>
      <c r="U312" s="64"/>
    </row>
    <row r="313" spans="1:21" s="71" customFormat="1" hidden="1">
      <c r="A313" s="64"/>
      <c r="B313" s="884"/>
      <c r="C313" s="128"/>
      <c r="D313" s="128"/>
      <c r="E313" s="128"/>
      <c r="N313" s="884"/>
      <c r="P313" s="885"/>
      <c r="R313" s="64"/>
      <c r="S313" s="64"/>
      <c r="T313" s="64"/>
      <c r="U313" s="64"/>
    </row>
    <row r="314" spans="1:21" s="71" customFormat="1" hidden="1">
      <c r="A314" s="64"/>
      <c r="B314" s="884"/>
      <c r="C314" s="128"/>
      <c r="D314" s="128"/>
      <c r="E314" s="128"/>
      <c r="N314" s="884"/>
      <c r="P314" s="885"/>
      <c r="R314" s="64"/>
      <c r="S314" s="64"/>
      <c r="T314" s="64"/>
      <c r="U314" s="64"/>
    </row>
    <row r="315" spans="1:21" s="71" customFormat="1" hidden="1">
      <c r="A315" s="64"/>
      <c r="B315" s="884"/>
      <c r="C315" s="128"/>
      <c r="D315" s="128"/>
      <c r="E315" s="128"/>
      <c r="N315" s="884"/>
      <c r="P315" s="885"/>
      <c r="R315" s="64"/>
      <c r="S315" s="64"/>
      <c r="T315" s="64"/>
      <c r="U315" s="64"/>
    </row>
    <row r="316" spans="1:21" s="71" customFormat="1" hidden="1">
      <c r="A316" s="64"/>
      <c r="B316" s="884"/>
      <c r="C316" s="128"/>
      <c r="D316" s="128"/>
      <c r="E316" s="128"/>
      <c r="N316" s="884"/>
      <c r="P316" s="885"/>
      <c r="R316" s="64"/>
      <c r="S316" s="64"/>
      <c r="T316" s="64"/>
      <c r="U316" s="64"/>
    </row>
    <row r="317" spans="1:21" s="71" customFormat="1" hidden="1">
      <c r="A317" s="64"/>
      <c r="B317" s="884"/>
      <c r="C317" s="128"/>
      <c r="D317" s="128"/>
      <c r="E317" s="128"/>
      <c r="N317" s="884"/>
      <c r="P317" s="885"/>
      <c r="R317" s="64"/>
      <c r="S317" s="64"/>
      <c r="T317" s="64"/>
      <c r="U317" s="64"/>
    </row>
    <row r="318" spans="1:21" s="71" customFormat="1" hidden="1">
      <c r="A318" s="64"/>
      <c r="B318" s="884"/>
      <c r="C318" s="128"/>
      <c r="D318" s="128"/>
      <c r="E318" s="128"/>
      <c r="N318" s="884"/>
      <c r="P318" s="885"/>
      <c r="R318" s="64"/>
      <c r="S318" s="64"/>
      <c r="T318" s="64"/>
      <c r="U318" s="64"/>
    </row>
    <row r="319" spans="1:21" s="71" customFormat="1" hidden="1">
      <c r="A319" s="64"/>
      <c r="B319" s="884"/>
      <c r="C319" s="128"/>
      <c r="D319" s="128"/>
      <c r="E319" s="128"/>
      <c r="N319" s="884"/>
      <c r="P319" s="885"/>
      <c r="R319" s="64"/>
      <c r="S319" s="64"/>
      <c r="T319" s="64"/>
      <c r="U319" s="64"/>
    </row>
    <row r="320" spans="1:21" s="71" customFormat="1" hidden="1">
      <c r="A320" s="64"/>
      <c r="B320" s="884"/>
      <c r="C320" s="128"/>
      <c r="D320" s="128"/>
      <c r="E320" s="128"/>
      <c r="N320" s="884"/>
      <c r="P320" s="885"/>
      <c r="R320" s="64"/>
      <c r="S320" s="64"/>
      <c r="T320" s="64"/>
      <c r="U320" s="64"/>
    </row>
    <row r="321" spans="1:21" s="71" customFormat="1" hidden="1">
      <c r="A321" s="64"/>
      <c r="B321" s="884"/>
      <c r="C321" s="128"/>
      <c r="D321" s="128"/>
      <c r="E321" s="128"/>
      <c r="N321" s="884"/>
      <c r="P321" s="885"/>
      <c r="R321" s="64"/>
      <c r="S321" s="64"/>
      <c r="T321" s="64"/>
      <c r="U321" s="64"/>
    </row>
    <row r="322" spans="1:21" s="71" customFormat="1" hidden="1">
      <c r="A322" s="64"/>
      <c r="B322" s="884"/>
      <c r="C322" s="128"/>
      <c r="D322" s="128"/>
      <c r="E322" s="128"/>
      <c r="N322" s="884"/>
      <c r="P322" s="885"/>
      <c r="R322" s="64"/>
      <c r="S322" s="64"/>
      <c r="T322" s="64"/>
      <c r="U322" s="64"/>
    </row>
    <row r="323" spans="1:21" s="71" customFormat="1" hidden="1">
      <c r="A323" s="64"/>
      <c r="B323" s="884"/>
      <c r="C323" s="128"/>
      <c r="D323" s="128"/>
      <c r="E323" s="128"/>
      <c r="N323" s="884"/>
      <c r="P323" s="885"/>
      <c r="R323" s="64"/>
      <c r="S323" s="64"/>
      <c r="T323" s="64"/>
      <c r="U323" s="64"/>
    </row>
    <row r="324" spans="1:21" s="71" customFormat="1" hidden="1">
      <c r="A324" s="64"/>
      <c r="B324" s="884"/>
      <c r="C324" s="128"/>
      <c r="D324" s="128"/>
      <c r="E324" s="128"/>
      <c r="N324" s="884"/>
      <c r="P324" s="885"/>
      <c r="R324" s="64"/>
      <c r="S324" s="64"/>
      <c r="T324" s="64"/>
      <c r="U324" s="64"/>
    </row>
    <row r="325" spans="1:21" s="71" customFormat="1" hidden="1">
      <c r="A325" s="64"/>
      <c r="B325" s="884"/>
      <c r="C325" s="128"/>
      <c r="D325" s="128"/>
      <c r="E325" s="128"/>
      <c r="N325" s="884"/>
      <c r="P325" s="885"/>
      <c r="R325" s="64"/>
      <c r="S325" s="64"/>
      <c r="T325" s="64"/>
      <c r="U325" s="64"/>
    </row>
    <row r="326" spans="1:21" s="71" customFormat="1" hidden="1">
      <c r="A326" s="64"/>
      <c r="B326" s="884"/>
      <c r="C326" s="128"/>
      <c r="D326" s="128"/>
      <c r="E326" s="128"/>
      <c r="N326" s="884"/>
      <c r="P326" s="885"/>
      <c r="R326" s="64"/>
      <c r="S326" s="64"/>
      <c r="T326" s="64"/>
      <c r="U326" s="64"/>
    </row>
    <row r="327" spans="1:21" s="71" customFormat="1" hidden="1">
      <c r="A327" s="64"/>
      <c r="B327" s="884"/>
      <c r="C327" s="128"/>
      <c r="D327" s="128"/>
      <c r="E327" s="128"/>
      <c r="N327" s="884"/>
      <c r="P327" s="885"/>
      <c r="R327" s="64"/>
      <c r="S327" s="64"/>
      <c r="T327" s="64"/>
      <c r="U327" s="64"/>
    </row>
    <row r="328" spans="1:21" s="71" customFormat="1" hidden="1">
      <c r="A328" s="64"/>
      <c r="B328" s="884"/>
      <c r="C328" s="128"/>
      <c r="D328" s="128"/>
      <c r="E328" s="128"/>
      <c r="N328" s="884"/>
      <c r="P328" s="885"/>
      <c r="R328" s="64"/>
      <c r="S328" s="64"/>
      <c r="T328" s="64"/>
      <c r="U328" s="64"/>
    </row>
    <row r="329" spans="1:21" s="71" customFormat="1" hidden="1">
      <c r="A329" s="64"/>
      <c r="B329" s="884"/>
      <c r="C329" s="128"/>
      <c r="D329" s="128"/>
      <c r="E329" s="128"/>
      <c r="N329" s="884"/>
      <c r="P329" s="885"/>
      <c r="R329" s="64"/>
      <c r="S329" s="64"/>
      <c r="T329" s="64"/>
      <c r="U329" s="64"/>
    </row>
    <row r="330" spans="1:21" s="71" customFormat="1" hidden="1">
      <c r="A330" s="64"/>
      <c r="B330" s="884"/>
      <c r="C330" s="128"/>
      <c r="D330" s="128"/>
      <c r="E330" s="128"/>
      <c r="N330" s="884"/>
      <c r="P330" s="885"/>
      <c r="R330" s="64"/>
      <c r="S330" s="64"/>
      <c r="T330" s="64"/>
      <c r="U330" s="64"/>
    </row>
    <row r="331" spans="1:21" s="71" customFormat="1" hidden="1">
      <c r="A331" s="64"/>
      <c r="B331" s="884"/>
      <c r="C331" s="128"/>
      <c r="D331" s="128"/>
      <c r="E331" s="128"/>
      <c r="N331" s="884"/>
      <c r="P331" s="885"/>
      <c r="R331" s="64"/>
      <c r="S331" s="64"/>
      <c r="T331" s="64"/>
      <c r="U331" s="64"/>
    </row>
    <row r="332" spans="1:21" s="71" customFormat="1" hidden="1">
      <c r="A332" s="64"/>
      <c r="B332" s="884"/>
      <c r="C332" s="128"/>
      <c r="D332" s="128"/>
      <c r="E332" s="128"/>
      <c r="N332" s="884"/>
      <c r="P332" s="885"/>
      <c r="R332" s="64"/>
      <c r="S332" s="64"/>
      <c r="T332" s="64"/>
      <c r="U332" s="64"/>
    </row>
    <row r="333" spans="1:21" s="71" customFormat="1" hidden="1">
      <c r="A333" s="64"/>
      <c r="B333" s="884"/>
      <c r="C333" s="128"/>
      <c r="D333" s="128"/>
      <c r="E333" s="128"/>
      <c r="N333" s="884"/>
      <c r="P333" s="885"/>
      <c r="R333" s="64"/>
      <c r="S333" s="64"/>
      <c r="T333" s="64"/>
      <c r="U333" s="64"/>
    </row>
    <row r="334" spans="1:21" s="71" customFormat="1" hidden="1">
      <c r="A334" s="64"/>
      <c r="B334" s="884"/>
      <c r="C334" s="128"/>
      <c r="D334" s="128"/>
      <c r="E334" s="128"/>
      <c r="N334" s="884"/>
      <c r="P334" s="885"/>
      <c r="R334" s="64"/>
      <c r="S334" s="64"/>
      <c r="T334" s="64"/>
      <c r="U334" s="64"/>
    </row>
    <row r="335" spans="1:21" s="71" customFormat="1" hidden="1">
      <c r="A335" s="64"/>
      <c r="B335" s="884"/>
      <c r="C335" s="128"/>
      <c r="D335" s="128"/>
      <c r="E335" s="128"/>
      <c r="N335" s="884"/>
      <c r="P335" s="885"/>
      <c r="R335" s="64"/>
      <c r="S335" s="64"/>
      <c r="T335" s="64"/>
      <c r="U335" s="64"/>
    </row>
    <row r="336" spans="1:21" s="71" customFormat="1" hidden="1">
      <c r="A336" s="64"/>
      <c r="B336" s="884"/>
      <c r="C336" s="128"/>
      <c r="D336" s="128"/>
      <c r="E336" s="128"/>
      <c r="N336" s="884"/>
      <c r="P336" s="885"/>
      <c r="R336" s="64"/>
      <c r="S336" s="64"/>
      <c r="T336" s="64"/>
      <c r="U336" s="64"/>
    </row>
    <row r="337" spans="1:21" s="71" customFormat="1" hidden="1">
      <c r="A337" s="64"/>
      <c r="B337" s="884"/>
      <c r="C337" s="128"/>
      <c r="D337" s="128"/>
      <c r="E337" s="128"/>
      <c r="N337" s="884"/>
      <c r="P337" s="885"/>
      <c r="R337" s="64"/>
      <c r="S337" s="64"/>
      <c r="T337" s="64"/>
      <c r="U337" s="64"/>
    </row>
    <row r="338" spans="1:21" s="71" customFormat="1" hidden="1">
      <c r="A338" s="64"/>
      <c r="B338" s="884"/>
      <c r="C338" s="128"/>
      <c r="D338" s="128"/>
      <c r="E338" s="128"/>
      <c r="N338" s="884"/>
      <c r="P338" s="885"/>
      <c r="R338" s="64"/>
      <c r="S338" s="64"/>
      <c r="T338" s="64"/>
      <c r="U338" s="64"/>
    </row>
    <row r="339" spans="1:21" s="71" customFormat="1" hidden="1">
      <c r="A339" s="64"/>
      <c r="B339" s="884"/>
      <c r="C339" s="128"/>
      <c r="D339" s="128"/>
      <c r="E339" s="128"/>
      <c r="N339" s="884"/>
      <c r="P339" s="885"/>
      <c r="R339" s="64"/>
      <c r="S339" s="64"/>
      <c r="T339" s="64"/>
      <c r="U339" s="64"/>
    </row>
    <row r="340" spans="1:21" s="71" customFormat="1" hidden="1">
      <c r="A340" s="64"/>
      <c r="B340" s="884"/>
      <c r="C340" s="128"/>
      <c r="D340" s="128"/>
      <c r="E340" s="128"/>
      <c r="N340" s="884"/>
      <c r="P340" s="885"/>
      <c r="R340" s="64"/>
      <c r="S340" s="64"/>
      <c r="T340" s="64"/>
      <c r="U340" s="64"/>
    </row>
    <row r="341" spans="1:21" s="71" customFormat="1" hidden="1">
      <c r="A341" s="64"/>
      <c r="B341" s="884"/>
      <c r="C341" s="128"/>
      <c r="D341" s="128"/>
      <c r="E341" s="128"/>
      <c r="N341" s="884"/>
      <c r="P341" s="885"/>
      <c r="R341" s="64"/>
      <c r="S341" s="64"/>
      <c r="T341" s="64"/>
      <c r="U341" s="64"/>
    </row>
    <row r="342" spans="1:21" s="71" customFormat="1" hidden="1">
      <c r="A342" s="64"/>
      <c r="B342" s="884"/>
      <c r="C342" s="128"/>
      <c r="D342" s="128"/>
      <c r="E342" s="128"/>
      <c r="N342" s="884"/>
      <c r="P342" s="885"/>
      <c r="R342" s="64"/>
      <c r="S342" s="64"/>
      <c r="T342" s="64"/>
      <c r="U342" s="64"/>
    </row>
    <row r="343" spans="1:21" s="71" customFormat="1" hidden="1">
      <c r="A343" s="64"/>
      <c r="B343" s="884"/>
      <c r="C343" s="128"/>
      <c r="D343" s="128"/>
      <c r="E343" s="128"/>
      <c r="N343" s="884"/>
      <c r="P343" s="885"/>
      <c r="R343" s="64"/>
      <c r="S343" s="64"/>
      <c r="T343" s="64"/>
      <c r="U343" s="64"/>
    </row>
    <row r="344" spans="1:21" s="71" customFormat="1" hidden="1">
      <c r="A344" s="64"/>
      <c r="B344" s="884"/>
      <c r="C344" s="128"/>
      <c r="D344" s="128"/>
      <c r="E344" s="128"/>
      <c r="N344" s="884"/>
      <c r="P344" s="885"/>
      <c r="R344" s="64"/>
      <c r="S344" s="64"/>
      <c r="T344" s="64"/>
      <c r="U344" s="64"/>
    </row>
    <row r="345" spans="1:21" s="71" customFormat="1" hidden="1">
      <c r="A345" s="64"/>
      <c r="B345" s="884"/>
      <c r="C345" s="128"/>
      <c r="D345" s="128"/>
      <c r="E345" s="128"/>
      <c r="N345" s="884"/>
      <c r="P345" s="885"/>
      <c r="R345" s="64"/>
      <c r="S345" s="64"/>
      <c r="T345" s="64"/>
      <c r="U345" s="64"/>
    </row>
    <row r="346" spans="1:21" s="71" customFormat="1" hidden="1">
      <c r="A346" s="64"/>
      <c r="B346" s="884"/>
      <c r="C346" s="128"/>
      <c r="D346" s="128"/>
      <c r="E346" s="128"/>
      <c r="N346" s="884"/>
      <c r="P346" s="885"/>
      <c r="R346" s="64"/>
      <c r="S346" s="64"/>
      <c r="T346" s="64"/>
      <c r="U346" s="64"/>
    </row>
    <row r="347" spans="1:21" s="71" customFormat="1" hidden="1">
      <c r="A347" s="64"/>
      <c r="B347" s="884"/>
      <c r="C347" s="128"/>
      <c r="D347" s="128"/>
      <c r="E347" s="128"/>
      <c r="N347" s="884"/>
      <c r="P347" s="885"/>
      <c r="R347" s="64"/>
      <c r="S347" s="64"/>
      <c r="T347" s="64"/>
      <c r="U347" s="64"/>
    </row>
    <row r="348" spans="1:21" s="71" customFormat="1" hidden="1">
      <c r="A348" s="64"/>
      <c r="B348" s="884"/>
      <c r="C348" s="128"/>
      <c r="D348" s="128"/>
      <c r="E348" s="128"/>
      <c r="N348" s="884"/>
      <c r="P348" s="885"/>
      <c r="R348" s="64"/>
      <c r="S348" s="64"/>
      <c r="T348" s="64"/>
      <c r="U348" s="64"/>
    </row>
    <row r="349" spans="1:21" s="71" customFormat="1" hidden="1">
      <c r="A349" s="64"/>
      <c r="B349" s="884"/>
      <c r="C349" s="128"/>
      <c r="D349" s="128"/>
      <c r="E349" s="128"/>
      <c r="N349" s="884"/>
      <c r="P349" s="885"/>
      <c r="R349" s="64"/>
      <c r="S349" s="64"/>
      <c r="T349" s="64"/>
      <c r="U349" s="64"/>
    </row>
    <row r="350" spans="1:21" s="71" customFormat="1" hidden="1">
      <c r="A350" s="64"/>
      <c r="B350" s="884"/>
      <c r="C350" s="128"/>
      <c r="D350" s="128"/>
      <c r="E350" s="128"/>
      <c r="N350" s="884"/>
      <c r="P350" s="885"/>
      <c r="R350" s="64"/>
      <c r="S350" s="64"/>
      <c r="T350" s="64"/>
      <c r="U350" s="64"/>
    </row>
    <row r="351" spans="1:21" s="71" customFormat="1" hidden="1">
      <c r="A351" s="64"/>
      <c r="B351" s="884"/>
      <c r="C351" s="128"/>
      <c r="D351" s="128"/>
      <c r="E351" s="128"/>
      <c r="N351" s="884"/>
      <c r="P351" s="885"/>
      <c r="R351" s="64"/>
      <c r="S351" s="64"/>
      <c r="T351" s="64"/>
      <c r="U351" s="64"/>
    </row>
    <row r="352" spans="1:21" s="71" customFormat="1" hidden="1">
      <c r="A352" s="64"/>
      <c r="B352" s="884"/>
      <c r="C352" s="128"/>
      <c r="D352" s="128"/>
      <c r="E352" s="128"/>
      <c r="N352" s="884"/>
      <c r="P352" s="885"/>
      <c r="R352" s="64"/>
      <c r="S352" s="64"/>
      <c r="T352" s="64"/>
      <c r="U352" s="64"/>
    </row>
    <row r="353" spans="1:21" s="71" customFormat="1" hidden="1">
      <c r="A353" s="64"/>
      <c r="B353" s="884"/>
      <c r="C353" s="128"/>
      <c r="D353" s="128"/>
      <c r="E353" s="128"/>
      <c r="N353" s="884"/>
      <c r="P353" s="885"/>
      <c r="R353" s="64"/>
      <c r="S353" s="64"/>
      <c r="T353" s="64"/>
      <c r="U353" s="64"/>
    </row>
    <row r="354" spans="1:21" s="71" customFormat="1" hidden="1">
      <c r="A354" s="64"/>
      <c r="B354" s="884"/>
      <c r="C354" s="128"/>
      <c r="D354" s="128"/>
      <c r="E354" s="128"/>
      <c r="N354" s="884"/>
      <c r="P354" s="885"/>
      <c r="R354" s="64"/>
      <c r="S354" s="64"/>
      <c r="T354" s="64"/>
      <c r="U354" s="64"/>
    </row>
    <row r="355" spans="1:21" s="71" customFormat="1" hidden="1">
      <c r="A355" s="64"/>
      <c r="B355" s="884"/>
      <c r="C355" s="128"/>
      <c r="D355" s="128"/>
      <c r="E355" s="128"/>
      <c r="N355" s="884"/>
      <c r="P355" s="885"/>
      <c r="R355" s="64"/>
      <c r="S355" s="64"/>
      <c r="T355" s="64"/>
      <c r="U355" s="64"/>
    </row>
    <row r="356" spans="1:21" s="71" customFormat="1" hidden="1">
      <c r="A356" s="64"/>
      <c r="B356" s="884"/>
      <c r="C356" s="128"/>
      <c r="D356" s="128"/>
      <c r="E356" s="128"/>
      <c r="N356" s="884"/>
      <c r="P356" s="885"/>
      <c r="R356" s="64"/>
      <c r="S356" s="64"/>
      <c r="T356" s="64"/>
      <c r="U356" s="64"/>
    </row>
    <row r="357" spans="1:21" s="71" customFormat="1" hidden="1">
      <c r="A357" s="64"/>
      <c r="B357" s="884"/>
      <c r="C357" s="128"/>
      <c r="D357" s="128"/>
      <c r="E357" s="128"/>
      <c r="N357" s="884"/>
      <c r="P357" s="885"/>
      <c r="R357" s="64"/>
      <c r="S357" s="64"/>
      <c r="T357" s="64"/>
      <c r="U357" s="64"/>
    </row>
    <row r="358" spans="1:21" s="71" customFormat="1" hidden="1">
      <c r="A358" s="64"/>
      <c r="B358" s="884"/>
      <c r="C358" s="128"/>
      <c r="D358" s="128"/>
      <c r="E358" s="128"/>
      <c r="N358" s="884"/>
      <c r="P358" s="885"/>
      <c r="R358" s="64"/>
      <c r="S358" s="64"/>
      <c r="T358" s="64"/>
      <c r="U358" s="64"/>
    </row>
    <row r="359" spans="1:21" s="71" customFormat="1" hidden="1">
      <c r="A359" s="64"/>
      <c r="B359" s="884"/>
      <c r="C359" s="128"/>
      <c r="D359" s="128"/>
      <c r="E359" s="128"/>
      <c r="N359" s="884"/>
      <c r="P359" s="885"/>
      <c r="R359" s="64"/>
      <c r="S359" s="64"/>
      <c r="T359" s="64"/>
      <c r="U359" s="64"/>
    </row>
    <row r="360" spans="1:21" s="71" customFormat="1" hidden="1">
      <c r="A360" s="64"/>
      <c r="B360" s="884"/>
      <c r="C360" s="128"/>
      <c r="D360" s="128"/>
      <c r="E360" s="128"/>
      <c r="N360" s="884"/>
      <c r="P360" s="885"/>
      <c r="R360" s="64"/>
      <c r="S360" s="64"/>
      <c r="T360" s="64"/>
      <c r="U360" s="64"/>
    </row>
    <row r="361" spans="1:21" s="71" customFormat="1" hidden="1">
      <c r="A361" s="64"/>
      <c r="B361" s="884"/>
      <c r="C361" s="128"/>
      <c r="D361" s="128"/>
      <c r="E361" s="128"/>
      <c r="N361" s="884"/>
      <c r="P361" s="885"/>
      <c r="R361" s="64"/>
      <c r="S361" s="64"/>
      <c r="T361" s="64"/>
      <c r="U361" s="64"/>
    </row>
    <row r="362" spans="1:21" s="71" customFormat="1" hidden="1">
      <c r="A362" s="64"/>
      <c r="B362" s="884"/>
      <c r="C362" s="128"/>
      <c r="D362" s="128"/>
      <c r="E362" s="128"/>
      <c r="N362" s="884"/>
      <c r="P362" s="885"/>
      <c r="R362" s="64"/>
      <c r="S362" s="64"/>
      <c r="T362" s="64"/>
      <c r="U362" s="64"/>
    </row>
    <row r="363" spans="1:21" s="71" customFormat="1" hidden="1">
      <c r="A363" s="64"/>
      <c r="B363" s="884"/>
      <c r="C363" s="128"/>
      <c r="D363" s="128"/>
      <c r="E363" s="128"/>
      <c r="N363" s="884"/>
      <c r="P363" s="885"/>
      <c r="R363" s="64"/>
      <c r="S363" s="64"/>
      <c r="T363" s="64"/>
      <c r="U363" s="64"/>
    </row>
    <row r="364" spans="1:21" s="71" customFormat="1" hidden="1">
      <c r="A364" s="64"/>
      <c r="B364" s="884"/>
      <c r="C364" s="128"/>
      <c r="D364" s="128"/>
      <c r="E364" s="128"/>
      <c r="N364" s="884"/>
      <c r="P364" s="885"/>
      <c r="R364" s="64"/>
      <c r="S364" s="64"/>
      <c r="T364" s="64"/>
      <c r="U364" s="64"/>
    </row>
    <row r="365" spans="1:21" s="71" customFormat="1" hidden="1">
      <c r="A365" s="64"/>
      <c r="B365" s="884"/>
      <c r="C365" s="128"/>
      <c r="D365" s="128"/>
      <c r="E365" s="128"/>
      <c r="N365" s="884"/>
      <c r="P365" s="885"/>
      <c r="R365" s="64"/>
      <c r="S365" s="64"/>
      <c r="T365" s="64"/>
      <c r="U365" s="64"/>
    </row>
    <row r="366" spans="1:21" s="71" customFormat="1" hidden="1">
      <c r="A366" s="64"/>
      <c r="B366" s="884"/>
      <c r="C366" s="128"/>
      <c r="D366" s="128"/>
      <c r="E366" s="128"/>
      <c r="N366" s="884"/>
      <c r="P366" s="885"/>
      <c r="R366" s="64"/>
      <c r="S366" s="64"/>
      <c r="T366" s="64"/>
      <c r="U366" s="64"/>
    </row>
    <row r="367" spans="1:21" s="71" customFormat="1" hidden="1">
      <c r="A367" s="64"/>
      <c r="B367" s="884"/>
      <c r="C367" s="128"/>
      <c r="D367" s="128"/>
      <c r="E367" s="128"/>
      <c r="N367" s="884"/>
      <c r="P367" s="885"/>
      <c r="R367" s="64"/>
      <c r="S367" s="64"/>
      <c r="T367" s="64"/>
      <c r="U367" s="64"/>
    </row>
    <row r="368" spans="1:21" s="71" customFormat="1" hidden="1">
      <c r="A368" s="64"/>
      <c r="B368" s="884"/>
      <c r="C368" s="128"/>
      <c r="D368" s="128"/>
      <c r="E368" s="128"/>
      <c r="N368" s="884"/>
      <c r="P368" s="885"/>
      <c r="R368" s="64"/>
      <c r="S368" s="64"/>
      <c r="T368" s="64"/>
      <c r="U368" s="64"/>
    </row>
    <row r="369" spans="1:21" s="71" customFormat="1" hidden="1">
      <c r="A369" s="64"/>
      <c r="B369" s="884"/>
      <c r="C369" s="128"/>
      <c r="D369" s="128"/>
      <c r="E369" s="128"/>
      <c r="N369" s="884"/>
      <c r="P369" s="885"/>
      <c r="R369" s="64"/>
      <c r="S369" s="64"/>
      <c r="T369" s="64"/>
      <c r="U369" s="64"/>
    </row>
    <row r="370" spans="1:21" s="71" customFormat="1" hidden="1">
      <c r="A370" s="64"/>
      <c r="B370" s="884"/>
      <c r="C370" s="128"/>
      <c r="D370" s="128"/>
      <c r="E370" s="128"/>
      <c r="N370" s="884"/>
      <c r="P370" s="885"/>
      <c r="R370" s="64"/>
      <c r="S370" s="64"/>
      <c r="T370" s="64"/>
      <c r="U370" s="64"/>
    </row>
    <row r="371" spans="1:21" s="71" customFormat="1" hidden="1">
      <c r="A371" s="64"/>
      <c r="B371" s="884"/>
      <c r="C371" s="128"/>
      <c r="D371" s="128"/>
      <c r="E371" s="128"/>
      <c r="N371" s="884"/>
      <c r="P371" s="885"/>
      <c r="R371" s="64"/>
      <c r="S371" s="64"/>
      <c r="T371" s="64"/>
      <c r="U371" s="64"/>
    </row>
    <row r="372" spans="1:21" s="71" customFormat="1" hidden="1">
      <c r="A372" s="64"/>
      <c r="B372" s="884"/>
      <c r="C372" s="128"/>
      <c r="D372" s="128"/>
      <c r="E372" s="128"/>
      <c r="N372" s="884"/>
      <c r="P372" s="885"/>
      <c r="R372" s="64"/>
      <c r="S372" s="64"/>
      <c r="T372" s="64"/>
      <c r="U372" s="64"/>
    </row>
    <row r="373" spans="1:21" s="71" customFormat="1" hidden="1">
      <c r="A373" s="64"/>
      <c r="B373" s="884"/>
      <c r="C373" s="128"/>
      <c r="D373" s="128"/>
      <c r="E373" s="128"/>
      <c r="N373" s="884"/>
      <c r="P373" s="885"/>
      <c r="R373" s="64"/>
      <c r="S373" s="64"/>
      <c r="T373" s="64"/>
      <c r="U373" s="64"/>
    </row>
    <row r="374" spans="1:21" s="71" customFormat="1" hidden="1">
      <c r="A374" s="64"/>
      <c r="B374" s="884"/>
      <c r="C374" s="128"/>
      <c r="D374" s="128"/>
      <c r="E374" s="128"/>
      <c r="N374" s="884"/>
      <c r="P374" s="885"/>
      <c r="R374" s="64"/>
      <c r="S374" s="64"/>
      <c r="T374" s="64"/>
      <c r="U374" s="64"/>
    </row>
    <row r="375" spans="1:21" s="71" customFormat="1" hidden="1">
      <c r="A375" s="64"/>
      <c r="B375" s="884"/>
      <c r="C375" s="128"/>
      <c r="D375" s="128"/>
      <c r="E375" s="128"/>
      <c r="N375" s="884"/>
      <c r="P375" s="885"/>
      <c r="R375" s="64"/>
      <c r="S375" s="64"/>
      <c r="T375" s="64"/>
      <c r="U375" s="64"/>
    </row>
    <row r="376" spans="1:21" s="71" customFormat="1" hidden="1">
      <c r="A376" s="64"/>
      <c r="B376" s="884"/>
      <c r="C376" s="128"/>
      <c r="D376" s="128"/>
      <c r="E376" s="128"/>
      <c r="N376" s="884"/>
      <c r="P376" s="885"/>
      <c r="R376" s="64"/>
      <c r="S376" s="64"/>
      <c r="T376" s="64"/>
      <c r="U376" s="64"/>
    </row>
    <row r="377" spans="1:21" s="71" customFormat="1" hidden="1">
      <c r="A377" s="64"/>
      <c r="B377" s="884"/>
      <c r="C377" s="128"/>
      <c r="D377" s="128"/>
      <c r="E377" s="128"/>
      <c r="N377" s="884"/>
      <c r="P377" s="885"/>
      <c r="R377" s="64"/>
      <c r="S377" s="64"/>
      <c r="T377" s="64"/>
      <c r="U377" s="64"/>
    </row>
    <row r="378" spans="1:21" s="71" customFormat="1" hidden="1">
      <c r="A378" s="64"/>
      <c r="B378" s="884"/>
      <c r="C378" s="128"/>
      <c r="D378" s="128"/>
      <c r="E378" s="128"/>
      <c r="N378" s="884"/>
      <c r="P378" s="885"/>
      <c r="R378" s="64"/>
      <c r="S378" s="64"/>
      <c r="T378" s="64"/>
      <c r="U378" s="64"/>
    </row>
    <row r="379" spans="1:21" s="71" customFormat="1" hidden="1">
      <c r="A379" s="64"/>
      <c r="B379" s="884"/>
      <c r="C379" s="128"/>
      <c r="D379" s="128"/>
      <c r="E379" s="128"/>
      <c r="N379" s="884"/>
      <c r="P379" s="885"/>
      <c r="R379" s="64"/>
      <c r="S379" s="64"/>
      <c r="T379" s="64"/>
      <c r="U379" s="64"/>
    </row>
    <row r="380" spans="1:21" s="71" customFormat="1" hidden="1">
      <c r="A380" s="64"/>
      <c r="B380" s="884"/>
      <c r="C380" s="128"/>
      <c r="D380" s="128"/>
      <c r="E380" s="128"/>
      <c r="N380" s="884"/>
      <c r="P380" s="885"/>
      <c r="R380" s="64"/>
      <c r="S380" s="64"/>
      <c r="T380" s="64"/>
      <c r="U380" s="64"/>
    </row>
    <row r="381" spans="1:21" s="71" customFormat="1" hidden="1">
      <c r="A381" s="64"/>
      <c r="B381" s="884"/>
      <c r="C381" s="128"/>
      <c r="D381" s="128"/>
      <c r="E381" s="128"/>
      <c r="N381" s="884"/>
      <c r="P381" s="885"/>
      <c r="R381" s="64"/>
      <c r="S381" s="64"/>
      <c r="T381" s="64"/>
      <c r="U381" s="64"/>
    </row>
    <row r="382" spans="1:21" s="71" customFormat="1" hidden="1">
      <c r="A382" s="64"/>
      <c r="B382" s="884"/>
      <c r="C382" s="128"/>
      <c r="D382" s="128"/>
      <c r="E382" s="128"/>
      <c r="N382" s="884"/>
      <c r="P382" s="885"/>
      <c r="R382" s="64"/>
      <c r="S382" s="64"/>
      <c r="T382" s="64"/>
      <c r="U382" s="64"/>
    </row>
    <row r="383" spans="1:21" s="71" customFormat="1" hidden="1">
      <c r="A383" s="64"/>
      <c r="B383" s="884"/>
      <c r="C383" s="128"/>
      <c r="D383" s="128"/>
      <c r="E383" s="128"/>
      <c r="N383" s="884"/>
      <c r="P383" s="885"/>
      <c r="R383" s="64"/>
      <c r="S383" s="64"/>
      <c r="T383" s="64"/>
      <c r="U383" s="64"/>
    </row>
    <row r="384" spans="1:21" s="71" customFormat="1" hidden="1">
      <c r="A384" s="64"/>
      <c r="B384" s="884"/>
      <c r="C384" s="128"/>
      <c r="D384" s="128"/>
      <c r="E384" s="128"/>
      <c r="N384" s="884"/>
      <c r="P384" s="885"/>
      <c r="R384" s="64"/>
      <c r="S384" s="64"/>
      <c r="T384" s="64"/>
      <c r="U384" s="64"/>
    </row>
    <row r="385" spans="1:21" s="71" customFormat="1" hidden="1">
      <c r="A385" s="64"/>
      <c r="B385" s="884"/>
      <c r="C385" s="128"/>
      <c r="D385" s="128"/>
      <c r="E385" s="128"/>
      <c r="N385" s="884"/>
      <c r="P385" s="885"/>
      <c r="R385" s="64"/>
      <c r="S385" s="64"/>
      <c r="T385" s="64"/>
      <c r="U385" s="64"/>
    </row>
    <row r="386" spans="1:21" s="71" customFormat="1" hidden="1">
      <c r="A386" s="64"/>
      <c r="B386" s="884"/>
      <c r="C386" s="128"/>
      <c r="D386" s="128"/>
      <c r="E386" s="128"/>
      <c r="N386" s="884"/>
      <c r="P386" s="885"/>
      <c r="R386" s="64"/>
      <c r="S386" s="64"/>
      <c r="T386" s="64"/>
      <c r="U386" s="64"/>
    </row>
    <row r="387" spans="1:21" s="71" customFormat="1" hidden="1">
      <c r="A387" s="64"/>
      <c r="B387" s="884"/>
      <c r="C387" s="128"/>
      <c r="D387" s="128"/>
      <c r="E387" s="128"/>
      <c r="N387" s="884"/>
      <c r="P387" s="885"/>
      <c r="R387" s="64"/>
      <c r="S387" s="64"/>
      <c r="T387" s="64"/>
      <c r="U387" s="64"/>
    </row>
    <row r="388" spans="1:21" s="71" customFormat="1" hidden="1">
      <c r="A388" s="64"/>
      <c r="B388" s="884"/>
      <c r="C388" s="128"/>
      <c r="D388" s="128"/>
      <c r="E388" s="128"/>
      <c r="N388" s="884"/>
      <c r="P388" s="885"/>
      <c r="R388" s="64"/>
      <c r="S388" s="64"/>
      <c r="T388" s="64"/>
      <c r="U388" s="64"/>
    </row>
    <row r="389" spans="1:21" s="71" customFormat="1" hidden="1">
      <c r="A389" s="64"/>
      <c r="B389" s="884"/>
      <c r="C389" s="128"/>
      <c r="D389" s="128"/>
      <c r="E389" s="128"/>
      <c r="N389" s="884"/>
      <c r="P389" s="885"/>
      <c r="R389" s="64"/>
      <c r="S389" s="64"/>
      <c r="T389" s="64"/>
      <c r="U389" s="64"/>
    </row>
    <row r="390" spans="1:21" s="71" customFormat="1" hidden="1">
      <c r="A390" s="64"/>
      <c r="B390" s="884"/>
      <c r="C390" s="128"/>
      <c r="D390" s="128"/>
      <c r="E390" s="128"/>
      <c r="N390" s="884"/>
      <c r="P390" s="885"/>
      <c r="R390" s="64"/>
      <c r="S390" s="64"/>
      <c r="T390" s="64"/>
      <c r="U390" s="64"/>
    </row>
    <row r="391" spans="1:21" s="71" customFormat="1" hidden="1">
      <c r="A391" s="64"/>
      <c r="B391" s="884"/>
      <c r="C391" s="128"/>
      <c r="D391" s="128"/>
      <c r="E391" s="128"/>
      <c r="N391" s="884"/>
      <c r="P391" s="885"/>
      <c r="R391" s="64"/>
      <c r="S391" s="64"/>
      <c r="T391" s="64"/>
      <c r="U391" s="64"/>
    </row>
    <row r="392" spans="1:21" s="71" customFormat="1" hidden="1">
      <c r="A392" s="64"/>
      <c r="B392" s="884"/>
      <c r="C392" s="128"/>
      <c r="D392" s="128"/>
      <c r="E392" s="128"/>
      <c r="N392" s="884"/>
      <c r="P392" s="885"/>
      <c r="R392" s="64"/>
      <c r="S392" s="64"/>
      <c r="T392" s="64"/>
      <c r="U392" s="64"/>
    </row>
    <row r="393" spans="1:21" s="71" customFormat="1" hidden="1">
      <c r="A393" s="64"/>
      <c r="B393" s="884"/>
      <c r="C393" s="128"/>
      <c r="D393" s="128"/>
      <c r="E393" s="128"/>
      <c r="N393" s="884"/>
      <c r="P393" s="885"/>
      <c r="R393" s="64"/>
      <c r="S393" s="64"/>
      <c r="T393" s="64"/>
      <c r="U393" s="64"/>
    </row>
    <row r="394" spans="1:21" s="71" customFormat="1" hidden="1">
      <c r="A394" s="64"/>
      <c r="B394" s="884"/>
      <c r="C394" s="128"/>
      <c r="D394" s="128"/>
      <c r="E394" s="128"/>
      <c r="N394" s="884"/>
      <c r="P394" s="885"/>
      <c r="R394" s="64"/>
      <c r="S394" s="64"/>
      <c r="T394" s="64"/>
      <c r="U394" s="64"/>
    </row>
    <row r="395" spans="1:21" s="71" customFormat="1" hidden="1">
      <c r="A395" s="64"/>
      <c r="B395" s="884"/>
      <c r="C395" s="128"/>
      <c r="D395" s="128"/>
      <c r="E395" s="128"/>
      <c r="N395" s="884"/>
      <c r="P395" s="885"/>
      <c r="R395" s="64"/>
      <c r="S395" s="64"/>
      <c r="T395" s="64"/>
      <c r="U395" s="64"/>
    </row>
    <row r="396" spans="1:21" s="71" customFormat="1" hidden="1">
      <c r="A396" s="64"/>
      <c r="B396" s="884"/>
      <c r="C396" s="128"/>
      <c r="D396" s="128"/>
      <c r="E396" s="128"/>
      <c r="N396" s="884"/>
      <c r="P396" s="885"/>
      <c r="R396" s="64"/>
      <c r="S396" s="64"/>
      <c r="T396" s="64"/>
      <c r="U396" s="64"/>
    </row>
    <row r="397" spans="1:21" s="71" customFormat="1" hidden="1">
      <c r="A397" s="64"/>
      <c r="B397" s="884"/>
      <c r="C397" s="128"/>
      <c r="D397" s="128"/>
      <c r="E397" s="128"/>
      <c r="N397" s="884"/>
      <c r="P397" s="885"/>
      <c r="R397" s="64"/>
      <c r="S397" s="64"/>
      <c r="T397" s="64"/>
      <c r="U397" s="64"/>
    </row>
    <row r="398" spans="1:21" s="71" customFormat="1" hidden="1">
      <c r="A398" s="64"/>
      <c r="B398" s="884"/>
      <c r="C398" s="128"/>
      <c r="D398" s="128"/>
      <c r="E398" s="128"/>
      <c r="N398" s="884"/>
      <c r="P398" s="885"/>
      <c r="R398" s="64"/>
      <c r="S398" s="64"/>
      <c r="T398" s="64"/>
      <c r="U398" s="64"/>
    </row>
    <row r="399" spans="1:21" s="71" customFormat="1" hidden="1">
      <c r="A399" s="64"/>
      <c r="B399" s="884"/>
      <c r="C399" s="128"/>
      <c r="D399" s="128"/>
      <c r="E399" s="128"/>
      <c r="N399" s="884"/>
      <c r="P399" s="885"/>
      <c r="R399" s="64"/>
      <c r="S399" s="64"/>
      <c r="T399" s="64"/>
      <c r="U399" s="64"/>
    </row>
    <row r="400" spans="1:21" s="71" customFormat="1" hidden="1">
      <c r="A400" s="64"/>
      <c r="B400" s="884"/>
      <c r="C400" s="128"/>
      <c r="D400" s="128"/>
      <c r="E400" s="128"/>
      <c r="N400" s="884"/>
      <c r="P400" s="885"/>
      <c r="R400" s="64"/>
      <c r="S400" s="64"/>
      <c r="T400" s="64"/>
      <c r="U400" s="64"/>
    </row>
    <row r="401" spans="1:21" s="71" customFormat="1" hidden="1">
      <c r="A401" s="64"/>
      <c r="B401" s="884"/>
      <c r="C401" s="128"/>
      <c r="D401" s="128"/>
      <c r="E401" s="128"/>
      <c r="N401" s="884"/>
      <c r="P401" s="885"/>
      <c r="R401" s="64"/>
      <c r="S401" s="64"/>
      <c r="T401" s="64"/>
      <c r="U401" s="64"/>
    </row>
    <row r="402" spans="1:21" s="71" customFormat="1" hidden="1">
      <c r="A402" s="64"/>
      <c r="B402" s="884"/>
      <c r="C402" s="128"/>
      <c r="D402" s="128"/>
      <c r="E402" s="128"/>
      <c r="N402" s="884"/>
      <c r="P402" s="885"/>
      <c r="R402" s="64"/>
      <c r="S402" s="64"/>
      <c r="T402" s="64"/>
      <c r="U402" s="64"/>
    </row>
    <row r="403" spans="1:21" s="71" customFormat="1" hidden="1">
      <c r="A403" s="64"/>
      <c r="B403" s="884"/>
      <c r="C403" s="128"/>
      <c r="D403" s="128"/>
      <c r="E403" s="128"/>
      <c r="N403" s="884"/>
      <c r="P403" s="885"/>
      <c r="R403" s="64"/>
      <c r="S403" s="64"/>
      <c r="T403" s="64"/>
      <c r="U403" s="64"/>
    </row>
    <row r="404" spans="1:21" s="71" customFormat="1" hidden="1">
      <c r="A404" s="64"/>
      <c r="B404" s="884"/>
      <c r="C404" s="128"/>
      <c r="D404" s="128"/>
      <c r="E404" s="128"/>
      <c r="N404" s="884"/>
      <c r="P404" s="885"/>
      <c r="R404" s="64"/>
      <c r="S404" s="64"/>
      <c r="T404" s="64"/>
      <c r="U404" s="64"/>
    </row>
    <row r="405" spans="1:21" s="71" customFormat="1" hidden="1">
      <c r="A405" s="64"/>
      <c r="B405" s="884"/>
      <c r="C405" s="128"/>
      <c r="D405" s="128"/>
      <c r="E405" s="128"/>
      <c r="N405" s="884"/>
      <c r="P405" s="885"/>
      <c r="R405" s="64"/>
      <c r="S405" s="64"/>
      <c r="T405" s="64"/>
      <c r="U405" s="64"/>
    </row>
    <row r="406" spans="1:21" s="71" customFormat="1" hidden="1">
      <c r="A406" s="64"/>
      <c r="B406" s="884"/>
      <c r="C406" s="128"/>
      <c r="D406" s="128"/>
      <c r="E406" s="128"/>
      <c r="N406" s="884"/>
      <c r="P406" s="885"/>
      <c r="R406" s="64"/>
      <c r="S406" s="64"/>
      <c r="T406" s="64"/>
      <c r="U406" s="64"/>
    </row>
    <row r="407" spans="1:21" s="71" customFormat="1" hidden="1">
      <c r="A407" s="64"/>
      <c r="B407" s="884"/>
      <c r="C407" s="128"/>
      <c r="D407" s="128"/>
      <c r="E407" s="128"/>
      <c r="N407" s="884"/>
      <c r="P407" s="885"/>
      <c r="R407" s="64"/>
      <c r="S407" s="64"/>
      <c r="T407" s="64"/>
      <c r="U407" s="64"/>
    </row>
    <row r="408" spans="1:21" s="71" customFormat="1" hidden="1">
      <c r="A408" s="64"/>
      <c r="B408" s="884"/>
      <c r="C408" s="128"/>
      <c r="D408" s="128"/>
      <c r="E408" s="128"/>
      <c r="N408" s="884"/>
      <c r="P408" s="885"/>
      <c r="R408" s="64"/>
      <c r="S408" s="64"/>
      <c r="T408" s="64"/>
      <c r="U408" s="64"/>
    </row>
    <row r="409" spans="1:21" s="71" customFormat="1" hidden="1">
      <c r="A409" s="64"/>
      <c r="B409" s="884"/>
      <c r="C409" s="128"/>
      <c r="D409" s="128"/>
      <c r="E409" s="128"/>
      <c r="N409" s="884"/>
      <c r="P409" s="885"/>
      <c r="R409" s="64"/>
      <c r="S409" s="64"/>
      <c r="T409" s="64"/>
      <c r="U409" s="64"/>
    </row>
    <row r="410" spans="1:21" s="71" customFormat="1" hidden="1">
      <c r="A410" s="64"/>
      <c r="B410" s="884"/>
      <c r="C410" s="128"/>
      <c r="D410" s="128"/>
      <c r="E410" s="128"/>
      <c r="N410" s="884"/>
      <c r="P410" s="885"/>
      <c r="R410" s="64"/>
      <c r="S410" s="64"/>
      <c r="T410" s="64"/>
      <c r="U410" s="64"/>
    </row>
    <row r="411" spans="1:21" s="71" customFormat="1" hidden="1">
      <c r="A411" s="64"/>
      <c r="B411" s="884"/>
      <c r="C411" s="128"/>
      <c r="D411" s="128"/>
      <c r="E411" s="128"/>
      <c r="N411" s="884"/>
      <c r="P411" s="885"/>
      <c r="R411" s="64"/>
      <c r="S411" s="64"/>
      <c r="T411" s="64"/>
      <c r="U411" s="64"/>
    </row>
    <row r="412" spans="1:21" s="71" customFormat="1" hidden="1">
      <c r="A412" s="64"/>
      <c r="B412" s="884"/>
      <c r="C412" s="128"/>
      <c r="D412" s="128"/>
      <c r="E412" s="128"/>
      <c r="N412" s="884"/>
      <c r="P412" s="885"/>
      <c r="R412" s="64"/>
      <c r="S412" s="64"/>
      <c r="T412" s="64"/>
      <c r="U412" s="64"/>
    </row>
    <row r="413" spans="1:21" s="71" customFormat="1" hidden="1">
      <c r="A413" s="64"/>
      <c r="B413" s="884"/>
      <c r="C413" s="128"/>
      <c r="D413" s="128"/>
      <c r="E413" s="128"/>
      <c r="N413" s="884"/>
      <c r="P413" s="885"/>
      <c r="R413" s="64"/>
      <c r="S413" s="64"/>
      <c r="T413" s="64"/>
      <c r="U413" s="64"/>
    </row>
    <row r="414" spans="1:21" s="71" customFormat="1" hidden="1">
      <c r="A414" s="64"/>
      <c r="B414" s="884"/>
      <c r="C414" s="128"/>
      <c r="D414" s="128"/>
      <c r="E414" s="128"/>
      <c r="N414" s="884"/>
      <c r="P414" s="885"/>
      <c r="R414" s="64"/>
      <c r="S414" s="64"/>
      <c r="T414" s="64"/>
      <c r="U414" s="64"/>
    </row>
    <row r="415" spans="1:21" s="71" customFormat="1" hidden="1">
      <c r="A415" s="64"/>
      <c r="B415" s="884"/>
      <c r="C415" s="128"/>
      <c r="D415" s="128"/>
      <c r="E415" s="128"/>
      <c r="N415" s="884"/>
      <c r="P415" s="885"/>
      <c r="R415" s="64"/>
      <c r="S415" s="64"/>
      <c r="T415" s="64"/>
      <c r="U415" s="64"/>
    </row>
    <row r="416" spans="1:21" s="71" customFormat="1" hidden="1">
      <c r="A416" s="64"/>
      <c r="B416" s="884"/>
      <c r="C416" s="128"/>
      <c r="D416" s="128"/>
      <c r="E416" s="128"/>
      <c r="N416" s="884"/>
      <c r="P416" s="885"/>
      <c r="R416" s="64"/>
      <c r="S416" s="64"/>
      <c r="T416" s="64"/>
      <c r="U416" s="64"/>
    </row>
    <row r="417" spans="1:21" s="71" customFormat="1" hidden="1">
      <c r="A417" s="64"/>
      <c r="B417" s="884"/>
      <c r="C417" s="128"/>
      <c r="D417" s="128"/>
      <c r="E417" s="128"/>
      <c r="N417" s="884"/>
      <c r="P417" s="885"/>
      <c r="R417" s="64"/>
      <c r="S417" s="64"/>
      <c r="T417" s="64"/>
      <c r="U417" s="64"/>
    </row>
    <row r="418" spans="1:21" s="71" customFormat="1" hidden="1">
      <c r="A418" s="64"/>
      <c r="B418" s="884"/>
      <c r="C418" s="128"/>
      <c r="D418" s="128"/>
      <c r="E418" s="128"/>
      <c r="N418" s="884"/>
      <c r="P418" s="885"/>
      <c r="R418" s="64"/>
      <c r="S418" s="64"/>
      <c r="T418" s="64"/>
      <c r="U418" s="64"/>
    </row>
    <row r="419" spans="1:21" s="71" customFormat="1" hidden="1">
      <c r="A419" s="64"/>
      <c r="B419" s="884"/>
      <c r="C419" s="128"/>
      <c r="D419" s="128"/>
      <c r="E419" s="128"/>
      <c r="N419" s="884"/>
      <c r="P419" s="885"/>
      <c r="R419" s="64"/>
      <c r="S419" s="64"/>
      <c r="T419" s="64"/>
      <c r="U419" s="64"/>
    </row>
    <row r="420" spans="1:21" s="71" customFormat="1" hidden="1">
      <c r="A420" s="64"/>
      <c r="B420" s="884"/>
      <c r="C420" s="128"/>
      <c r="D420" s="128"/>
      <c r="E420" s="128"/>
      <c r="N420" s="884"/>
      <c r="P420" s="885"/>
      <c r="R420" s="64"/>
      <c r="S420" s="64"/>
      <c r="T420" s="64"/>
      <c r="U420" s="64"/>
    </row>
    <row r="421" spans="1:21" s="71" customFormat="1" hidden="1">
      <c r="A421" s="64"/>
      <c r="B421" s="884"/>
      <c r="C421" s="128"/>
      <c r="D421" s="128"/>
      <c r="E421" s="128"/>
      <c r="N421" s="884"/>
      <c r="P421" s="885"/>
      <c r="R421" s="64"/>
      <c r="S421" s="64"/>
      <c r="T421" s="64"/>
      <c r="U421" s="64"/>
    </row>
    <row r="422" spans="1:21" s="71" customFormat="1" hidden="1">
      <c r="A422" s="64"/>
      <c r="B422" s="884"/>
      <c r="C422" s="128"/>
      <c r="D422" s="128"/>
      <c r="E422" s="128"/>
      <c r="N422" s="884"/>
      <c r="P422" s="885"/>
      <c r="R422" s="64"/>
      <c r="S422" s="64"/>
      <c r="T422" s="64"/>
      <c r="U422" s="64"/>
    </row>
    <row r="423" spans="1:21" s="71" customFormat="1" hidden="1">
      <c r="A423" s="64"/>
      <c r="B423" s="884"/>
      <c r="C423" s="128"/>
      <c r="D423" s="128"/>
      <c r="E423" s="128"/>
      <c r="N423" s="884"/>
      <c r="P423" s="885"/>
      <c r="R423" s="64"/>
      <c r="S423" s="64"/>
      <c r="T423" s="64"/>
      <c r="U423" s="64"/>
    </row>
    <row r="424" spans="1:21" s="71" customFormat="1" hidden="1">
      <c r="A424" s="64"/>
      <c r="B424" s="884"/>
      <c r="C424" s="128"/>
      <c r="D424" s="128"/>
      <c r="E424" s="128"/>
      <c r="N424" s="884"/>
      <c r="P424" s="885"/>
      <c r="R424" s="64"/>
      <c r="S424" s="64"/>
      <c r="T424" s="64"/>
      <c r="U424" s="64"/>
    </row>
    <row r="425" spans="1:21" s="71" customFormat="1" hidden="1">
      <c r="A425" s="64"/>
      <c r="B425" s="884"/>
      <c r="C425" s="128"/>
      <c r="D425" s="128"/>
      <c r="E425" s="128"/>
      <c r="N425" s="884"/>
      <c r="P425" s="885"/>
      <c r="R425" s="64"/>
      <c r="S425" s="64"/>
      <c r="T425" s="64"/>
      <c r="U425" s="64"/>
    </row>
    <row r="426" spans="1:21" s="71" customFormat="1" hidden="1">
      <c r="A426" s="64"/>
      <c r="B426" s="884"/>
      <c r="C426" s="128"/>
      <c r="D426" s="128"/>
      <c r="E426" s="128"/>
      <c r="N426" s="884"/>
      <c r="P426" s="885"/>
      <c r="R426" s="64"/>
      <c r="S426" s="64"/>
      <c r="T426" s="64"/>
      <c r="U426" s="64"/>
    </row>
    <row r="427" spans="1:21" s="71" customFormat="1" hidden="1">
      <c r="A427" s="64"/>
      <c r="B427" s="884"/>
      <c r="C427" s="128"/>
      <c r="D427" s="128"/>
      <c r="E427" s="128"/>
      <c r="N427" s="884"/>
      <c r="P427" s="885"/>
      <c r="R427" s="64"/>
      <c r="S427" s="64"/>
      <c r="T427" s="64"/>
      <c r="U427" s="64"/>
    </row>
    <row r="428" spans="1:21" s="71" customFormat="1" hidden="1">
      <c r="A428" s="64"/>
      <c r="B428" s="884"/>
      <c r="C428" s="128"/>
      <c r="D428" s="128"/>
      <c r="E428" s="128"/>
      <c r="N428" s="884"/>
      <c r="P428" s="885"/>
      <c r="R428" s="64"/>
      <c r="S428" s="64"/>
      <c r="T428" s="64"/>
      <c r="U428" s="64"/>
    </row>
    <row r="429" spans="1:21" s="71" customFormat="1" hidden="1">
      <c r="A429" s="64"/>
      <c r="B429" s="884"/>
      <c r="C429" s="128"/>
      <c r="D429" s="128"/>
      <c r="E429" s="128"/>
      <c r="N429" s="884"/>
      <c r="P429" s="885"/>
      <c r="R429" s="64"/>
      <c r="S429" s="64"/>
      <c r="T429" s="64"/>
      <c r="U429" s="64"/>
    </row>
    <row r="430" spans="1:21" s="71" customFormat="1" hidden="1">
      <c r="A430" s="64"/>
      <c r="B430" s="884"/>
      <c r="C430" s="128"/>
      <c r="D430" s="128"/>
      <c r="E430" s="128"/>
      <c r="N430" s="884"/>
      <c r="P430" s="885"/>
      <c r="R430" s="64"/>
      <c r="S430" s="64"/>
      <c r="T430" s="64"/>
      <c r="U430" s="64"/>
    </row>
    <row r="431" spans="1:21" s="71" customFormat="1" hidden="1">
      <c r="A431" s="64"/>
      <c r="B431" s="884"/>
      <c r="C431" s="128"/>
      <c r="D431" s="128"/>
      <c r="E431" s="128"/>
      <c r="N431" s="884"/>
      <c r="P431" s="885"/>
      <c r="R431" s="64"/>
      <c r="S431" s="64"/>
      <c r="T431" s="64"/>
      <c r="U431" s="64"/>
    </row>
    <row r="432" spans="1:21" s="71" customFormat="1" hidden="1">
      <c r="A432" s="64"/>
      <c r="B432" s="884"/>
      <c r="C432" s="128"/>
      <c r="D432" s="128"/>
      <c r="E432" s="128"/>
      <c r="N432" s="884"/>
      <c r="P432" s="885"/>
      <c r="R432" s="64"/>
      <c r="S432" s="64"/>
      <c r="T432" s="64"/>
      <c r="U432" s="64"/>
    </row>
    <row r="433" spans="1:21" s="71" customFormat="1" hidden="1">
      <c r="A433" s="64"/>
      <c r="B433" s="884"/>
      <c r="C433" s="128"/>
      <c r="D433" s="128"/>
      <c r="E433" s="128"/>
      <c r="N433" s="884"/>
      <c r="P433" s="885"/>
      <c r="R433" s="64"/>
      <c r="S433" s="64"/>
      <c r="T433" s="64"/>
      <c r="U433" s="64"/>
    </row>
    <row r="434" spans="1:21" s="71" customFormat="1" hidden="1">
      <c r="A434" s="64"/>
      <c r="B434" s="884"/>
      <c r="C434" s="128"/>
      <c r="D434" s="128"/>
      <c r="E434" s="128"/>
      <c r="N434" s="884"/>
      <c r="P434" s="885"/>
      <c r="R434" s="64"/>
      <c r="S434" s="64"/>
      <c r="T434" s="64"/>
      <c r="U434" s="64"/>
    </row>
    <row r="435" spans="1:21" s="71" customFormat="1" hidden="1">
      <c r="A435" s="64"/>
      <c r="B435" s="884"/>
      <c r="C435" s="128"/>
      <c r="D435" s="128"/>
      <c r="E435" s="128"/>
      <c r="N435" s="884"/>
      <c r="P435" s="885"/>
      <c r="R435" s="64"/>
      <c r="S435" s="64"/>
      <c r="T435" s="64"/>
      <c r="U435" s="64"/>
    </row>
    <row r="436" spans="1:21" s="71" customFormat="1" hidden="1">
      <c r="A436" s="64"/>
      <c r="B436" s="884"/>
      <c r="C436" s="128"/>
      <c r="D436" s="128"/>
      <c r="E436" s="128"/>
      <c r="N436" s="884"/>
      <c r="P436" s="885"/>
      <c r="R436" s="64"/>
      <c r="S436" s="64"/>
      <c r="T436" s="64"/>
      <c r="U436" s="64"/>
    </row>
    <row r="437" spans="1:21" s="71" customFormat="1" hidden="1">
      <c r="A437" s="64"/>
      <c r="B437" s="884"/>
      <c r="C437" s="128"/>
      <c r="D437" s="128"/>
      <c r="E437" s="128"/>
      <c r="N437" s="884"/>
      <c r="P437" s="885"/>
      <c r="R437" s="64"/>
      <c r="S437" s="64"/>
      <c r="T437" s="64"/>
      <c r="U437" s="64"/>
    </row>
    <row r="438" spans="1:21" s="71" customFormat="1" hidden="1">
      <c r="A438" s="64"/>
      <c r="B438" s="884"/>
      <c r="C438" s="128"/>
      <c r="D438" s="128"/>
      <c r="E438" s="128"/>
      <c r="N438" s="884"/>
      <c r="P438" s="885"/>
      <c r="R438" s="64"/>
      <c r="S438" s="64"/>
      <c r="T438" s="64"/>
      <c r="U438" s="64"/>
    </row>
    <row r="439" spans="1:21" s="71" customFormat="1" hidden="1">
      <c r="A439" s="64"/>
      <c r="B439" s="884"/>
      <c r="C439" s="128"/>
      <c r="D439" s="128"/>
      <c r="E439" s="128"/>
      <c r="N439" s="884"/>
      <c r="P439" s="885"/>
      <c r="R439" s="64"/>
      <c r="S439" s="64"/>
      <c r="T439" s="64"/>
      <c r="U439" s="64"/>
    </row>
    <row r="440" spans="1:21" s="71" customFormat="1" hidden="1">
      <c r="A440" s="64"/>
      <c r="B440" s="884"/>
      <c r="C440" s="128"/>
      <c r="D440" s="128"/>
      <c r="E440" s="128"/>
      <c r="N440" s="884"/>
      <c r="P440" s="885"/>
      <c r="R440" s="64"/>
      <c r="S440" s="64"/>
      <c r="T440" s="64"/>
      <c r="U440" s="64"/>
    </row>
    <row r="441" spans="1:21" s="71" customFormat="1" hidden="1">
      <c r="A441" s="64"/>
      <c r="B441" s="884"/>
      <c r="C441" s="128"/>
      <c r="D441" s="128"/>
      <c r="E441" s="128"/>
      <c r="N441" s="884"/>
      <c r="P441" s="885"/>
      <c r="R441" s="64"/>
      <c r="S441" s="64"/>
      <c r="T441" s="64"/>
      <c r="U441" s="64"/>
    </row>
    <row r="442" spans="1:21" s="71" customFormat="1" hidden="1">
      <c r="A442" s="64"/>
      <c r="B442" s="884"/>
      <c r="C442" s="128"/>
      <c r="D442" s="128"/>
      <c r="E442" s="128"/>
      <c r="N442" s="884"/>
      <c r="P442" s="885"/>
      <c r="R442" s="64"/>
      <c r="S442" s="64"/>
      <c r="T442" s="64"/>
      <c r="U442" s="64"/>
    </row>
    <row r="443" spans="1:21" s="71" customFormat="1" hidden="1">
      <c r="A443" s="64"/>
      <c r="B443" s="884"/>
      <c r="C443" s="128"/>
      <c r="D443" s="128"/>
      <c r="E443" s="128"/>
      <c r="N443" s="884"/>
      <c r="P443" s="885"/>
      <c r="R443" s="64"/>
      <c r="S443" s="64"/>
      <c r="T443" s="64"/>
      <c r="U443" s="64"/>
    </row>
    <row r="444" spans="1:21" s="71" customFormat="1" hidden="1">
      <c r="A444" s="64"/>
      <c r="B444" s="884"/>
      <c r="C444" s="128"/>
      <c r="D444" s="128"/>
      <c r="E444" s="128"/>
      <c r="N444" s="884"/>
      <c r="P444" s="885"/>
      <c r="R444" s="64"/>
      <c r="S444" s="64"/>
      <c r="T444" s="64"/>
      <c r="U444" s="64"/>
    </row>
    <row r="445" spans="1:21" s="71" customFormat="1" hidden="1">
      <c r="A445" s="64"/>
      <c r="B445" s="884"/>
      <c r="C445" s="128"/>
      <c r="D445" s="128"/>
      <c r="E445" s="128"/>
      <c r="N445" s="884"/>
      <c r="P445" s="885"/>
      <c r="R445" s="64"/>
      <c r="S445" s="64"/>
      <c r="T445" s="64"/>
      <c r="U445" s="64"/>
    </row>
    <row r="446" spans="1:21" s="71" customFormat="1" hidden="1">
      <c r="A446" s="64"/>
      <c r="B446" s="884"/>
      <c r="C446" s="128"/>
      <c r="D446" s="128"/>
      <c r="E446" s="128"/>
      <c r="N446" s="884"/>
      <c r="P446" s="885"/>
      <c r="R446" s="64"/>
      <c r="S446" s="64"/>
      <c r="T446" s="64"/>
      <c r="U446" s="64"/>
    </row>
    <row r="447" spans="1:21" s="71" customFormat="1" hidden="1">
      <c r="A447" s="64"/>
      <c r="B447" s="884"/>
      <c r="C447" s="128"/>
      <c r="D447" s="128"/>
      <c r="E447" s="128"/>
      <c r="N447" s="884"/>
      <c r="P447" s="885"/>
      <c r="R447" s="64"/>
      <c r="S447" s="64"/>
      <c r="T447" s="64"/>
      <c r="U447" s="64"/>
    </row>
    <row r="448" spans="1:21" s="71" customFormat="1" hidden="1">
      <c r="A448" s="64"/>
      <c r="B448" s="884"/>
      <c r="C448" s="128"/>
      <c r="D448" s="128"/>
      <c r="E448" s="128"/>
      <c r="N448" s="884"/>
      <c r="P448" s="885"/>
      <c r="R448" s="64"/>
      <c r="S448" s="64"/>
      <c r="T448" s="64"/>
      <c r="U448" s="64"/>
    </row>
    <row r="449" spans="1:21" s="71" customFormat="1" hidden="1">
      <c r="A449" s="64"/>
      <c r="B449" s="884"/>
      <c r="C449" s="128"/>
      <c r="D449" s="128"/>
      <c r="E449" s="128"/>
      <c r="N449" s="884"/>
      <c r="P449" s="885"/>
      <c r="R449" s="64"/>
      <c r="S449" s="64"/>
      <c r="T449" s="64"/>
      <c r="U449" s="64"/>
    </row>
    <row r="450" spans="1:21" s="71" customFormat="1" hidden="1">
      <c r="A450" s="64"/>
      <c r="B450" s="884"/>
      <c r="C450" s="128"/>
      <c r="D450" s="128"/>
      <c r="E450" s="128"/>
      <c r="N450" s="884"/>
      <c r="P450" s="885"/>
      <c r="R450" s="64"/>
      <c r="S450" s="64"/>
      <c r="T450" s="64"/>
      <c r="U450" s="64"/>
    </row>
    <row r="451" spans="1:21" s="71" customFormat="1" hidden="1">
      <c r="A451" s="64"/>
      <c r="B451" s="884"/>
      <c r="C451" s="128"/>
      <c r="D451" s="128"/>
      <c r="E451" s="128"/>
      <c r="N451" s="884"/>
      <c r="P451" s="885"/>
      <c r="R451" s="64"/>
      <c r="S451" s="64"/>
      <c r="T451" s="64"/>
      <c r="U451" s="64"/>
    </row>
    <row r="452" spans="1:21" s="71" customFormat="1" hidden="1">
      <c r="A452" s="64"/>
      <c r="B452" s="884"/>
      <c r="C452" s="128"/>
      <c r="D452" s="128"/>
      <c r="E452" s="128"/>
      <c r="N452" s="884"/>
      <c r="P452" s="885"/>
      <c r="R452" s="64"/>
      <c r="S452" s="64"/>
      <c r="T452" s="64"/>
      <c r="U452" s="64"/>
    </row>
    <row r="453" spans="1:21" s="71" customFormat="1" hidden="1">
      <c r="A453" s="64"/>
      <c r="B453" s="884"/>
      <c r="C453" s="128"/>
      <c r="D453" s="128"/>
      <c r="E453" s="128"/>
      <c r="N453" s="884"/>
      <c r="P453" s="885"/>
      <c r="R453" s="64"/>
      <c r="S453" s="64"/>
      <c r="T453" s="64"/>
      <c r="U453" s="64"/>
    </row>
    <row r="454" spans="1:21" s="71" customFormat="1" hidden="1">
      <c r="A454" s="64"/>
      <c r="B454" s="884"/>
      <c r="C454" s="128"/>
      <c r="D454" s="128"/>
      <c r="E454" s="128"/>
      <c r="N454" s="884"/>
      <c r="P454" s="885"/>
      <c r="R454" s="64"/>
      <c r="S454" s="64"/>
      <c r="T454" s="64"/>
      <c r="U454" s="64"/>
    </row>
    <row r="455" spans="1:21" s="71" customFormat="1" hidden="1">
      <c r="A455" s="64"/>
      <c r="B455" s="884"/>
      <c r="C455" s="128"/>
      <c r="D455" s="128"/>
      <c r="E455" s="128"/>
      <c r="N455" s="884"/>
      <c r="P455" s="885"/>
      <c r="R455" s="64"/>
      <c r="S455" s="64"/>
      <c r="T455" s="64"/>
      <c r="U455" s="64"/>
    </row>
    <row r="456" spans="1:21" s="71" customFormat="1" hidden="1">
      <c r="A456" s="64"/>
      <c r="B456" s="884"/>
      <c r="C456" s="128"/>
      <c r="D456" s="128"/>
      <c r="E456" s="128"/>
      <c r="N456" s="884"/>
      <c r="P456" s="885"/>
      <c r="R456" s="64"/>
      <c r="S456" s="64"/>
      <c r="T456" s="64"/>
      <c r="U456" s="64"/>
    </row>
    <row r="457" spans="1:21" s="71" customFormat="1" hidden="1">
      <c r="A457" s="64"/>
      <c r="B457" s="884"/>
      <c r="C457" s="128"/>
      <c r="D457" s="128"/>
      <c r="E457" s="128"/>
      <c r="N457" s="884"/>
      <c r="P457" s="885"/>
      <c r="R457" s="64"/>
      <c r="S457" s="64"/>
      <c r="T457" s="64"/>
      <c r="U457" s="64"/>
    </row>
    <row r="458" spans="1:21" s="71" customFormat="1" hidden="1">
      <c r="A458" s="64"/>
      <c r="B458" s="884"/>
      <c r="C458" s="128"/>
      <c r="D458" s="128"/>
      <c r="E458" s="128"/>
      <c r="N458" s="884"/>
      <c r="P458" s="885"/>
      <c r="R458" s="64"/>
      <c r="S458" s="64"/>
      <c r="T458" s="64"/>
      <c r="U458" s="64"/>
    </row>
    <row r="459" spans="1:21" s="71" customFormat="1" hidden="1">
      <c r="A459" s="64"/>
      <c r="B459" s="884"/>
      <c r="C459" s="128"/>
      <c r="D459" s="128"/>
      <c r="E459" s="128"/>
      <c r="N459" s="884"/>
      <c r="P459" s="885"/>
      <c r="R459" s="64"/>
      <c r="S459" s="64"/>
      <c r="T459" s="64"/>
      <c r="U459" s="64"/>
    </row>
    <row r="460" spans="1:21" s="71" customFormat="1" hidden="1">
      <c r="A460" s="64"/>
      <c r="B460" s="884"/>
      <c r="C460" s="128"/>
      <c r="D460" s="128"/>
      <c r="E460" s="128"/>
      <c r="N460" s="884"/>
      <c r="P460" s="885"/>
      <c r="R460" s="64"/>
      <c r="S460" s="64"/>
      <c r="T460" s="64"/>
      <c r="U460" s="64"/>
    </row>
    <row r="461" spans="1:21" s="71" customFormat="1" hidden="1">
      <c r="A461" s="64"/>
      <c r="B461" s="884"/>
      <c r="C461" s="128"/>
      <c r="D461" s="128"/>
      <c r="E461" s="128"/>
      <c r="N461" s="884"/>
      <c r="P461" s="885"/>
      <c r="R461" s="64"/>
      <c r="S461" s="64"/>
      <c r="T461" s="64"/>
      <c r="U461" s="64"/>
    </row>
    <row r="462" spans="1:21" s="71" customFormat="1" hidden="1">
      <c r="A462" s="64"/>
      <c r="B462" s="884"/>
      <c r="C462" s="128"/>
      <c r="D462" s="128"/>
      <c r="E462" s="128"/>
      <c r="N462" s="884"/>
      <c r="P462" s="885"/>
      <c r="R462" s="64"/>
      <c r="S462" s="64"/>
      <c r="T462" s="64"/>
      <c r="U462" s="64"/>
    </row>
    <row r="463" spans="1:21" s="71" customFormat="1" hidden="1">
      <c r="A463" s="64"/>
      <c r="B463" s="884"/>
      <c r="C463" s="128"/>
      <c r="D463" s="128"/>
      <c r="E463" s="128"/>
      <c r="N463" s="884"/>
      <c r="P463" s="885"/>
      <c r="R463" s="64"/>
      <c r="S463" s="64"/>
      <c r="T463" s="64"/>
      <c r="U463" s="64"/>
    </row>
    <row r="464" spans="1:21" s="71" customFormat="1" hidden="1">
      <c r="A464" s="64"/>
      <c r="B464" s="884"/>
      <c r="C464" s="128"/>
      <c r="D464" s="128"/>
      <c r="E464" s="128"/>
      <c r="N464" s="884"/>
      <c r="P464" s="885"/>
      <c r="R464" s="64"/>
      <c r="S464" s="64"/>
      <c r="T464" s="64"/>
      <c r="U464" s="64"/>
    </row>
    <row r="465" spans="1:21" s="71" customFormat="1" hidden="1">
      <c r="A465" s="64"/>
      <c r="B465" s="884"/>
      <c r="C465" s="128"/>
      <c r="D465" s="128"/>
      <c r="E465" s="128"/>
      <c r="N465" s="884"/>
      <c r="P465" s="885"/>
      <c r="R465" s="64"/>
      <c r="S465" s="64"/>
      <c r="T465" s="64"/>
      <c r="U465" s="64"/>
    </row>
    <row r="466" spans="1:21" s="71" customFormat="1" hidden="1">
      <c r="A466" s="64"/>
      <c r="B466" s="884"/>
      <c r="C466" s="128"/>
      <c r="D466" s="128"/>
      <c r="E466" s="128"/>
      <c r="N466" s="884"/>
      <c r="P466" s="885"/>
      <c r="R466" s="64"/>
      <c r="S466" s="64"/>
      <c r="T466" s="64"/>
      <c r="U466" s="64"/>
    </row>
    <row r="467" spans="1:21" s="71" customFormat="1" hidden="1">
      <c r="A467" s="64"/>
      <c r="B467" s="884"/>
      <c r="C467" s="128"/>
      <c r="D467" s="128"/>
      <c r="E467" s="128"/>
      <c r="N467" s="884"/>
      <c r="P467" s="885"/>
      <c r="R467" s="64"/>
      <c r="S467" s="64"/>
      <c r="T467" s="64"/>
      <c r="U467" s="64"/>
    </row>
    <row r="468" spans="1:21" s="71" customFormat="1" hidden="1">
      <c r="A468" s="64"/>
      <c r="B468" s="884"/>
      <c r="C468" s="128"/>
      <c r="D468" s="128"/>
      <c r="E468" s="128"/>
      <c r="N468" s="884"/>
      <c r="P468" s="885"/>
      <c r="R468" s="64"/>
      <c r="S468" s="64"/>
      <c r="T468" s="64"/>
      <c r="U468" s="64"/>
    </row>
    <row r="469" spans="1:21" s="71" customFormat="1" hidden="1">
      <c r="A469" s="64"/>
      <c r="B469" s="884"/>
      <c r="C469" s="128"/>
      <c r="D469" s="128"/>
      <c r="E469" s="128"/>
      <c r="N469" s="884"/>
      <c r="P469" s="885"/>
      <c r="R469" s="64"/>
      <c r="S469" s="64"/>
      <c r="T469" s="64"/>
      <c r="U469" s="64"/>
    </row>
    <row r="470" spans="1:21" s="71" customFormat="1" hidden="1">
      <c r="A470" s="64"/>
      <c r="B470" s="884"/>
      <c r="C470" s="128"/>
      <c r="D470" s="128"/>
      <c r="E470" s="128"/>
      <c r="N470" s="884"/>
      <c r="P470" s="885"/>
      <c r="R470" s="64"/>
      <c r="S470" s="64"/>
      <c r="T470" s="64"/>
      <c r="U470" s="64"/>
    </row>
    <row r="471" spans="1:21" s="71" customFormat="1" hidden="1">
      <c r="A471" s="64"/>
      <c r="B471" s="884"/>
      <c r="C471" s="128"/>
      <c r="D471" s="128"/>
      <c r="E471" s="128"/>
      <c r="N471" s="884"/>
      <c r="P471" s="885"/>
      <c r="R471" s="64"/>
      <c r="S471" s="64"/>
      <c r="T471" s="64"/>
      <c r="U471" s="64"/>
    </row>
    <row r="472" spans="1:21" s="71" customFormat="1" hidden="1">
      <c r="A472" s="64"/>
      <c r="B472" s="884"/>
      <c r="C472" s="128"/>
      <c r="D472" s="128"/>
      <c r="E472" s="128"/>
      <c r="N472" s="884"/>
      <c r="P472" s="885"/>
      <c r="R472" s="64"/>
      <c r="S472" s="64"/>
      <c r="T472" s="64"/>
      <c r="U472" s="64"/>
    </row>
    <row r="473" spans="1:21" s="71" customFormat="1" hidden="1">
      <c r="A473" s="64"/>
      <c r="B473" s="884"/>
      <c r="C473" s="128"/>
      <c r="D473" s="128"/>
      <c r="E473" s="128"/>
      <c r="N473" s="884"/>
      <c r="P473" s="885"/>
      <c r="R473" s="64"/>
      <c r="S473" s="64"/>
      <c r="T473" s="64"/>
      <c r="U473" s="64"/>
    </row>
    <row r="474" spans="1:21" s="71" customFormat="1" hidden="1">
      <c r="A474" s="64"/>
      <c r="B474" s="884"/>
      <c r="C474" s="128"/>
      <c r="D474" s="128"/>
      <c r="E474" s="128"/>
      <c r="N474" s="884"/>
      <c r="P474" s="885"/>
      <c r="R474" s="64"/>
      <c r="S474" s="64"/>
      <c r="T474" s="64"/>
      <c r="U474" s="64"/>
    </row>
    <row r="475" spans="1:21" s="71" customFormat="1" hidden="1">
      <c r="A475" s="64"/>
      <c r="B475" s="884"/>
      <c r="C475" s="128"/>
      <c r="D475" s="128"/>
      <c r="E475" s="128"/>
      <c r="N475" s="884"/>
      <c r="P475" s="885"/>
      <c r="R475" s="64"/>
      <c r="S475" s="64"/>
      <c r="T475" s="64"/>
      <c r="U475" s="64"/>
    </row>
    <row r="476" spans="1:21" s="71" customFormat="1" hidden="1">
      <c r="A476" s="64"/>
      <c r="B476" s="884"/>
      <c r="C476" s="128"/>
      <c r="D476" s="128"/>
      <c r="E476" s="128"/>
      <c r="N476" s="884"/>
      <c r="P476" s="885"/>
      <c r="R476" s="64"/>
      <c r="S476" s="64"/>
      <c r="T476" s="64"/>
      <c r="U476" s="64"/>
    </row>
    <row r="477" spans="1:21" s="71" customFormat="1" hidden="1">
      <c r="A477" s="64"/>
      <c r="B477" s="884"/>
      <c r="C477" s="128"/>
      <c r="D477" s="128"/>
      <c r="E477" s="128"/>
      <c r="N477" s="884"/>
      <c r="P477" s="885"/>
      <c r="R477" s="64"/>
      <c r="S477" s="64"/>
      <c r="T477" s="64"/>
      <c r="U477" s="64"/>
    </row>
    <row r="478" spans="1:21" s="71" customFormat="1" hidden="1">
      <c r="A478" s="64"/>
      <c r="B478" s="884"/>
      <c r="C478" s="128"/>
      <c r="D478" s="128"/>
      <c r="E478" s="128"/>
      <c r="N478" s="884"/>
      <c r="P478" s="885"/>
      <c r="R478" s="64"/>
      <c r="S478" s="64"/>
      <c r="T478" s="64"/>
      <c r="U478" s="64"/>
    </row>
    <row r="479" spans="1:21" s="71" customFormat="1" hidden="1">
      <c r="A479" s="64"/>
      <c r="B479" s="884"/>
      <c r="C479" s="128"/>
      <c r="D479" s="128"/>
      <c r="E479" s="128"/>
      <c r="N479" s="884"/>
      <c r="P479" s="885"/>
      <c r="R479" s="64"/>
      <c r="S479" s="64"/>
      <c r="T479" s="64"/>
      <c r="U479" s="64"/>
    </row>
    <row r="480" spans="1:21" s="71" customFormat="1" hidden="1">
      <c r="A480" s="64"/>
      <c r="B480" s="884"/>
      <c r="C480" s="128"/>
      <c r="D480" s="128"/>
      <c r="E480" s="128"/>
      <c r="N480" s="884"/>
      <c r="P480" s="885"/>
      <c r="R480" s="64"/>
      <c r="S480" s="64"/>
      <c r="T480" s="64"/>
      <c r="U480" s="64"/>
    </row>
    <row r="481" spans="1:21" s="71" customFormat="1" hidden="1">
      <c r="A481" s="64"/>
      <c r="B481" s="884"/>
      <c r="C481" s="128"/>
      <c r="D481" s="128"/>
      <c r="E481" s="128"/>
      <c r="N481" s="884"/>
      <c r="P481" s="885"/>
      <c r="R481" s="64"/>
      <c r="S481" s="64"/>
      <c r="T481" s="64"/>
      <c r="U481" s="64"/>
    </row>
    <row r="482" spans="1:21" s="71" customFormat="1" hidden="1">
      <c r="A482" s="64"/>
      <c r="B482" s="884"/>
      <c r="C482" s="128"/>
      <c r="D482" s="128"/>
      <c r="E482" s="128"/>
      <c r="N482" s="884"/>
      <c r="P482" s="885"/>
      <c r="R482" s="64"/>
      <c r="S482" s="64"/>
      <c r="T482" s="64"/>
      <c r="U482" s="64"/>
    </row>
    <row r="483" spans="1:21" s="71" customFormat="1" hidden="1">
      <c r="A483" s="64"/>
      <c r="B483" s="884"/>
      <c r="C483" s="128"/>
      <c r="D483" s="128"/>
      <c r="E483" s="128"/>
      <c r="N483" s="884"/>
      <c r="P483" s="885"/>
      <c r="R483" s="64"/>
      <c r="S483" s="64"/>
      <c r="T483" s="64"/>
      <c r="U483" s="64"/>
    </row>
    <row r="484" spans="1:21" s="71" customFormat="1" hidden="1">
      <c r="A484" s="64"/>
      <c r="B484" s="884"/>
      <c r="C484" s="128"/>
      <c r="D484" s="128"/>
      <c r="E484" s="128"/>
      <c r="N484" s="884"/>
      <c r="P484" s="885"/>
      <c r="R484" s="64"/>
      <c r="S484" s="64"/>
      <c r="T484" s="64"/>
      <c r="U484" s="64"/>
    </row>
    <row r="485" spans="1:21" s="71" customFormat="1" hidden="1">
      <c r="A485" s="64"/>
      <c r="B485" s="884"/>
      <c r="C485" s="128"/>
      <c r="D485" s="128"/>
      <c r="E485" s="128"/>
      <c r="N485" s="884"/>
      <c r="P485" s="885"/>
      <c r="R485" s="64"/>
      <c r="S485" s="64"/>
      <c r="T485" s="64"/>
      <c r="U485" s="64"/>
    </row>
    <row r="486" spans="1:21" s="71" customFormat="1" hidden="1">
      <c r="A486" s="64"/>
      <c r="B486" s="884"/>
      <c r="C486" s="128"/>
      <c r="D486" s="128"/>
      <c r="E486" s="128"/>
      <c r="N486" s="884"/>
      <c r="P486" s="885"/>
      <c r="R486" s="64"/>
      <c r="S486" s="64"/>
      <c r="T486" s="64"/>
      <c r="U486" s="64"/>
    </row>
    <row r="487" spans="1:21" s="71" customFormat="1" hidden="1">
      <c r="A487" s="64"/>
      <c r="B487" s="884"/>
      <c r="C487" s="128"/>
      <c r="D487" s="128"/>
      <c r="E487" s="128"/>
      <c r="N487" s="884"/>
      <c r="P487" s="885"/>
      <c r="R487" s="64"/>
      <c r="S487" s="64"/>
      <c r="T487" s="64"/>
      <c r="U487" s="64"/>
    </row>
    <row r="488" spans="1:21" s="71" customFormat="1" hidden="1">
      <c r="A488" s="64"/>
      <c r="B488" s="884"/>
      <c r="C488" s="128"/>
      <c r="D488" s="128"/>
      <c r="E488" s="128"/>
      <c r="N488" s="884"/>
      <c r="P488" s="885"/>
      <c r="R488" s="64"/>
      <c r="S488" s="64"/>
      <c r="T488" s="64"/>
      <c r="U488" s="64"/>
    </row>
    <row r="489" spans="1:21" s="71" customFormat="1" hidden="1">
      <c r="A489" s="64"/>
      <c r="B489" s="884"/>
      <c r="C489" s="128"/>
      <c r="D489" s="128"/>
      <c r="E489" s="128"/>
      <c r="N489" s="884"/>
      <c r="P489" s="885"/>
      <c r="R489" s="64"/>
      <c r="S489" s="64"/>
      <c r="T489" s="64"/>
      <c r="U489" s="64"/>
    </row>
    <row r="490" spans="1:21" s="71" customFormat="1" hidden="1">
      <c r="A490" s="64"/>
      <c r="B490" s="884"/>
      <c r="C490" s="128"/>
      <c r="D490" s="128"/>
      <c r="E490" s="128"/>
      <c r="N490" s="884"/>
      <c r="P490" s="885"/>
      <c r="R490" s="64"/>
      <c r="S490" s="64"/>
      <c r="T490" s="64"/>
      <c r="U490" s="64"/>
    </row>
    <row r="491" spans="1:21" s="71" customFormat="1" hidden="1">
      <c r="A491" s="64"/>
      <c r="B491" s="884"/>
      <c r="C491" s="128"/>
      <c r="D491" s="128"/>
      <c r="E491" s="128"/>
      <c r="N491" s="884"/>
      <c r="P491" s="885"/>
      <c r="R491" s="64"/>
      <c r="S491" s="64"/>
      <c r="T491" s="64"/>
      <c r="U491" s="64"/>
    </row>
    <row r="492" spans="1:21" s="71" customFormat="1" hidden="1">
      <c r="A492" s="64"/>
      <c r="B492" s="884"/>
      <c r="C492" s="128"/>
      <c r="D492" s="128"/>
      <c r="E492" s="128"/>
      <c r="N492" s="884"/>
      <c r="P492" s="885"/>
      <c r="R492" s="64"/>
      <c r="S492" s="64"/>
      <c r="T492" s="64"/>
      <c r="U492" s="64"/>
    </row>
    <row r="493" spans="1:21" s="71" customFormat="1" hidden="1">
      <c r="A493" s="64"/>
      <c r="B493" s="884"/>
      <c r="C493" s="128"/>
      <c r="D493" s="128"/>
      <c r="E493" s="128"/>
      <c r="N493" s="884"/>
      <c r="P493" s="885"/>
      <c r="R493" s="64"/>
      <c r="S493" s="64"/>
      <c r="T493" s="64"/>
      <c r="U493" s="64"/>
    </row>
    <row r="494" spans="1:21" s="71" customFormat="1" hidden="1">
      <c r="A494" s="64"/>
      <c r="B494" s="884"/>
      <c r="C494" s="128"/>
      <c r="D494" s="128"/>
      <c r="E494" s="128"/>
      <c r="N494" s="884"/>
      <c r="P494" s="885"/>
      <c r="R494" s="64"/>
      <c r="S494" s="64"/>
      <c r="T494" s="64"/>
      <c r="U494" s="64"/>
    </row>
    <row r="495" spans="1:21" s="71" customFormat="1" hidden="1">
      <c r="A495" s="64"/>
      <c r="B495" s="884"/>
      <c r="C495" s="128"/>
      <c r="D495" s="128"/>
      <c r="E495" s="128"/>
      <c r="N495" s="884"/>
      <c r="P495" s="885"/>
      <c r="R495" s="64"/>
      <c r="S495" s="64"/>
      <c r="T495" s="64"/>
      <c r="U495" s="64"/>
    </row>
    <row r="496" spans="1:21" s="71" customFormat="1" hidden="1">
      <c r="A496" s="64"/>
      <c r="B496" s="884"/>
      <c r="C496" s="128"/>
      <c r="D496" s="128"/>
      <c r="E496" s="128"/>
      <c r="N496" s="884"/>
      <c r="P496" s="885"/>
      <c r="R496" s="64"/>
      <c r="S496" s="64"/>
      <c r="T496" s="64"/>
      <c r="U496" s="64"/>
    </row>
    <row r="497" spans="1:21" s="71" customFormat="1" hidden="1">
      <c r="A497" s="64"/>
      <c r="B497" s="884"/>
      <c r="C497" s="128"/>
      <c r="D497" s="128"/>
      <c r="E497" s="128"/>
      <c r="N497" s="884"/>
      <c r="P497" s="885"/>
      <c r="R497" s="64"/>
      <c r="S497" s="64"/>
      <c r="T497" s="64"/>
      <c r="U497" s="64"/>
    </row>
    <row r="498" spans="1:21" s="71" customFormat="1" hidden="1">
      <c r="A498" s="64"/>
      <c r="B498" s="884"/>
      <c r="C498" s="128"/>
      <c r="D498" s="128"/>
      <c r="E498" s="128"/>
      <c r="N498" s="884"/>
      <c r="P498" s="885"/>
      <c r="R498" s="64"/>
      <c r="S498" s="64"/>
      <c r="T498" s="64"/>
      <c r="U498" s="64"/>
    </row>
    <row r="499" spans="1:21" s="71" customFormat="1" hidden="1">
      <c r="A499" s="64"/>
      <c r="B499" s="884"/>
      <c r="C499" s="128"/>
      <c r="D499" s="128"/>
      <c r="E499" s="128"/>
      <c r="N499" s="884"/>
      <c r="P499" s="885"/>
      <c r="R499" s="64"/>
      <c r="S499" s="64"/>
      <c r="T499" s="64"/>
      <c r="U499" s="64"/>
    </row>
    <row r="500" spans="1:21" s="71" customFormat="1" hidden="1">
      <c r="A500" s="64"/>
      <c r="B500" s="884"/>
      <c r="C500" s="128"/>
      <c r="D500" s="128"/>
      <c r="E500" s="128"/>
      <c r="N500" s="884"/>
      <c r="P500" s="885"/>
      <c r="R500" s="64"/>
      <c r="S500" s="64"/>
      <c r="T500" s="64"/>
      <c r="U500" s="64"/>
    </row>
    <row r="501" spans="1:21" s="71" customFormat="1" hidden="1">
      <c r="A501" s="64"/>
      <c r="B501" s="884"/>
      <c r="C501" s="128"/>
      <c r="D501" s="128"/>
      <c r="E501" s="128"/>
      <c r="N501" s="884"/>
      <c r="P501" s="885"/>
      <c r="R501" s="64"/>
      <c r="S501" s="64"/>
      <c r="T501" s="64"/>
      <c r="U501" s="64"/>
    </row>
    <row r="502" spans="1:21" s="71" customFormat="1" hidden="1">
      <c r="A502" s="64"/>
      <c r="B502" s="884"/>
      <c r="C502" s="128"/>
      <c r="D502" s="128"/>
      <c r="E502" s="128"/>
      <c r="N502" s="884"/>
      <c r="P502" s="885"/>
      <c r="R502" s="64"/>
      <c r="S502" s="64"/>
      <c r="T502" s="64"/>
      <c r="U502" s="64"/>
    </row>
    <row r="503" spans="1:21" s="71" customFormat="1" hidden="1">
      <c r="A503" s="64"/>
      <c r="B503" s="884"/>
      <c r="C503" s="128"/>
      <c r="D503" s="128"/>
      <c r="E503" s="128"/>
      <c r="N503" s="884"/>
      <c r="P503" s="885"/>
      <c r="R503" s="64"/>
      <c r="S503" s="64"/>
      <c r="T503" s="64"/>
      <c r="U503" s="64"/>
    </row>
    <row r="504" spans="1:21" s="71" customFormat="1" hidden="1">
      <c r="A504" s="64"/>
      <c r="B504" s="884"/>
      <c r="C504" s="128"/>
      <c r="D504" s="128"/>
      <c r="E504" s="128"/>
      <c r="N504" s="884"/>
      <c r="P504" s="885"/>
      <c r="R504" s="64"/>
      <c r="S504" s="64"/>
      <c r="T504" s="64"/>
      <c r="U504" s="64"/>
    </row>
    <row r="505" spans="1:21" s="71" customFormat="1" hidden="1">
      <c r="A505" s="64"/>
      <c r="B505" s="884"/>
      <c r="C505" s="128"/>
      <c r="D505" s="128"/>
      <c r="E505" s="128"/>
      <c r="N505" s="884"/>
      <c r="P505" s="885"/>
      <c r="R505" s="64"/>
      <c r="S505" s="64"/>
      <c r="T505" s="64"/>
      <c r="U505" s="64"/>
    </row>
    <row r="506" spans="1:21" s="71" customFormat="1" hidden="1">
      <c r="A506" s="64"/>
      <c r="B506" s="884"/>
      <c r="C506" s="128"/>
      <c r="D506" s="128"/>
      <c r="E506" s="128"/>
      <c r="N506" s="884"/>
      <c r="P506" s="885"/>
      <c r="R506" s="64"/>
      <c r="S506" s="64"/>
      <c r="T506" s="64"/>
      <c r="U506" s="64"/>
    </row>
    <row r="507" spans="1:21" s="71" customFormat="1" hidden="1">
      <c r="A507" s="64"/>
      <c r="B507" s="884"/>
      <c r="C507" s="128"/>
      <c r="D507" s="128"/>
      <c r="E507" s="128"/>
      <c r="N507" s="884"/>
      <c r="P507" s="885"/>
      <c r="R507" s="64"/>
      <c r="S507" s="64"/>
      <c r="T507" s="64"/>
      <c r="U507" s="64"/>
    </row>
    <row r="508" spans="1:21" s="71" customFormat="1" hidden="1">
      <c r="A508" s="64"/>
      <c r="B508" s="884"/>
      <c r="C508" s="128"/>
      <c r="D508" s="128"/>
      <c r="E508" s="128"/>
      <c r="N508" s="884"/>
      <c r="P508" s="885"/>
      <c r="R508" s="64"/>
      <c r="S508" s="64"/>
      <c r="T508" s="64"/>
      <c r="U508" s="64"/>
    </row>
    <row r="509" spans="1:21" s="71" customFormat="1" hidden="1">
      <c r="A509" s="64"/>
      <c r="B509" s="884"/>
      <c r="C509" s="128"/>
      <c r="D509" s="128"/>
      <c r="E509" s="128"/>
      <c r="N509" s="884"/>
      <c r="P509" s="885"/>
      <c r="R509" s="64"/>
      <c r="S509" s="64"/>
      <c r="T509" s="64"/>
      <c r="U509" s="64"/>
    </row>
    <row r="510" spans="1:21" s="71" customFormat="1" hidden="1">
      <c r="A510" s="64"/>
      <c r="B510" s="884"/>
      <c r="C510" s="128"/>
      <c r="D510" s="128"/>
      <c r="E510" s="128"/>
      <c r="N510" s="884"/>
      <c r="P510" s="885"/>
      <c r="R510" s="64"/>
      <c r="S510" s="64"/>
      <c r="T510" s="64"/>
      <c r="U510" s="64"/>
    </row>
    <row r="511" spans="1:21" s="71" customFormat="1" hidden="1">
      <c r="A511" s="64"/>
      <c r="B511" s="884"/>
      <c r="C511" s="128"/>
      <c r="D511" s="128"/>
      <c r="E511" s="128"/>
      <c r="N511" s="884"/>
      <c r="P511" s="885"/>
      <c r="R511" s="64"/>
      <c r="S511" s="64"/>
      <c r="T511" s="64"/>
      <c r="U511" s="64"/>
    </row>
    <row r="512" spans="1:21" s="71" customFormat="1" hidden="1">
      <c r="A512" s="64"/>
      <c r="B512" s="884"/>
      <c r="C512" s="128"/>
      <c r="D512" s="128"/>
      <c r="E512" s="128"/>
      <c r="N512" s="884"/>
      <c r="P512" s="885"/>
      <c r="R512" s="64"/>
      <c r="S512" s="64"/>
      <c r="T512" s="64"/>
      <c r="U512" s="64"/>
    </row>
    <row r="513" spans="1:21" s="71" customFormat="1" hidden="1">
      <c r="A513" s="64"/>
      <c r="B513" s="884"/>
      <c r="C513" s="128"/>
      <c r="D513" s="128"/>
      <c r="E513" s="128"/>
      <c r="N513" s="884"/>
      <c r="P513" s="885"/>
      <c r="R513" s="64"/>
      <c r="S513" s="64"/>
      <c r="T513" s="64"/>
      <c r="U513" s="64"/>
    </row>
    <row r="514" spans="1:21" s="71" customFormat="1" hidden="1">
      <c r="A514" s="64"/>
      <c r="B514" s="884"/>
      <c r="C514" s="128"/>
      <c r="D514" s="128"/>
      <c r="E514" s="128"/>
      <c r="N514" s="884"/>
      <c r="P514" s="885"/>
      <c r="R514" s="64"/>
      <c r="S514" s="64"/>
      <c r="T514" s="64"/>
      <c r="U514" s="64"/>
    </row>
    <row r="515" spans="1:21" s="71" customFormat="1" hidden="1">
      <c r="A515" s="64"/>
      <c r="B515" s="884"/>
      <c r="C515" s="128"/>
      <c r="D515" s="128"/>
      <c r="E515" s="128"/>
      <c r="N515" s="884"/>
      <c r="P515" s="885"/>
      <c r="R515" s="64"/>
      <c r="S515" s="64"/>
      <c r="T515" s="64"/>
      <c r="U515" s="64"/>
    </row>
    <row r="516" spans="1:21" s="71" customFormat="1" hidden="1">
      <c r="A516" s="64"/>
      <c r="B516" s="884"/>
      <c r="C516" s="128"/>
      <c r="D516" s="128"/>
      <c r="E516" s="128"/>
      <c r="N516" s="884"/>
      <c r="P516" s="885"/>
      <c r="R516" s="64"/>
      <c r="S516" s="64"/>
      <c r="T516" s="64"/>
      <c r="U516" s="64"/>
    </row>
    <row r="517" spans="1:21" s="71" customFormat="1" hidden="1">
      <c r="A517" s="64"/>
      <c r="B517" s="884"/>
      <c r="C517" s="128"/>
      <c r="D517" s="128"/>
      <c r="E517" s="128"/>
      <c r="N517" s="884"/>
      <c r="P517" s="885"/>
      <c r="R517" s="64"/>
      <c r="S517" s="64"/>
      <c r="T517" s="64"/>
      <c r="U517" s="64"/>
    </row>
    <row r="518" spans="1:21" s="71" customFormat="1" hidden="1">
      <c r="A518" s="64"/>
      <c r="B518" s="884"/>
      <c r="C518" s="128"/>
      <c r="D518" s="128"/>
      <c r="E518" s="128"/>
      <c r="N518" s="884"/>
      <c r="P518" s="885"/>
      <c r="R518" s="64"/>
      <c r="S518" s="64"/>
      <c r="T518" s="64"/>
      <c r="U518" s="64"/>
    </row>
    <row r="519" spans="1:21" s="71" customFormat="1" hidden="1">
      <c r="A519" s="64"/>
      <c r="B519" s="884"/>
      <c r="C519" s="128"/>
      <c r="D519" s="128"/>
      <c r="E519" s="128"/>
      <c r="N519" s="884"/>
      <c r="P519" s="885"/>
      <c r="R519" s="64"/>
      <c r="S519" s="64"/>
      <c r="T519" s="64"/>
      <c r="U519" s="64"/>
    </row>
    <row r="520" spans="1:21" s="71" customFormat="1" hidden="1">
      <c r="A520" s="64"/>
      <c r="B520" s="884"/>
      <c r="C520" s="128"/>
      <c r="D520" s="128"/>
      <c r="E520" s="128"/>
      <c r="N520" s="884"/>
      <c r="P520" s="885"/>
      <c r="R520" s="64"/>
      <c r="S520" s="64"/>
      <c r="T520" s="64"/>
      <c r="U520" s="64"/>
    </row>
    <row r="521" spans="1:21" s="71" customFormat="1" hidden="1">
      <c r="A521" s="64"/>
      <c r="B521" s="884"/>
      <c r="C521" s="128"/>
      <c r="D521" s="128"/>
      <c r="E521" s="128"/>
      <c r="N521" s="884"/>
      <c r="P521" s="885"/>
      <c r="R521" s="64"/>
      <c r="S521" s="64"/>
      <c r="T521" s="64"/>
      <c r="U521" s="64"/>
    </row>
    <row r="522" spans="1:21" s="71" customFormat="1" hidden="1">
      <c r="A522" s="64"/>
      <c r="B522" s="884"/>
      <c r="C522" s="128"/>
      <c r="D522" s="128"/>
      <c r="E522" s="128"/>
      <c r="N522" s="884"/>
      <c r="P522" s="885"/>
      <c r="R522" s="64"/>
      <c r="S522" s="64"/>
      <c r="T522" s="64"/>
      <c r="U522" s="64"/>
    </row>
    <row r="523" spans="1:21" s="71" customFormat="1" hidden="1">
      <c r="A523" s="64"/>
      <c r="B523" s="884"/>
      <c r="C523" s="128"/>
      <c r="D523" s="128"/>
      <c r="E523" s="128"/>
      <c r="N523" s="884"/>
      <c r="P523" s="885"/>
      <c r="R523" s="64"/>
      <c r="S523" s="64"/>
      <c r="T523" s="64"/>
      <c r="U523" s="64"/>
    </row>
    <row r="524" spans="1:21" s="71" customFormat="1" hidden="1">
      <c r="A524" s="64"/>
      <c r="B524" s="884"/>
      <c r="C524" s="128"/>
      <c r="D524" s="128"/>
      <c r="E524" s="128"/>
      <c r="N524" s="884"/>
      <c r="P524" s="885"/>
      <c r="R524" s="64"/>
      <c r="S524" s="64"/>
      <c r="T524" s="64"/>
      <c r="U524" s="64"/>
    </row>
    <row r="525" spans="1:21" s="71" customFormat="1" hidden="1">
      <c r="A525" s="64"/>
      <c r="B525" s="884"/>
      <c r="C525" s="128"/>
      <c r="D525" s="128"/>
      <c r="E525" s="128"/>
      <c r="N525" s="884"/>
      <c r="P525" s="885"/>
      <c r="R525" s="64"/>
      <c r="S525" s="64"/>
      <c r="T525" s="64"/>
      <c r="U525" s="64"/>
    </row>
    <row r="526" spans="1:21" s="71" customFormat="1" hidden="1">
      <c r="A526" s="64"/>
      <c r="B526" s="884"/>
      <c r="C526" s="128"/>
      <c r="D526" s="128"/>
      <c r="E526" s="128"/>
      <c r="N526" s="884"/>
      <c r="P526" s="885"/>
      <c r="R526" s="64"/>
      <c r="S526" s="64"/>
      <c r="T526" s="64"/>
      <c r="U526" s="64"/>
    </row>
    <row r="527" spans="1:21" s="71" customFormat="1" hidden="1">
      <c r="A527" s="64"/>
      <c r="B527" s="884"/>
      <c r="C527" s="128"/>
      <c r="D527" s="128"/>
      <c r="E527" s="128"/>
      <c r="N527" s="884"/>
      <c r="P527" s="885"/>
      <c r="R527" s="64"/>
      <c r="S527" s="64"/>
      <c r="T527" s="64"/>
      <c r="U527" s="64"/>
    </row>
    <row r="528" spans="1:21" s="71" customFormat="1" hidden="1">
      <c r="A528" s="64"/>
      <c r="B528" s="884"/>
      <c r="C528" s="128"/>
      <c r="D528" s="128"/>
      <c r="E528" s="128"/>
      <c r="N528" s="884"/>
      <c r="P528" s="885"/>
      <c r="R528" s="64"/>
      <c r="S528" s="64"/>
      <c r="T528" s="64"/>
      <c r="U528" s="64"/>
    </row>
    <row r="529" spans="1:21" s="71" customFormat="1" hidden="1">
      <c r="A529" s="64"/>
      <c r="B529" s="884"/>
      <c r="C529" s="128"/>
      <c r="D529" s="128"/>
      <c r="E529" s="128"/>
      <c r="N529" s="884"/>
      <c r="P529" s="885"/>
      <c r="R529" s="64"/>
      <c r="S529" s="64"/>
      <c r="T529" s="64"/>
      <c r="U529" s="64"/>
    </row>
    <row r="530" spans="1:21" s="71" customFormat="1" hidden="1">
      <c r="A530" s="64"/>
      <c r="B530" s="884"/>
      <c r="C530" s="128"/>
      <c r="D530" s="128"/>
      <c r="E530" s="128"/>
      <c r="N530" s="884"/>
      <c r="P530" s="885"/>
      <c r="R530" s="64"/>
      <c r="S530" s="64"/>
      <c r="T530" s="64"/>
      <c r="U530" s="64"/>
    </row>
    <row r="531" spans="1:21" s="71" customFormat="1" hidden="1">
      <c r="A531" s="64"/>
      <c r="B531" s="884"/>
      <c r="C531" s="128"/>
      <c r="D531" s="128"/>
      <c r="E531" s="128"/>
      <c r="N531" s="884"/>
      <c r="P531" s="885"/>
      <c r="R531" s="64"/>
      <c r="S531" s="64"/>
      <c r="T531" s="64"/>
      <c r="U531" s="64"/>
    </row>
    <row r="532" spans="1:21" s="71" customFormat="1" hidden="1">
      <c r="A532" s="64"/>
      <c r="B532" s="884"/>
      <c r="C532" s="128"/>
      <c r="D532" s="128"/>
      <c r="E532" s="128"/>
      <c r="N532" s="884"/>
      <c r="P532" s="885"/>
      <c r="R532" s="64"/>
      <c r="S532" s="64"/>
      <c r="T532" s="64"/>
      <c r="U532" s="64"/>
    </row>
    <row r="533" spans="1:21" s="71" customFormat="1" hidden="1">
      <c r="A533" s="64"/>
      <c r="B533" s="884"/>
      <c r="C533" s="128"/>
      <c r="D533" s="128"/>
      <c r="E533" s="128"/>
      <c r="N533" s="884"/>
      <c r="P533" s="885"/>
      <c r="R533" s="64"/>
      <c r="S533" s="64"/>
      <c r="T533" s="64"/>
      <c r="U533" s="64"/>
    </row>
    <row r="534" spans="1:21" s="71" customFormat="1" hidden="1">
      <c r="A534" s="64"/>
      <c r="B534" s="884"/>
      <c r="C534" s="128"/>
      <c r="D534" s="128"/>
      <c r="E534" s="128"/>
      <c r="N534" s="884"/>
      <c r="P534" s="885"/>
      <c r="R534" s="64"/>
      <c r="S534" s="64"/>
      <c r="T534" s="64"/>
      <c r="U534" s="64"/>
    </row>
    <row r="535" spans="1:21" s="71" customFormat="1" hidden="1">
      <c r="A535" s="64"/>
      <c r="B535" s="884"/>
      <c r="C535" s="128"/>
      <c r="D535" s="128"/>
      <c r="E535" s="128"/>
      <c r="N535" s="884"/>
      <c r="P535" s="885"/>
      <c r="R535" s="64"/>
      <c r="S535" s="64"/>
      <c r="T535" s="64"/>
      <c r="U535" s="64"/>
    </row>
    <row r="536" spans="1:21" s="71" customFormat="1" hidden="1">
      <c r="A536" s="64"/>
      <c r="B536" s="884"/>
      <c r="C536" s="128"/>
      <c r="D536" s="128"/>
      <c r="E536" s="128"/>
      <c r="N536" s="884"/>
      <c r="P536" s="885"/>
      <c r="R536" s="64"/>
      <c r="S536" s="64"/>
      <c r="T536" s="64"/>
      <c r="U536" s="64"/>
    </row>
    <row r="537" spans="1:21" s="71" customFormat="1" hidden="1">
      <c r="A537" s="64"/>
      <c r="B537" s="884"/>
      <c r="C537" s="128"/>
      <c r="D537" s="128"/>
      <c r="E537" s="128"/>
      <c r="N537" s="884"/>
      <c r="P537" s="885"/>
      <c r="R537" s="64"/>
      <c r="S537" s="64"/>
      <c r="T537" s="64"/>
      <c r="U537" s="64"/>
    </row>
    <row r="538" spans="1:21" s="71" customFormat="1" hidden="1">
      <c r="A538" s="64"/>
      <c r="B538" s="884"/>
      <c r="C538" s="128"/>
      <c r="D538" s="128"/>
      <c r="E538" s="128"/>
      <c r="N538" s="884"/>
      <c r="P538" s="885"/>
      <c r="R538" s="64"/>
      <c r="S538" s="64"/>
      <c r="T538" s="64"/>
      <c r="U538" s="64"/>
    </row>
    <row r="539" spans="1:21" s="71" customFormat="1" hidden="1">
      <c r="A539" s="64"/>
      <c r="B539" s="884"/>
      <c r="C539" s="128"/>
      <c r="D539" s="128"/>
      <c r="E539" s="128"/>
      <c r="N539" s="884"/>
      <c r="P539" s="885"/>
      <c r="R539" s="64"/>
      <c r="S539" s="64"/>
      <c r="T539" s="64"/>
      <c r="U539" s="64"/>
    </row>
    <row r="540" spans="1:21" s="71" customFormat="1" hidden="1">
      <c r="A540" s="64"/>
      <c r="B540" s="884"/>
      <c r="C540" s="128"/>
      <c r="D540" s="128"/>
      <c r="E540" s="128"/>
      <c r="N540" s="884"/>
      <c r="P540" s="885"/>
      <c r="R540" s="64"/>
      <c r="S540" s="64"/>
      <c r="T540" s="64"/>
      <c r="U540" s="64"/>
    </row>
    <row r="541" spans="1:21" s="71" customFormat="1" hidden="1">
      <c r="A541" s="64"/>
      <c r="B541" s="884"/>
      <c r="C541" s="128"/>
      <c r="D541" s="128"/>
      <c r="E541" s="128"/>
      <c r="N541" s="884"/>
      <c r="P541" s="885"/>
      <c r="R541" s="64"/>
      <c r="S541" s="64"/>
      <c r="T541" s="64"/>
      <c r="U541" s="64"/>
    </row>
    <row r="542" spans="1:21" s="71" customFormat="1" hidden="1">
      <c r="A542" s="64"/>
      <c r="B542" s="884"/>
      <c r="C542" s="128"/>
      <c r="D542" s="128"/>
      <c r="E542" s="128"/>
      <c r="N542" s="884"/>
      <c r="P542" s="885"/>
      <c r="R542" s="64"/>
      <c r="S542" s="64"/>
      <c r="T542" s="64"/>
      <c r="U542" s="64"/>
    </row>
    <row r="543" spans="1:21" s="71" customFormat="1" hidden="1">
      <c r="A543" s="64"/>
      <c r="B543" s="884"/>
      <c r="C543" s="128"/>
      <c r="D543" s="128"/>
      <c r="E543" s="128"/>
      <c r="N543" s="884"/>
      <c r="P543" s="885"/>
      <c r="R543" s="64"/>
      <c r="S543" s="64"/>
      <c r="T543" s="64"/>
      <c r="U543" s="64"/>
    </row>
    <row r="544" spans="1:21" s="71" customFormat="1" hidden="1">
      <c r="A544" s="64"/>
      <c r="B544" s="884"/>
      <c r="C544" s="128"/>
      <c r="D544" s="128"/>
      <c r="E544" s="128"/>
      <c r="N544" s="884"/>
      <c r="P544" s="885"/>
      <c r="R544" s="64"/>
      <c r="S544" s="64"/>
      <c r="T544" s="64"/>
      <c r="U544" s="64"/>
    </row>
    <row r="545" spans="1:21" s="71" customFormat="1" hidden="1">
      <c r="A545" s="64"/>
      <c r="B545" s="884"/>
      <c r="C545" s="128"/>
      <c r="D545" s="128"/>
      <c r="E545" s="128"/>
      <c r="N545" s="884"/>
      <c r="P545" s="885"/>
      <c r="R545" s="64"/>
      <c r="S545" s="64"/>
      <c r="T545" s="64"/>
      <c r="U545" s="64"/>
    </row>
    <row r="546" spans="1:21" s="71" customFormat="1" hidden="1">
      <c r="A546" s="64"/>
      <c r="B546" s="884"/>
      <c r="C546" s="128"/>
      <c r="D546" s="128"/>
      <c r="E546" s="128"/>
      <c r="N546" s="884"/>
      <c r="P546" s="885"/>
      <c r="R546" s="64"/>
      <c r="S546" s="64"/>
      <c r="T546" s="64"/>
      <c r="U546" s="64"/>
    </row>
    <row r="547" spans="1:21" s="71" customFormat="1" hidden="1">
      <c r="A547" s="64"/>
      <c r="B547" s="884"/>
      <c r="C547" s="128"/>
      <c r="D547" s="128"/>
      <c r="E547" s="128"/>
      <c r="N547" s="884"/>
      <c r="P547" s="885"/>
      <c r="R547" s="64"/>
      <c r="S547" s="64"/>
      <c r="T547" s="64"/>
      <c r="U547" s="64"/>
    </row>
    <row r="548" spans="1:21" s="71" customFormat="1" hidden="1">
      <c r="A548" s="64"/>
      <c r="B548" s="884"/>
      <c r="C548" s="128"/>
      <c r="D548" s="128"/>
      <c r="E548" s="128"/>
      <c r="N548" s="884"/>
      <c r="P548" s="885"/>
      <c r="R548" s="64"/>
      <c r="S548" s="64"/>
      <c r="T548" s="64"/>
      <c r="U548" s="64"/>
    </row>
    <row r="549" spans="1:21" s="71" customFormat="1" hidden="1">
      <c r="A549" s="64"/>
      <c r="B549" s="884"/>
      <c r="C549" s="128"/>
      <c r="D549" s="128"/>
      <c r="E549" s="128"/>
      <c r="N549" s="884"/>
      <c r="P549" s="885"/>
      <c r="R549" s="64"/>
      <c r="S549" s="64"/>
      <c r="T549" s="64"/>
      <c r="U549" s="64"/>
    </row>
    <row r="550" spans="1:21" s="71" customFormat="1" hidden="1">
      <c r="A550" s="64"/>
      <c r="B550" s="884"/>
      <c r="C550" s="128"/>
      <c r="D550" s="128"/>
      <c r="E550" s="128"/>
      <c r="N550" s="884"/>
      <c r="P550" s="885"/>
      <c r="R550" s="64"/>
      <c r="S550" s="64"/>
      <c r="T550" s="64"/>
      <c r="U550" s="64"/>
    </row>
    <row r="551" spans="1:21" s="71" customFormat="1" hidden="1">
      <c r="A551" s="64"/>
      <c r="B551" s="884"/>
      <c r="C551" s="128"/>
      <c r="D551" s="128"/>
      <c r="E551" s="128"/>
      <c r="N551" s="884"/>
      <c r="P551" s="885"/>
      <c r="R551" s="64"/>
      <c r="S551" s="64"/>
      <c r="T551" s="64"/>
      <c r="U551" s="64"/>
    </row>
    <row r="552" spans="1:21" s="71" customFormat="1" hidden="1">
      <c r="A552" s="64"/>
      <c r="B552" s="884"/>
      <c r="C552" s="128"/>
      <c r="D552" s="128"/>
      <c r="E552" s="128"/>
      <c r="N552" s="884"/>
      <c r="P552" s="885"/>
      <c r="R552" s="64"/>
      <c r="S552" s="64"/>
      <c r="T552" s="64"/>
      <c r="U552" s="64"/>
    </row>
    <row r="553" spans="1:21" s="71" customFormat="1" hidden="1">
      <c r="A553" s="64"/>
      <c r="B553" s="884"/>
      <c r="C553" s="128"/>
      <c r="D553" s="128"/>
      <c r="E553" s="128"/>
      <c r="N553" s="884"/>
      <c r="P553" s="885"/>
      <c r="R553" s="64"/>
      <c r="S553" s="64"/>
      <c r="T553" s="64"/>
      <c r="U553" s="64"/>
    </row>
    <row r="554" spans="1:21" s="71" customFormat="1" hidden="1">
      <c r="A554" s="64"/>
      <c r="B554" s="884"/>
      <c r="C554" s="128"/>
      <c r="D554" s="128"/>
      <c r="E554" s="128"/>
      <c r="N554" s="884"/>
      <c r="P554" s="885"/>
      <c r="R554" s="64"/>
      <c r="S554" s="64"/>
      <c r="T554" s="64"/>
      <c r="U554" s="64"/>
    </row>
    <row r="555" spans="1:21" s="71" customFormat="1" hidden="1">
      <c r="A555" s="64"/>
      <c r="B555" s="884"/>
      <c r="C555" s="128"/>
      <c r="D555" s="128"/>
      <c r="E555" s="128"/>
      <c r="N555" s="884"/>
      <c r="P555" s="885"/>
      <c r="R555" s="64"/>
      <c r="S555" s="64"/>
      <c r="T555" s="64"/>
      <c r="U555" s="64"/>
    </row>
    <row r="556" spans="1:21" s="71" customFormat="1" hidden="1">
      <c r="A556" s="64"/>
      <c r="B556" s="884"/>
      <c r="C556" s="128"/>
      <c r="D556" s="128"/>
      <c r="E556" s="128"/>
      <c r="N556" s="884"/>
      <c r="P556" s="885"/>
      <c r="R556" s="64"/>
      <c r="S556" s="64"/>
      <c r="T556" s="64"/>
      <c r="U556" s="64"/>
    </row>
    <row r="557" spans="1:21" s="71" customFormat="1" hidden="1">
      <c r="A557" s="64"/>
      <c r="B557" s="884"/>
      <c r="C557" s="128"/>
      <c r="D557" s="128"/>
      <c r="E557" s="128"/>
      <c r="N557" s="884"/>
      <c r="P557" s="885"/>
      <c r="R557" s="64"/>
      <c r="S557" s="64"/>
      <c r="T557" s="64"/>
      <c r="U557" s="64"/>
    </row>
    <row r="558" spans="1:21" s="71" customFormat="1" hidden="1">
      <c r="A558" s="64"/>
      <c r="B558" s="884"/>
      <c r="C558" s="128"/>
      <c r="D558" s="128"/>
      <c r="E558" s="128"/>
      <c r="N558" s="884"/>
      <c r="P558" s="885"/>
      <c r="R558" s="64"/>
      <c r="S558" s="64"/>
      <c r="T558" s="64"/>
      <c r="U558" s="64"/>
    </row>
    <row r="559" spans="1:21" s="71" customFormat="1" hidden="1">
      <c r="A559" s="64"/>
      <c r="B559" s="884"/>
      <c r="C559" s="128"/>
      <c r="D559" s="128"/>
      <c r="E559" s="128"/>
      <c r="N559" s="884"/>
      <c r="P559" s="885"/>
      <c r="R559" s="64"/>
      <c r="S559" s="64"/>
      <c r="T559" s="64"/>
      <c r="U559" s="64"/>
    </row>
    <row r="560" spans="1:21" s="71" customFormat="1" hidden="1">
      <c r="A560" s="64"/>
      <c r="B560" s="884"/>
      <c r="C560" s="128"/>
      <c r="D560" s="128"/>
      <c r="E560" s="128"/>
      <c r="N560" s="884"/>
      <c r="P560" s="885"/>
      <c r="R560" s="64"/>
      <c r="S560" s="64"/>
      <c r="T560" s="64"/>
      <c r="U560" s="64"/>
    </row>
    <row r="561" spans="1:21" s="71" customFormat="1" hidden="1">
      <c r="A561" s="64"/>
      <c r="B561" s="884"/>
      <c r="C561" s="128"/>
      <c r="D561" s="128"/>
      <c r="E561" s="128"/>
      <c r="N561" s="884"/>
      <c r="P561" s="885"/>
      <c r="R561" s="64"/>
      <c r="S561" s="64"/>
      <c r="T561" s="64"/>
      <c r="U561" s="64"/>
    </row>
    <row r="562" spans="1:21" s="71" customFormat="1" hidden="1">
      <c r="A562" s="64"/>
      <c r="B562" s="884"/>
      <c r="C562" s="128"/>
      <c r="D562" s="128"/>
      <c r="E562" s="128"/>
      <c r="N562" s="884"/>
      <c r="P562" s="885"/>
      <c r="R562" s="64"/>
      <c r="S562" s="64"/>
      <c r="T562" s="64"/>
      <c r="U562" s="64"/>
    </row>
    <row r="563" spans="1:21" s="71" customFormat="1" hidden="1">
      <c r="A563" s="64"/>
      <c r="B563" s="884"/>
      <c r="C563" s="128"/>
      <c r="D563" s="128"/>
      <c r="E563" s="128"/>
      <c r="N563" s="884"/>
      <c r="P563" s="885"/>
      <c r="R563" s="64"/>
      <c r="S563" s="64"/>
      <c r="T563" s="64"/>
      <c r="U563" s="64"/>
    </row>
    <row r="564" spans="1:21" s="71" customFormat="1" hidden="1">
      <c r="A564" s="64"/>
      <c r="B564" s="884"/>
      <c r="C564" s="128"/>
      <c r="D564" s="128"/>
      <c r="E564" s="128"/>
      <c r="N564" s="884"/>
      <c r="P564" s="885"/>
      <c r="R564" s="64"/>
      <c r="S564" s="64"/>
      <c r="T564" s="64"/>
      <c r="U564" s="64"/>
    </row>
    <row r="565" spans="1:21" s="71" customFormat="1" hidden="1">
      <c r="A565" s="64"/>
      <c r="B565" s="884"/>
      <c r="C565" s="128"/>
      <c r="D565" s="128"/>
      <c r="E565" s="128"/>
      <c r="N565" s="884"/>
      <c r="P565" s="885"/>
      <c r="R565" s="64"/>
      <c r="S565" s="64"/>
      <c r="T565" s="64"/>
      <c r="U565" s="64"/>
    </row>
    <row r="566" spans="1:21" s="71" customFormat="1" hidden="1">
      <c r="A566" s="64"/>
      <c r="B566" s="884"/>
      <c r="C566" s="128"/>
      <c r="D566" s="128"/>
      <c r="E566" s="128"/>
      <c r="N566" s="884"/>
      <c r="P566" s="885"/>
      <c r="R566" s="64"/>
      <c r="S566" s="64"/>
      <c r="T566" s="64"/>
      <c r="U566" s="64"/>
    </row>
    <row r="567" spans="1:21" s="71" customFormat="1" hidden="1">
      <c r="A567" s="64"/>
      <c r="B567" s="884"/>
      <c r="C567" s="128"/>
      <c r="D567" s="128"/>
      <c r="E567" s="128"/>
      <c r="N567" s="884"/>
      <c r="P567" s="885"/>
      <c r="R567" s="64"/>
      <c r="S567" s="64"/>
      <c r="T567" s="64"/>
      <c r="U567" s="64"/>
    </row>
    <row r="568" spans="1:21" s="71" customFormat="1" hidden="1">
      <c r="A568" s="64"/>
      <c r="B568" s="884"/>
      <c r="C568" s="128"/>
      <c r="D568" s="128"/>
      <c r="E568" s="128"/>
      <c r="N568" s="884"/>
      <c r="P568" s="885"/>
      <c r="R568" s="64"/>
      <c r="S568" s="64"/>
      <c r="T568" s="64"/>
      <c r="U568" s="64"/>
    </row>
    <row r="569" spans="1:21" s="71" customFormat="1" hidden="1">
      <c r="A569" s="64"/>
      <c r="B569" s="884"/>
      <c r="C569" s="128"/>
      <c r="D569" s="128"/>
      <c r="E569" s="128"/>
      <c r="N569" s="884"/>
      <c r="P569" s="885"/>
      <c r="R569" s="64"/>
      <c r="S569" s="64"/>
      <c r="T569" s="64"/>
      <c r="U569" s="64"/>
    </row>
    <row r="570" spans="1:21" s="71" customFormat="1" hidden="1">
      <c r="A570" s="64"/>
      <c r="B570" s="884"/>
      <c r="C570" s="128"/>
      <c r="D570" s="128"/>
      <c r="E570" s="128"/>
      <c r="N570" s="884"/>
      <c r="P570" s="885"/>
      <c r="R570" s="64"/>
      <c r="S570" s="64"/>
      <c r="T570" s="64"/>
      <c r="U570" s="64"/>
    </row>
    <row r="571" spans="1:21" s="71" customFormat="1" hidden="1">
      <c r="A571" s="64"/>
      <c r="B571" s="884"/>
      <c r="C571" s="128"/>
      <c r="D571" s="128"/>
      <c r="E571" s="128"/>
      <c r="N571" s="884"/>
      <c r="P571" s="885"/>
      <c r="R571" s="64"/>
      <c r="S571" s="64"/>
      <c r="T571" s="64"/>
      <c r="U571" s="64"/>
    </row>
    <row r="572" spans="1:21" s="71" customFormat="1" hidden="1">
      <c r="A572" s="64"/>
      <c r="B572" s="884"/>
      <c r="C572" s="128"/>
      <c r="D572" s="128"/>
      <c r="E572" s="128"/>
      <c r="N572" s="884"/>
      <c r="P572" s="885"/>
      <c r="R572" s="64"/>
      <c r="S572" s="64"/>
      <c r="T572" s="64"/>
      <c r="U572" s="64"/>
    </row>
    <row r="573" spans="1:21" s="71" customFormat="1" hidden="1">
      <c r="A573" s="64"/>
      <c r="B573" s="884"/>
      <c r="C573" s="128"/>
      <c r="D573" s="128"/>
      <c r="E573" s="128"/>
      <c r="N573" s="884"/>
      <c r="P573" s="885"/>
      <c r="R573" s="64"/>
      <c r="S573" s="64"/>
      <c r="T573" s="64"/>
      <c r="U573" s="64"/>
    </row>
    <row r="574" spans="1:21" s="71" customFormat="1" hidden="1">
      <c r="A574" s="64"/>
      <c r="B574" s="884"/>
      <c r="C574" s="128"/>
      <c r="D574" s="128"/>
      <c r="E574" s="128"/>
      <c r="N574" s="884"/>
      <c r="P574" s="885"/>
      <c r="R574" s="64"/>
      <c r="S574" s="64"/>
      <c r="T574" s="64"/>
      <c r="U574" s="64"/>
    </row>
    <row r="575" spans="1:21" s="71" customFormat="1" hidden="1">
      <c r="A575" s="64"/>
      <c r="B575" s="884"/>
      <c r="C575" s="128"/>
      <c r="D575" s="128"/>
      <c r="E575" s="128"/>
      <c r="N575" s="884"/>
      <c r="P575" s="885"/>
      <c r="R575" s="64"/>
      <c r="S575" s="64"/>
      <c r="T575" s="64"/>
      <c r="U575" s="64"/>
    </row>
    <row r="576" spans="1:21" s="71" customFormat="1" hidden="1">
      <c r="A576" s="64"/>
      <c r="B576" s="884"/>
      <c r="C576" s="128"/>
      <c r="D576" s="128"/>
      <c r="E576" s="128"/>
      <c r="N576" s="884"/>
      <c r="P576" s="885"/>
      <c r="R576" s="64"/>
      <c r="S576" s="64"/>
      <c r="T576" s="64"/>
      <c r="U576" s="64"/>
    </row>
    <row r="577" spans="1:21" s="71" customFormat="1" hidden="1">
      <c r="A577" s="64"/>
      <c r="B577" s="884"/>
      <c r="C577" s="128"/>
      <c r="D577" s="128"/>
      <c r="E577" s="128"/>
      <c r="N577" s="884"/>
      <c r="P577" s="885"/>
      <c r="R577" s="64"/>
      <c r="S577" s="64"/>
      <c r="T577" s="64"/>
      <c r="U577" s="64"/>
    </row>
    <row r="578" spans="1:21" s="71" customFormat="1" hidden="1">
      <c r="A578" s="64"/>
      <c r="B578" s="884"/>
      <c r="C578" s="128"/>
      <c r="D578" s="128"/>
      <c r="E578" s="128"/>
      <c r="N578" s="884"/>
      <c r="P578" s="885"/>
      <c r="R578" s="64"/>
      <c r="S578" s="64"/>
      <c r="T578" s="64"/>
      <c r="U578" s="64"/>
    </row>
    <row r="579" spans="1:21" s="71" customFormat="1" hidden="1">
      <c r="A579" s="64"/>
      <c r="B579" s="884"/>
      <c r="C579" s="128"/>
      <c r="D579" s="128"/>
      <c r="E579" s="128"/>
      <c r="N579" s="884"/>
      <c r="P579" s="885"/>
      <c r="R579" s="64"/>
      <c r="S579" s="64"/>
      <c r="T579" s="64"/>
      <c r="U579" s="64"/>
    </row>
    <row r="580" spans="1:21" s="71" customFormat="1" hidden="1">
      <c r="A580" s="64"/>
      <c r="B580" s="884"/>
      <c r="C580" s="128"/>
      <c r="D580" s="128"/>
      <c r="E580" s="128"/>
      <c r="N580" s="884"/>
      <c r="P580" s="885"/>
      <c r="R580" s="64"/>
      <c r="S580" s="64"/>
      <c r="T580" s="64"/>
      <c r="U580" s="64"/>
    </row>
    <row r="581" spans="1:21" s="71" customFormat="1" hidden="1">
      <c r="A581" s="64"/>
      <c r="B581" s="884"/>
      <c r="C581" s="128"/>
      <c r="D581" s="128"/>
      <c r="E581" s="128"/>
      <c r="N581" s="884"/>
      <c r="P581" s="885"/>
      <c r="R581" s="64"/>
      <c r="S581" s="64"/>
      <c r="T581" s="64"/>
      <c r="U581" s="64"/>
    </row>
    <row r="582" spans="1:21" s="71" customFormat="1" hidden="1">
      <c r="A582" s="64"/>
      <c r="B582" s="884"/>
      <c r="C582" s="128"/>
      <c r="D582" s="128"/>
      <c r="E582" s="128"/>
      <c r="N582" s="884"/>
      <c r="P582" s="885"/>
      <c r="R582" s="64"/>
      <c r="S582" s="64"/>
      <c r="T582" s="64"/>
      <c r="U582" s="64"/>
    </row>
    <row r="583" spans="1:21" s="71" customFormat="1" hidden="1">
      <c r="A583" s="64"/>
      <c r="B583" s="884"/>
      <c r="C583" s="128"/>
      <c r="D583" s="128"/>
      <c r="E583" s="128"/>
      <c r="N583" s="884"/>
      <c r="P583" s="885"/>
      <c r="R583" s="64"/>
      <c r="S583" s="64"/>
      <c r="T583" s="64"/>
      <c r="U583" s="64"/>
    </row>
    <row r="584" spans="1:21" s="71" customFormat="1" hidden="1">
      <c r="A584" s="64"/>
      <c r="B584" s="884"/>
      <c r="C584" s="128"/>
      <c r="D584" s="128"/>
      <c r="E584" s="128"/>
      <c r="N584" s="884"/>
      <c r="P584" s="885"/>
      <c r="R584" s="64"/>
      <c r="S584" s="64"/>
      <c r="T584" s="64"/>
      <c r="U584" s="64"/>
    </row>
    <row r="585" spans="1:21" s="71" customFormat="1" hidden="1">
      <c r="A585" s="64"/>
      <c r="B585" s="884"/>
      <c r="C585" s="128"/>
      <c r="D585" s="128"/>
      <c r="E585" s="128"/>
      <c r="N585" s="884"/>
      <c r="P585" s="885"/>
      <c r="R585" s="64"/>
      <c r="S585" s="64"/>
      <c r="T585" s="64"/>
      <c r="U585" s="64"/>
    </row>
    <row r="586" spans="1:21" s="71" customFormat="1" hidden="1">
      <c r="A586" s="64"/>
      <c r="B586" s="884"/>
      <c r="C586" s="128"/>
      <c r="D586" s="128"/>
      <c r="E586" s="128"/>
      <c r="N586" s="884"/>
      <c r="P586" s="885"/>
      <c r="R586" s="64"/>
      <c r="S586" s="64"/>
      <c r="T586" s="64"/>
      <c r="U586" s="64"/>
    </row>
    <row r="587" spans="1:21" s="71" customFormat="1" hidden="1">
      <c r="A587" s="64"/>
      <c r="B587" s="884"/>
      <c r="C587" s="128"/>
      <c r="D587" s="128"/>
      <c r="E587" s="128"/>
      <c r="N587" s="884"/>
      <c r="P587" s="885"/>
      <c r="R587" s="64"/>
      <c r="S587" s="64"/>
      <c r="T587" s="64"/>
      <c r="U587" s="64"/>
    </row>
    <row r="588" spans="1:21" s="71" customFormat="1" hidden="1">
      <c r="A588" s="64"/>
      <c r="B588" s="884"/>
      <c r="C588" s="128"/>
      <c r="D588" s="128"/>
      <c r="E588" s="128"/>
      <c r="N588" s="884"/>
      <c r="P588" s="885"/>
      <c r="R588" s="64"/>
      <c r="S588" s="64"/>
      <c r="T588" s="64"/>
      <c r="U588" s="64"/>
    </row>
    <row r="589" spans="1:21" s="71" customFormat="1" hidden="1">
      <c r="A589" s="64"/>
      <c r="B589" s="884"/>
      <c r="C589" s="128"/>
      <c r="D589" s="128"/>
      <c r="E589" s="128"/>
      <c r="N589" s="884"/>
      <c r="P589" s="885"/>
      <c r="R589" s="64"/>
      <c r="S589" s="64"/>
      <c r="T589" s="64"/>
      <c r="U589" s="64"/>
    </row>
    <row r="590" spans="1:21" s="71" customFormat="1" hidden="1">
      <c r="A590" s="64"/>
      <c r="B590" s="884"/>
      <c r="C590" s="128"/>
      <c r="D590" s="128"/>
      <c r="E590" s="128"/>
      <c r="N590" s="884"/>
      <c r="P590" s="885"/>
      <c r="R590" s="64"/>
      <c r="S590" s="64"/>
      <c r="T590" s="64"/>
      <c r="U590" s="64"/>
    </row>
    <row r="591" spans="1:21" s="71" customFormat="1" hidden="1">
      <c r="A591" s="64"/>
      <c r="B591" s="884"/>
      <c r="C591" s="128"/>
      <c r="D591" s="128"/>
      <c r="E591" s="128"/>
      <c r="N591" s="884"/>
      <c r="P591" s="885"/>
      <c r="R591" s="64"/>
      <c r="S591" s="64"/>
      <c r="T591" s="64"/>
      <c r="U591" s="64"/>
    </row>
    <row r="592" spans="1:21" s="71" customFormat="1" hidden="1">
      <c r="A592" s="64"/>
      <c r="B592" s="884"/>
      <c r="C592" s="128"/>
      <c r="D592" s="128"/>
      <c r="E592" s="128"/>
      <c r="N592" s="884"/>
      <c r="P592" s="885"/>
      <c r="R592" s="64"/>
      <c r="S592" s="64"/>
      <c r="T592" s="64"/>
      <c r="U592" s="64"/>
    </row>
    <row r="593" spans="1:21" s="71" customFormat="1" hidden="1">
      <c r="A593" s="64"/>
      <c r="B593" s="884"/>
      <c r="C593" s="128"/>
      <c r="D593" s="128"/>
      <c r="E593" s="128"/>
      <c r="N593" s="884"/>
      <c r="P593" s="885"/>
      <c r="R593" s="64"/>
      <c r="S593" s="64"/>
      <c r="T593" s="64"/>
      <c r="U593" s="64"/>
    </row>
    <row r="594" spans="1:21" s="71" customFormat="1" hidden="1">
      <c r="A594" s="64"/>
      <c r="B594" s="884"/>
      <c r="C594" s="128"/>
      <c r="D594" s="128"/>
      <c r="E594" s="128"/>
      <c r="N594" s="884"/>
      <c r="P594" s="885"/>
      <c r="R594" s="64"/>
      <c r="S594" s="64"/>
      <c r="T594" s="64"/>
      <c r="U594" s="64"/>
    </row>
    <row r="595" spans="1:21" s="71" customFormat="1" hidden="1">
      <c r="A595" s="64"/>
      <c r="B595" s="884"/>
      <c r="C595" s="128"/>
      <c r="D595" s="128"/>
      <c r="E595" s="128"/>
      <c r="N595" s="884"/>
      <c r="P595" s="885"/>
      <c r="R595" s="64"/>
      <c r="S595" s="64"/>
      <c r="T595" s="64"/>
      <c r="U595" s="64"/>
    </row>
    <row r="596" spans="1:21" s="71" customFormat="1" hidden="1">
      <c r="A596" s="64"/>
      <c r="B596" s="884"/>
      <c r="C596" s="128"/>
      <c r="D596" s="128"/>
      <c r="E596" s="128"/>
      <c r="N596" s="884"/>
      <c r="P596" s="885"/>
      <c r="R596" s="64"/>
      <c r="S596" s="64"/>
      <c r="T596" s="64"/>
      <c r="U596" s="64"/>
    </row>
    <row r="597" spans="1:21" s="71" customFormat="1" hidden="1">
      <c r="A597" s="64"/>
      <c r="B597" s="884"/>
      <c r="C597" s="128"/>
      <c r="D597" s="128"/>
      <c r="E597" s="128"/>
      <c r="N597" s="884"/>
      <c r="P597" s="885"/>
      <c r="R597" s="64"/>
      <c r="S597" s="64"/>
      <c r="T597" s="64"/>
      <c r="U597" s="64"/>
    </row>
    <row r="598" spans="1:21" s="71" customFormat="1" hidden="1">
      <c r="A598" s="64"/>
      <c r="B598" s="884"/>
      <c r="C598" s="128"/>
      <c r="D598" s="128"/>
      <c r="E598" s="128"/>
      <c r="N598" s="884"/>
      <c r="P598" s="885"/>
      <c r="R598" s="64"/>
      <c r="S598" s="64"/>
      <c r="T598" s="64"/>
      <c r="U598" s="64"/>
    </row>
    <row r="599" spans="1:21" s="71" customFormat="1" hidden="1">
      <c r="A599" s="64"/>
      <c r="B599" s="884"/>
      <c r="C599" s="128"/>
      <c r="D599" s="128"/>
      <c r="E599" s="128"/>
      <c r="N599" s="884"/>
      <c r="P599" s="885"/>
      <c r="R599" s="64"/>
      <c r="S599" s="64"/>
      <c r="T599" s="64"/>
      <c r="U599" s="64"/>
    </row>
    <row r="600" spans="1:21" s="71" customFormat="1" hidden="1">
      <c r="A600" s="64"/>
      <c r="B600" s="884"/>
      <c r="C600" s="128"/>
      <c r="D600" s="128"/>
      <c r="E600" s="128"/>
      <c r="N600" s="884"/>
      <c r="P600" s="885"/>
      <c r="R600" s="64"/>
      <c r="S600" s="64"/>
      <c r="T600" s="64"/>
      <c r="U600" s="64"/>
    </row>
    <row r="601" spans="1:21" s="71" customFormat="1" hidden="1">
      <c r="A601" s="64"/>
      <c r="B601" s="884"/>
      <c r="C601" s="128"/>
      <c r="D601" s="128"/>
      <c r="E601" s="128"/>
      <c r="N601" s="884"/>
      <c r="P601" s="885"/>
      <c r="R601" s="64"/>
      <c r="S601" s="64"/>
      <c r="T601" s="64"/>
      <c r="U601" s="64"/>
    </row>
    <row r="602" spans="1:21" s="71" customFormat="1" hidden="1">
      <c r="A602" s="64"/>
      <c r="B602" s="884"/>
      <c r="C602" s="128"/>
      <c r="D602" s="128"/>
      <c r="E602" s="128"/>
      <c r="N602" s="884"/>
      <c r="P602" s="885"/>
      <c r="R602" s="64"/>
      <c r="S602" s="64"/>
      <c r="T602" s="64"/>
      <c r="U602" s="64"/>
    </row>
    <row r="603" spans="1:21" s="71" customFormat="1" hidden="1">
      <c r="A603" s="64"/>
      <c r="B603" s="884"/>
      <c r="C603" s="128"/>
      <c r="D603" s="128"/>
      <c r="E603" s="128"/>
      <c r="N603" s="884"/>
      <c r="P603" s="885"/>
      <c r="R603" s="64"/>
      <c r="S603" s="64"/>
      <c r="T603" s="64"/>
      <c r="U603" s="64"/>
    </row>
    <row r="604" spans="1:21" s="71" customFormat="1" hidden="1">
      <c r="A604" s="64"/>
      <c r="B604" s="884"/>
      <c r="C604" s="128"/>
      <c r="D604" s="128"/>
      <c r="E604" s="128"/>
      <c r="N604" s="884"/>
      <c r="P604" s="885"/>
      <c r="R604" s="64"/>
      <c r="S604" s="64"/>
      <c r="T604" s="64"/>
      <c r="U604" s="64"/>
    </row>
    <row r="605" spans="1:21" s="71" customFormat="1" hidden="1">
      <c r="A605" s="64"/>
      <c r="B605" s="884"/>
      <c r="C605" s="128"/>
      <c r="D605" s="128"/>
      <c r="E605" s="128"/>
      <c r="N605" s="884"/>
      <c r="P605" s="885"/>
      <c r="R605" s="64"/>
      <c r="S605" s="64"/>
      <c r="T605" s="64"/>
      <c r="U605" s="64"/>
    </row>
    <row r="606" spans="1:21" s="71" customFormat="1" hidden="1">
      <c r="A606" s="64"/>
      <c r="B606" s="884"/>
      <c r="C606" s="128"/>
      <c r="D606" s="128"/>
      <c r="E606" s="128"/>
      <c r="N606" s="884"/>
      <c r="P606" s="885"/>
      <c r="R606" s="64"/>
      <c r="S606" s="64"/>
      <c r="T606" s="64"/>
      <c r="U606" s="64"/>
    </row>
    <row r="607" spans="1:21" s="71" customFormat="1" hidden="1">
      <c r="A607" s="64"/>
      <c r="B607" s="884"/>
      <c r="C607" s="128"/>
      <c r="D607" s="128"/>
      <c r="E607" s="128"/>
      <c r="N607" s="884"/>
      <c r="P607" s="885"/>
      <c r="R607" s="64"/>
      <c r="S607" s="64"/>
      <c r="T607" s="64"/>
      <c r="U607" s="64"/>
    </row>
    <row r="608" spans="1:21" s="71" customFormat="1" hidden="1">
      <c r="A608" s="64"/>
      <c r="B608" s="884"/>
      <c r="C608" s="128"/>
      <c r="D608" s="128"/>
      <c r="E608" s="128"/>
      <c r="N608" s="884"/>
      <c r="P608" s="885"/>
      <c r="R608" s="64"/>
      <c r="S608" s="64"/>
      <c r="T608" s="64"/>
      <c r="U608" s="64"/>
    </row>
    <row r="609" spans="1:21" s="71" customFormat="1" hidden="1">
      <c r="A609" s="64"/>
      <c r="B609" s="884"/>
      <c r="C609" s="128"/>
      <c r="D609" s="128"/>
      <c r="E609" s="128"/>
      <c r="N609" s="884"/>
      <c r="P609" s="885"/>
      <c r="R609" s="64"/>
      <c r="S609" s="64"/>
      <c r="T609" s="64"/>
      <c r="U609" s="64"/>
    </row>
    <row r="610" spans="1:21" s="71" customFormat="1" hidden="1">
      <c r="A610" s="64"/>
      <c r="B610" s="884"/>
      <c r="C610" s="128"/>
      <c r="D610" s="128"/>
      <c r="E610" s="128"/>
      <c r="N610" s="884"/>
      <c r="P610" s="885"/>
      <c r="R610" s="64"/>
      <c r="S610" s="64"/>
      <c r="T610" s="64"/>
      <c r="U610" s="64"/>
    </row>
    <row r="611" spans="1:21" s="71" customFormat="1" hidden="1">
      <c r="A611" s="64"/>
      <c r="B611" s="884"/>
      <c r="C611" s="128"/>
      <c r="D611" s="128"/>
      <c r="E611" s="128"/>
      <c r="N611" s="884"/>
      <c r="P611" s="885"/>
      <c r="R611" s="64"/>
      <c r="S611" s="64"/>
      <c r="T611" s="64"/>
      <c r="U611" s="64"/>
    </row>
    <row r="612" spans="1:21" s="71" customFormat="1" hidden="1">
      <c r="A612" s="64"/>
      <c r="B612" s="884"/>
      <c r="C612" s="128"/>
      <c r="D612" s="128"/>
      <c r="E612" s="128"/>
      <c r="N612" s="884"/>
      <c r="P612" s="885"/>
      <c r="R612" s="64"/>
      <c r="S612" s="64"/>
      <c r="T612" s="64"/>
      <c r="U612" s="64"/>
    </row>
    <row r="613" spans="1:21" s="71" customFormat="1" hidden="1">
      <c r="A613" s="64"/>
      <c r="B613" s="884"/>
      <c r="C613" s="128"/>
      <c r="D613" s="128"/>
      <c r="E613" s="128"/>
      <c r="N613" s="884"/>
      <c r="P613" s="885"/>
      <c r="R613" s="64"/>
      <c r="S613" s="64"/>
      <c r="T613" s="64"/>
      <c r="U613" s="64"/>
    </row>
    <row r="614" spans="1:21" s="71" customFormat="1" hidden="1">
      <c r="A614" s="64"/>
      <c r="B614" s="884"/>
      <c r="C614" s="128"/>
      <c r="D614" s="128"/>
      <c r="E614" s="128"/>
      <c r="N614" s="884"/>
      <c r="P614" s="885"/>
      <c r="R614" s="64"/>
      <c r="S614" s="64"/>
      <c r="T614" s="64"/>
      <c r="U614" s="64"/>
    </row>
    <row r="615" spans="1:21" s="71" customFormat="1" hidden="1">
      <c r="A615" s="64"/>
      <c r="B615" s="884"/>
      <c r="C615" s="128"/>
      <c r="D615" s="128"/>
      <c r="E615" s="128"/>
      <c r="N615" s="884"/>
      <c r="P615" s="885"/>
      <c r="R615" s="64"/>
      <c r="S615" s="64"/>
      <c r="T615" s="64"/>
      <c r="U615" s="64"/>
    </row>
    <row r="616" spans="1:21" s="71" customFormat="1" hidden="1">
      <c r="A616" s="64"/>
      <c r="B616" s="884"/>
      <c r="C616" s="128"/>
      <c r="D616" s="128"/>
      <c r="E616" s="128"/>
      <c r="N616" s="884"/>
      <c r="P616" s="885"/>
      <c r="R616" s="64"/>
      <c r="S616" s="64"/>
      <c r="T616" s="64"/>
      <c r="U616" s="64"/>
    </row>
    <row r="617" spans="1:21" s="71" customFormat="1" hidden="1">
      <c r="A617" s="64"/>
      <c r="B617" s="884"/>
      <c r="C617" s="128"/>
      <c r="D617" s="128"/>
      <c r="E617" s="128"/>
      <c r="N617" s="884"/>
      <c r="P617" s="885"/>
      <c r="R617" s="64"/>
      <c r="S617" s="64"/>
      <c r="T617" s="64"/>
      <c r="U617" s="64"/>
    </row>
    <row r="618" spans="1:21" s="71" customFormat="1" hidden="1">
      <c r="A618" s="64"/>
      <c r="B618" s="884"/>
      <c r="C618" s="128"/>
      <c r="D618" s="128"/>
      <c r="E618" s="128"/>
      <c r="N618" s="884"/>
      <c r="P618" s="885"/>
      <c r="R618" s="64"/>
      <c r="S618" s="64"/>
      <c r="T618" s="64"/>
      <c r="U618" s="64"/>
    </row>
    <row r="619" spans="1:21" s="71" customFormat="1" hidden="1">
      <c r="A619" s="64"/>
      <c r="B619" s="884"/>
      <c r="C619" s="128"/>
      <c r="D619" s="128"/>
      <c r="E619" s="128"/>
      <c r="N619" s="884"/>
      <c r="P619" s="885"/>
      <c r="R619" s="64"/>
      <c r="S619" s="64"/>
      <c r="T619" s="64"/>
      <c r="U619" s="64"/>
    </row>
    <row r="620" spans="1:21" s="71" customFormat="1" hidden="1">
      <c r="A620" s="64"/>
      <c r="B620" s="884"/>
      <c r="C620" s="128"/>
      <c r="D620" s="128"/>
      <c r="E620" s="128"/>
      <c r="N620" s="884"/>
      <c r="P620" s="885"/>
      <c r="R620" s="64"/>
      <c r="S620" s="64"/>
      <c r="T620" s="64"/>
      <c r="U620" s="64"/>
    </row>
    <row r="621" spans="1:21" s="71" customFormat="1" hidden="1">
      <c r="A621" s="64"/>
      <c r="B621" s="884"/>
      <c r="C621" s="128"/>
      <c r="D621" s="128"/>
      <c r="E621" s="128"/>
      <c r="N621" s="884"/>
      <c r="P621" s="885"/>
      <c r="R621" s="64"/>
      <c r="S621" s="64"/>
      <c r="T621" s="64"/>
      <c r="U621" s="64"/>
    </row>
    <row r="622" spans="1:21" s="71" customFormat="1" hidden="1">
      <c r="A622" s="64"/>
      <c r="B622" s="884"/>
      <c r="C622" s="128"/>
      <c r="D622" s="128"/>
      <c r="E622" s="128"/>
      <c r="N622" s="884"/>
      <c r="P622" s="885"/>
      <c r="R622" s="64"/>
      <c r="S622" s="64"/>
      <c r="T622" s="64"/>
      <c r="U622" s="64"/>
    </row>
    <row r="623" spans="1:21" s="71" customFormat="1" hidden="1">
      <c r="A623" s="64"/>
      <c r="B623" s="884"/>
      <c r="C623" s="128"/>
      <c r="D623" s="128"/>
      <c r="E623" s="128"/>
      <c r="N623" s="884"/>
      <c r="P623" s="885"/>
      <c r="R623" s="64"/>
      <c r="S623" s="64"/>
      <c r="T623" s="64"/>
      <c r="U623" s="64"/>
    </row>
    <row r="624" spans="1:21" s="71" customFormat="1" hidden="1">
      <c r="A624" s="64"/>
      <c r="B624" s="884"/>
      <c r="C624" s="128"/>
      <c r="D624" s="128"/>
      <c r="E624" s="128"/>
      <c r="N624" s="884"/>
      <c r="P624" s="885"/>
      <c r="R624" s="64"/>
      <c r="S624" s="64"/>
      <c r="T624" s="64"/>
      <c r="U624" s="64"/>
    </row>
    <row r="625" spans="1:21" s="71" customFormat="1" hidden="1">
      <c r="A625" s="64"/>
      <c r="B625" s="884"/>
      <c r="C625" s="128"/>
      <c r="D625" s="128"/>
      <c r="E625" s="128"/>
      <c r="N625" s="884"/>
      <c r="P625" s="885"/>
      <c r="R625" s="64"/>
      <c r="S625" s="64"/>
      <c r="T625" s="64"/>
      <c r="U625" s="64"/>
    </row>
    <row r="626" spans="1:21" s="71" customFormat="1" hidden="1">
      <c r="A626" s="64"/>
      <c r="B626" s="884"/>
      <c r="C626" s="128"/>
      <c r="D626" s="128"/>
      <c r="E626" s="128"/>
      <c r="N626" s="884"/>
      <c r="P626" s="885"/>
      <c r="R626" s="64"/>
      <c r="S626" s="64"/>
      <c r="T626" s="64"/>
      <c r="U626" s="64"/>
    </row>
    <row r="627" spans="1:21" s="71" customFormat="1" hidden="1">
      <c r="A627" s="64"/>
      <c r="B627" s="884"/>
      <c r="C627" s="128"/>
      <c r="D627" s="128"/>
      <c r="E627" s="128"/>
      <c r="N627" s="884"/>
      <c r="P627" s="885"/>
      <c r="R627" s="64"/>
      <c r="S627" s="64"/>
      <c r="T627" s="64"/>
      <c r="U627" s="64"/>
    </row>
    <row r="628" spans="1:21" s="71" customFormat="1" hidden="1">
      <c r="A628" s="64"/>
      <c r="B628" s="884"/>
      <c r="C628" s="128"/>
      <c r="D628" s="128"/>
      <c r="E628" s="128"/>
      <c r="N628" s="884"/>
      <c r="P628" s="885"/>
      <c r="R628" s="64"/>
      <c r="S628" s="64"/>
      <c r="T628" s="64"/>
      <c r="U628" s="64"/>
    </row>
    <row r="629" spans="1:21" s="71" customFormat="1" hidden="1">
      <c r="A629" s="64"/>
      <c r="B629" s="884"/>
      <c r="C629" s="128"/>
      <c r="D629" s="128"/>
      <c r="E629" s="128"/>
      <c r="N629" s="884"/>
      <c r="P629" s="885"/>
      <c r="R629" s="64"/>
      <c r="S629" s="64"/>
      <c r="T629" s="64"/>
      <c r="U629" s="64"/>
    </row>
    <row r="630" spans="1:21" s="71" customFormat="1" hidden="1">
      <c r="A630" s="64"/>
      <c r="B630" s="884"/>
      <c r="C630" s="128"/>
      <c r="D630" s="128"/>
      <c r="E630" s="128"/>
      <c r="N630" s="884"/>
      <c r="P630" s="885"/>
      <c r="R630" s="64"/>
      <c r="S630" s="64"/>
      <c r="T630" s="64"/>
      <c r="U630" s="64"/>
    </row>
    <row r="631" spans="1:21" s="71" customFormat="1" hidden="1">
      <c r="A631" s="64"/>
      <c r="B631" s="884"/>
      <c r="C631" s="128"/>
      <c r="D631" s="128"/>
      <c r="E631" s="128"/>
      <c r="N631" s="884"/>
      <c r="P631" s="885"/>
      <c r="R631" s="64"/>
      <c r="S631" s="64"/>
      <c r="T631" s="64"/>
      <c r="U631" s="64"/>
    </row>
    <row r="632" spans="1:21" s="71" customFormat="1" hidden="1">
      <c r="A632" s="64"/>
      <c r="B632" s="884"/>
      <c r="C632" s="128"/>
      <c r="D632" s="128"/>
      <c r="E632" s="128"/>
      <c r="N632" s="884"/>
      <c r="P632" s="885"/>
      <c r="R632" s="64"/>
      <c r="S632" s="64"/>
      <c r="T632" s="64"/>
      <c r="U632" s="64"/>
    </row>
    <row r="633" spans="1:21" s="71" customFormat="1" hidden="1">
      <c r="A633" s="64"/>
      <c r="B633" s="884"/>
      <c r="C633" s="128"/>
      <c r="D633" s="128"/>
      <c r="E633" s="128"/>
      <c r="N633" s="884"/>
      <c r="P633" s="885"/>
      <c r="R633" s="64"/>
      <c r="S633" s="64"/>
      <c r="T633" s="64"/>
      <c r="U633" s="64"/>
    </row>
    <row r="634" spans="1:21" s="71" customFormat="1" hidden="1">
      <c r="A634" s="64"/>
      <c r="B634" s="884"/>
      <c r="C634" s="128"/>
      <c r="D634" s="128"/>
      <c r="E634" s="128"/>
      <c r="N634" s="884"/>
      <c r="P634" s="885"/>
      <c r="R634" s="64"/>
      <c r="S634" s="64"/>
      <c r="T634" s="64"/>
      <c r="U634" s="64"/>
    </row>
    <row r="635" spans="1:21" s="71" customFormat="1" hidden="1">
      <c r="A635" s="64"/>
      <c r="B635" s="884"/>
      <c r="C635" s="128"/>
      <c r="D635" s="128"/>
      <c r="E635" s="128"/>
      <c r="N635" s="884"/>
      <c r="P635" s="885"/>
      <c r="R635" s="64"/>
      <c r="S635" s="64"/>
      <c r="T635" s="64"/>
      <c r="U635" s="64"/>
    </row>
    <row r="636" spans="1:21" s="71" customFormat="1" hidden="1">
      <c r="A636" s="64"/>
      <c r="B636" s="884"/>
      <c r="C636" s="128"/>
      <c r="D636" s="128"/>
      <c r="E636" s="128"/>
      <c r="N636" s="884"/>
      <c r="P636" s="885"/>
      <c r="R636" s="64"/>
      <c r="S636" s="64"/>
      <c r="T636" s="64"/>
      <c r="U636" s="64"/>
    </row>
    <row r="637" spans="1:21" s="71" customFormat="1" hidden="1">
      <c r="A637" s="64"/>
      <c r="B637" s="884"/>
      <c r="C637" s="128"/>
      <c r="D637" s="128"/>
      <c r="E637" s="128"/>
      <c r="N637" s="884"/>
      <c r="P637" s="885"/>
      <c r="R637" s="64"/>
      <c r="S637" s="64"/>
      <c r="T637" s="64"/>
      <c r="U637" s="64"/>
    </row>
    <row r="638" spans="1:21" s="71" customFormat="1" hidden="1">
      <c r="A638" s="64"/>
      <c r="B638" s="884"/>
      <c r="C638" s="128"/>
      <c r="D638" s="128"/>
      <c r="E638" s="128"/>
      <c r="N638" s="884"/>
      <c r="P638" s="885"/>
      <c r="R638" s="64"/>
      <c r="S638" s="64"/>
      <c r="T638" s="64"/>
      <c r="U638" s="64"/>
    </row>
    <row r="639" spans="1:21" s="71" customFormat="1" hidden="1">
      <c r="A639" s="64"/>
      <c r="B639" s="884"/>
      <c r="C639" s="128"/>
      <c r="D639" s="128"/>
      <c r="E639" s="128"/>
      <c r="N639" s="884"/>
      <c r="P639" s="885"/>
      <c r="R639" s="64"/>
      <c r="S639" s="64"/>
      <c r="T639" s="64"/>
      <c r="U639" s="64"/>
    </row>
    <row r="640" spans="1:21" s="71" customFormat="1" hidden="1">
      <c r="A640" s="64"/>
      <c r="B640" s="884"/>
      <c r="C640" s="128"/>
      <c r="D640" s="128"/>
      <c r="E640" s="128"/>
      <c r="N640" s="884"/>
      <c r="P640" s="885"/>
      <c r="R640" s="64"/>
      <c r="S640" s="64"/>
      <c r="T640" s="64"/>
      <c r="U640" s="64"/>
    </row>
    <row r="641" spans="1:21" s="71" customFormat="1" hidden="1">
      <c r="A641" s="64"/>
      <c r="B641" s="884"/>
      <c r="C641" s="128"/>
      <c r="D641" s="128"/>
      <c r="E641" s="128"/>
      <c r="N641" s="884"/>
      <c r="P641" s="885"/>
      <c r="R641" s="64"/>
      <c r="S641" s="64"/>
      <c r="T641" s="64"/>
      <c r="U641" s="64"/>
    </row>
    <row r="642" spans="1:21" s="71" customFormat="1" hidden="1">
      <c r="A642" s="64"/>
      <c r="B642" s="884"/>
      <c r="C642" s="128"/>
      <c r="D642" s="128"/>
      <c r="E642" s="128"/>
      <c r="N642" s="884"/>
      <c r="P642" s="885"/>
      <c r="R642" s="64"/>
      <c r="S642" s="64"/>
      <c r="T642" s="64"/>
      <c r="U642" s="64"/>
    </row>
    <row r="643" spans="1:21" s="71" customFormat="1" hidden="1">
      <c r="A643" s="64"/>
      <c r="B643" s="884"/>
      <c r="C643" s="128"/>
      <c r="D643" s="128"/>
      <c r="E643" s="128"/>
      <c r="N643" s="884"/>
      <c r="P643" s="885"/>
      <c r="R643" s="64"/>
      <c r="S643" s="64"/>
      <c r="T643" s="64"/>
      <c r="U643" s="64"/>
    </row>
    <row r="644" spans="1:21" s="71" customFormat="1" hidden="1">
      <c r="A644" s="64"/>
      <c r="B644" s="884"/>
      <c r="C644" s="128"/>
      <c r="D644" s="128"/>
      <c r="E644" s="128"/>
      <c r="N644" s="884"/>
      <c r="P644" s="885"/>
      <c r="R644" s="64"/>
      <c r="S644" s="64"/>
      <c r="T644" s="64"/>
      <c r="U644" s="64"/>
    </row>
    <row r="645" spans="1:21" s="71" customFormat="1" hidden="1">
      <c r="A645" s="64"/>
      <c r="B645" s="884"/>
      <c r="C645" s="128"/>
      <c r="D645" s="128"/>
      <c r="E645" s="128"/>
      <c r="N645" s="884"/>
      <c r="P645" s="885"/>
      <c r="R645" s="64"/>
      <c r="S645" s="64"/>
      <c r="T645" s="64"/>
      <c r="U645" s="64"/>
    </row>
    <row r="646" spans="1:21" s="71" customFormat="1" hidden="1">
      <c r="A646" s="64"/>
      <c r="B646" s="884"/>
      <c r="C646" s="128"/>
      <c r="D646" s="128"/>
      <c r="E646" s="128"/>
      <c r="N646" s="884"/>
      <c r="P646" s="885"/>
      <c r="R646" s="64"/>
      <c r="S646" s="64"/>
      <c r="T646" s="64"/>
      <c r="U646" s="64"/>
    </row>
    <row r="647" spans="1:21" s="71" customFormat="1" hidden="1">
      <c r="A647" s="64"/>
      <c r="B647" s="884"/>
      <c r="C647" s="128"/>
      <c r="D647" s="128"/>
      <c r="E647" s="128"/>
      <c r="N647" s="884"/>
      <c r="P647" s="885"/>
      <c r="R647" s="64"/>
      <c r="S647" s="64"/>
      <c r="T647" s="64"/>
      <c r="U647" s="64"/>
    </row>
    <row r="648" spans="1:21" s="71" customFormat="1" hidden="1">
      <c r="A648" s="64"/>
      <c r="B648" s="884"/>
      <c r="C648" s="128"/>
      <c r="D648" s="128"/>
      <c r="E648" s="128"/>
      <c r="N648" s="884"/>
      <c r="P648" s="885"/>
      <c r="R648" s="64"/>
      <c r="S648" s="64"/>
      <c r="T648" s="64"/>
      <c r="U648" s="64"/>
    </row>
    <row r="649" spans="1:21" s="71" customFormat="1" hidden="1">
      <c r="A649" s="64"/>
      <c r="B649" s="884"/>
      <c r="C649" s="128"/>
      <c r="D649" s="128"/>
      <c r="E649" s="128"/>
      <c r="N649" s="884"/>
      <c r="P649" s="885"/>
      <c r="R649" s="64"/>
      <c r="S649" s="64"/>
      <c r="T649" s="64"/>
      <c r="U649" s="64"/>
    </row>
    <row r="650" spans="1:21" s="71" customFormat="1" hidden="1">
      <c r="A650" s="64"/>
      <c r="B650" s="884"/>
      <c r="C650" s="128"/>
      <c r="D650" s="128"/>
      <c r="E650" s="128"/>
      <c r="N650" s="884"/>
      <c r="P650" s="885"/>
      <c r="R650" s="64"/>
      <c r="S650" s="64"/>
      <c r="T650" s="64"/>
      <c r="U650" s="64"/>
    </row>
    <row r="651" spans="1:21" s="71" customFormat="1" hidden="1">
      <c r="A651" s="64"/>
      <c r="B651" s="884"/>
      <c r="C651" s="128"/>
      <c r="D651" s="128"/>
      <c r="E651" s="128"/>
      <c r="N651" s="884"/>
      <c r="P651" s="885"/>
      <c r="R651" s="64"/>
      <c r="S651" s="64"/>
      <c r="T651" s="64"/>
      <c r="U651" s="64"/>
    </row>
    <row r="652" spans="1:21" s="71" customFormat="1" hidden="1">
      <c r="A652" s="64"/>
      <c r="B652" s="884"/>
      <c r="C652" s="128"/>
      <c r="D652" s="128"/>
      <c r="E652" s="128"/>
      <c r="N652" s="884"/>
      <c r="P652" s="885"/>
      <c r="R652" s="64"/>
      <c r="S652" s="64"/>
      <c r="T652" s="64"/>
      <c r="U652" s="64"/>
    </row>
    <row r="653" spans="1:21" s="71" customFormat="1" hidden="1">
      <c r="A653" s="64"/>
      <c r="B653" s="884"/>
      <c r="C653" s="128"/>
      <c r="D653" s="128"/>
      <c r="E653" s="128"/>
      <c r="N653" s="884"/>
      <c r="P653" s="885"/>
      <c r="R653" s="64"/>
      <c r="S653" s="64"/>
      <c r="T653" s="64"/>
      <c r="U653" s="64"/>
    </row>
    <row r="654" spans="1:21" s="71" customFormat="1" hidden="1">
      <c r="A654" s="64"/>
      <c r="B654" s="884"/>
      <c r="C654" s="128"/>
      <c r="D654" s="128"/>
      <c r="E654" s="128"/>
      <c r="N654" s="884"/>
      <c r="P654" s="885"/>
      <c r="R654" s="64"/>
      <c r="S654" s="64"/>
      <c r="T654" s="64"/>
      <c r="U654" s="64"/>
    </row>
    <row r="655" spans="1:21" s="71" customFormat="1" hidden="1">
      <c r="A655" s="64"/>
      <c r="B655" s="884"/>
      <c r="C655" s="128"/>
      <c r="D655" s="128"/>
      <c r="E655" s="128"/>
      <c r="N655" s="884"/>
      <c r="P655" s="885"/>
      <c r="R655" s="64"/>
      <c r="S655" s="64"/>
      <c r="T655" s="64"/>
      <c r="U655" s="64"/>
    </row>
    <row r="656" spans="1:21" s="71" customFormat="1" hidden="1">
      <c r="A656" s="64"/>
      <c r="B656" s="884"/>
      <c r="C656" s="128"/>
      <c r="D656" s="128"/>
      <c r="E656" s="128"/>
      <c r="N656" s="884"/>
      <c r="P656" s="885"/>
      <c r="R656" s="64"/>
      <c r="S656" s="64"/>
      <c r="T656" s="64"/>
      <c r="U656" s="64"/>
    </row>
    <row r="657" spans="1:21" s="71" customFormat="1" hidden="1">
      <c r="A657" s="64"/>
      <c r="B657" s="884"/>
      <c r="C657" s="128"/>
      <c r="D657" s="128"/>
      <c r="E657" s="128"/>
      <c r="N657" s="884"/>
      <c r="P657" s="885"/>
      <c r="R657" s="64"/>
      <c r="S657" s="64"/>
      <c r="T657" s="64"/>
      <c r="U657" s="64"/>
    </row>
    <row r="658" spans="1:21" s="71" customFormat="1" hidden="1">
      <c r="A658" s="64"/>
      <c r="B658" s="884"/>
      <c r="C658" s="128"/>
      <c r="D658" s="128"/>
      <c r="E658" s="128"/>
      <c r="N658" s="884"/>
      <c r="P658" s="885"/>
      <c r="R658" s="64"/>
      <c r="S658" s="64"/>
      <c r="T658" s="64"/>
      <c r="U658" s="64"/>
    </row>
    <row r="659" spans="1:21" s="71" customFormat="1" hidden="1">
      <c r="A659" s="64"/>
      <c r="B659" s="884"/>
      <c r="C659" s="128"/>
      <c r="D659" s="128"/>
      <c r="E659" s="128"/>
      <c r="N659" s="884"/>
      <c r="P659" s="885"/>
      <c r="R659" s="64"/>
      <c r="S659" s="64"/>
      <c r="T659" s="64"/>
      <c r="U659" s="64"/>
    </row>
    <row r="660" spans="1:21" s="71" customFormat="1" hidden="1">
      <c r="A660" s="64"/>
      <c r="B660" s="884"/>
      <c r="C660" s="128"/>
      <c r="D660" s="128"/>
      <c r="E660" s="128"/>
      <c r="N660" s="884"/>
      <c r="P660" s="885"/>
      <c r="R660" s="64"/>
      <c r="S660" s="64"/>
      <c r="T660" s="64"/>
      <c r="U660" s="64"/>
    </row>
    <row r="661" spans="1:21" s="71" customFormat="1" hidden="1">
      <c r="A661" s="64"/>
      <c r="B661" s="884"/>
      <c r="C661" s="128"/>
      <c r="D661" s="128"/>
      <c r="E661" s="128"/>
      <c r="N661" s="884"/>
      <c r="P661" s="885"/>
      <c r="R661" s="64"/>
      <c r="S661" s="64"/>
      <c r="T661" s="64"/>
      <c r="U661" s="64"/>
    </row>
    <row r="662" spans="1:21" s="71" customFormat="1" hidden="1">
      <c r="A662" s="64"/>
      <c r="B662" s="884"/>
      <c r="C662" s="128"/>
      <c r="D662" s="128"/>
      <c r="E662" s="128"/>
      <c r="N662" s="884"/>
      <c r="P662" s="885"/>
      <c r="R662" s="64"/>
      <c r="S662" s="64"/>
      <c r="T662" s="64"/>
      <c r="U662" s="64"/>
    </row>
    <row r="663" spans="1:21" s="71" customFormat="1" hidden="1">
      <c r="A663" s="64"/>
      <c r="B663" s="884"/>
      <c r="C663" s="128"/>
      <c r="D663" s="128"/>
      <c r="E663" s="128"/>
      <c r="N663" s="884"/>
      <c r="P663" s="885"/>
      <c r="R663" s="64"/>
      <c r="S663" s="64"/>
      <c r="T663" s="64"/>
      <c r="U663" s="64"/>
    </row>
    <row r="664" spans="1:21" s="71" customFormat="1" hidden="1">
      <c r="A664" s="64"/>
      <c r="B664" s="884"/>
      <c r="C664" s="128"/>
      <c r="D664" s="128"/>
      <c r="E664" s="128"/>
      <c r="N664" s="884"/>
      <c r="P664" s="885"/>
      <c r="R664" s="64"/>
      <c r="S664" s="64"/>
      <c r="T664" s="64"/>
      <c r="U664" s="64"/>
    </row>
    <row r="665" spans="1:21" s="71" customFormat="1" hidden="1">
      <c r="A665" s="64"/>
      <c r="B665" s="884"/>
      <c r="C665" s="128"/>
      <c r="D665" s="128"/>
      <c r="E665" s="128"/>
      <c r="N665" s="884"/>
      <c r="P665" s="885"/>
      <c r="R665" s="64"/>
      <c r="S665" s="64"/>
      <c r="T665" s="64"/>
      <c r="U665" s="64"/>
    </row>
    <row r="666" spans="1:21" s="71" customFormat="1" hidden="1">
      <c r="A666" s="64"/>
      <c r="B666" s="884"/>
      <c r="C666" s="128"/>
      <c r="D666" s="128"/>
      <c r="E666" s="128"/>
      <c r="N666" s="884"/>
      <c r="P666" s="885"/>
      <c r="R666" s="64"/>
      <c r="S666" s="64"/>
      <c r="T666" s="64"/>
      <c r="U666" s="64"/>
    </row>
    <row r="667" spans="1:21" s="71" customFormat="1" hidden="1">
      <c r="A667" s="64"/>
      <c r="B667" s="884"/>
      <c r="C667" s="128"/>
      <c r="D667" s="128"/>
      <c r="E667" s="128"/>
      <c r="N667" s="884"/>
      <c r="P667" s="885"/>
      <c r="R667" s="64"/>
      <c r="S667" s="64"/>
      <c r="T667" s="64"/>
      <c r="U667" s="64"/>
    </row>
    <row r="668" spans="1:21" s="71" customFormat="1" hidden="1">
      <c r="A668" s="64"/>
      <c r="B668" s="884"/>
      <c r="C668" s="128"/>
      <c r="D668" s="128"/>
      <c r="E668" s="128"/>
      <c r="N668" s="884"/>
      <c r="P668" s="885"/>
      <c r="R668" s="64"/>
      <c r="S668" s="64"/>
      <c r="T668" s="64"/>
      <c r="U668" s="64"/>
    </row>
    <row r="669" spans="1:21" s="71" customFormat="1" hidden="1">
      <c r="A669" s="64"/>
      <c r="B669" s="884"/>
      <c r="C669" s="128"/>
      <c r="D669" s="128"/>
      <c r="E669" s="128"/>
      <c r="N669" s="884"/>
      <c r="P669" s="885"/>
      <c r="R669" s="64"/>
      <c r="S669" s="64"/>
      <c r="T669" s="64"/>
      <c r="U669" s="64"/>
    </row>
    <row r="670" spans="1:21" s="71" customFormat="1" hidden="1">
      <c r="A670" s="64"/>
      <c r="B670" s="884"/>
      <c r="C670" s="128"/>
      <c r="D670" s="128"/>
      <c r="E670" s="128"/>
      <c r="N670" s="884"/>
      <c r="P670" s="885"/>
      <c r="R670" s="64"/>
      <c r="S670" s="64"/>
      <c r="T670" s="64"/>
      <c r="U670" s="64"/>
    </row>
    <row r="671" spans="1:21" s="71" customFormat="1" hidden="1">
      <c r="A671" s="64"/>
      <c r="B671" s="884"/>
      <c r="C671" s="128"/>
      <c r="D671" s="128"/>
      <c r="E671" s="128"/>
      <c r="N671" s="884"/>
      <c r="P671" s="885"/>
      <c r="R671" s="64"/>
      <c r="S671" s="64"/>
      <c r="T671" s="64"/>
      <c r="U671" s="64"/>
    </row>
    <row r="672" spans="1:21" s="71" customFormat="1" hidden="1">
      <c r="A672" s="64"/>
      <c r="B672" s="884"/>
      <c r="C672" s="128"/>
      <c r="D672" s="128"/>
      <c r="E672" s="128"/>
      <c r="N672" s="884"/>
      <c r="P672" s="885"/>
      <c r="R672" s="64"/>
      <c r="S672" s="64"/>
      <c r="T672" s="64"/>
      <c r="U672" s="64"/>
    </row>
    <row r="673" spans="1:21" s="71" customFormat="1" hidden="1">
      <c r="A673" s="64"/>
      <c r="B673" s="884"/>
      <c r="C673" s="128"/>
      <c r="D673" s="128"/>
      <c r="E673" s="128"/>
      <c r="N673" s="884"/>
      <c r="P673" s="885"/>
      <c r="R673" s="64"/>
      <c r="S673" s="64"/>
      <c r="T673" s="64"/>
      <c r="U673" s="64"/>
    </row>
    <row r="674" spans="1:21" s="71" customFormat="1" hidden="1">
      <c r="A674" s="64"/>
      <c r="B674" s="884"/>
      <c r="C674" s="128"/>
      <c r="D674" s="128"/>
      <c r="E674" s="128"/>
      <c r="N674" s="884"/>
      <c r="P674" s="885"/>
      <c r="R674" s="64"/>
      <c r="S674" s="64"/>
      <c r="T674" s="64"/>
      <c r="U674" s="64"/>
    </row>
    <row r="675" spans="1:21" s="71" customFormat="1" hidden="1">
      <c r="A675" s="64"/>
      <c r="B675" s="884"/>
      <c r="C675" s="128"/>
      <c r="D675" s="128"/>
      <c r="E675" s="128"/>
      <c r="N675" s="884"/>
      <c r="P675" s="885"/>
      <c r="R675" s="64"/>
      <c r="S675" s="64"/>
      <c r="T675" s="64"/>
      <c r="U675" s="64"/>
    </row>
    <row r="676" spans="1:21" s="71" customFormat="1" hidden="1">
      <c r="A676" s="64"/>
      <c r="B676" s="884"/>
      <c r="C676" s="128"/>
      <c r="D676" s="128"/>
      <c r="E676" s="128"/>
      <c r="N676" s="884"/>
      <c r="P676" s="885"/>
      <c r="R676" s="64"/>
      <c r="S676" s="64"/>
      <c r="T676" s="64"/>
      <c r="U676" s="64"/>
    </row>
    <row r="677" spans="1:21" s="71" customFormat="1" hidden="1">
      <c r="A677" s="64"/>
      <c r="B677" s="884"/>
      <c r="C677" s="128"/>
      <c r="D677" s="128"/>
      <c r="E677" s="128"/>
      <c r="N677" s="884"/>
      <c r="P677" s="885"/>
      <c r="R677" s="64"/>
      <c r="S677" s="64"/>
      <c r="T677" s="64"/>
      <c r="U677" s="64"/>
    </row>
    <row r="678" spans="1:21" s="71" customFormat="1" hidden="1">
      <c r="A678" s="64"/>
      <c r="B678" s="884"/>
      <c r="C678" s="128"/>
      <c r="D678" s="128"/>
      <c r="E678" s="128"/>
      <c r="N678" s="884"/>
      <c r="P678" s="885"/>
      <c r="R678" s="64"/>
      <c r="S678" s="64"/>
      <c r="T678" s="64"/>
      <c r="U678" s="64"/>
    </row>
    <row r="679" spans="1:21" s="71" customFormat="1" hidden="1">
      <c r="A679" s="64"/>
      <c r="B679" s="884"/>
      <c r="C679" s="128"/>
      <c r="D679" s="128"/>
      <c r="E679" s="128"/>
      <c r="N679" s="884"/>
      <c r="P679" s="885"/>
      <c r="R679" s="64"/>
      <c r="S679" s="64"/>
      <c r="T679" s="64"/>
      <c r="U679" s="64"/>
    </row>
    <row r="680" spans="1:21" s="71" customFormat="1" hidden="1">
      <c r="A680" s="64"/>
      <c r="B680" s="884"/>
      <c r="C680" s="128"/>
      <c r="D680" s="128"/>
      <c r="E680" s="128"/>
      <c r="N680" s="884"/>
      <c r="P680" s="885"/>
      <c r="R680" s="64"/>
      <c r="S680" s="64"/>
      <c r="T680" s="64"/>
      <c r="U680" s="64"/>
    </row>
    <row r="681" spans="1:21" s="71" customFormat="1" hidden="1">
      <c r="A681" s="64"/>
      <c r="B681" s="884"/>
      <c r="C681" s="128"/>
      <c r="D681" s="128"/>
      <c r="E681" s="128"/>
      <c r="N681" s="884"/>
      <c r="P681" s="885"/>
      <c r="R681" s="64"/>
      <c r="S681" s="64"/>
      <c r="T681" s="64"/>
      <c r="U681" s="64"/>
    </row>
    <row r="682" spans="1:21" s="71" customFormat="1" hidden="1">
      <c r="A682" s="64"/>
      <c r="B682" s="884"/>
      <c r="C682" s="128"/>
      <c r="D682" s="128"/>
      <c r="E682" s="128"/>
      <c r="N682" s="884"/>
      <c r="P682" s="885"/>
      <c r="R682" s="64"/>
      <c r="S682" s="64"/>
      <c r="T682" s="64"/>
      <c r="U682" s="64"/>
    </row>
    <row r="683" spans="1:21" s="71" customFormat="1" hidden="1">
      <c r="A683" s="64"/>
      <c r="B683" s="884"/>
      <c r="C683" s="128"/>
      <c r="D683" s="128"/>
      <c r="E683" s="128"/>
      <c r="N683" s="884"/>
      <c r="P683" s="885"/>
      <c r="R683" s="64"/>
      <c r="S683" s="64"/>
      <c r="T683" s="64"/>
      <c r="U683" s="64"/>
    </row>
    <row r="684" spans="1:21" s="71" customFormat="1" hidden="1">
      <c r="A684" s="64"/>
      <c r="B684" s="884"/>
      <c r="C684" s="128"/>
      <c r="D684" s="128"/>
      <c r="E684" s="128"/>
      <c r="N684" s="884"/>
      <c r="P684" s="885"/>
      <c r="R684" s="64"/>
      <c r="S684" s="64"/>
      <c r="T684" s="64"/>
      <c r="U684" s="64"/>
    </row>
    <row r="685" spans="1:21" s="71" customFormat="1" hidden="1">
      <c r="A685" s="64"/>
      <c r="B685" s="884"/>
      <c r="C685" s="128"/>
      <c r="D685" s="128"/>
      <c r="E685" s="128"/>
      <c r="N685" s="884"/>
      <c r="P685" s="885"/>
      <c r="R685" s="64"/>
      <c r="S685" s="64"/>
      <c r="T685" s="64"/>
      <c r="U685" s="64"/>
    </row>
    <row r="686" spans="1:21" s="71" customFormat="1" hidden="1">
      <c r="A686" s="64"/>
      <c r="B686" s="884"/>
      <c r="C686" s="128"/>
      <c r="D686" s="128"/>
      <c r="E686" s="128"/>
      <c r="N686" s="884"/>
      <c r="P686" s="885"/>
      <c r="R686" s="64"/>
      <c r="S686" s="64"/>
      <c r="T686" s="64"/>
      <c r="U686" s="64"/>
    </row>
    <row r="687" spans="1:21" s="71" customFormat="1" hidden="1">
      <c r="A687" s="64"/>
      <c r="B687" s="884"/>
      <c r="C687" s="128"/>
      <c r="D687" s="128"/>
      <c r="E687" s="128"/>
      <c r="N687" s="884"/>
      <c r="P687" s="885"/>
      <c r="R687" s="64"/>
      <c r="S687" s="64"/>
      <c r="T687" s="64"/>
      <c r="U687" s="64"/>
    </row>
    <row r="688" spans="1:21" s="71" customFormat="1" hidden="1">
      <c r="A688" s="64"/>
      <c r="B688" s="884"/>
      <c r="C688" s="128"/>
      <c r="D688" s="128"/>
      <c r="E688" s="128"/>
      <c r="N688" s="884"/>
      <c r="P688" s="885"/>
      <c r="R688" s="64"/>
      <c r="S688" s="64"/>
      <c r="T688" s="64"/>
      <c r="U688" s="64"/>
    </row>
    <row r="689" spans="1:21" s="71" customFormat="1" hidden="1">
      <c r="A689" s="64"/>
      <c r="B689" s="884"/>
      <c r="C689" s="128"/>
      <c r="D689" s="128"/>
      <c r="E689" s="128"/>
      <c r="N689" s="884"/>
      <c r="P689" s="885"/>
      <c r="R689" s="64"/>
      <c r="S689" s="64"/>
      <c r="T689" s="64"/>
      <c r="U689" s="64"/>
    </row>
    <row r="690" spans="1:21" s="71" customFormat="1" hidden="1">
      <c r="A690" s="64"/>
      <c r="B690" s="884"/>
      <c r="C690" s="128"/>
      <c r="D690" s="128"/>
      <c r="E690" s="128"/>
      <c r="N690" s="884"/>
      <c r="P690" s="885"/>
      <c r="R690" s="64"/>
      <c r="S690" s="64"/>
      <c r="T690" s="64"/>
      <c r="U690" s="64"/>
    </row>
    <row r="691" spans="1:21" s="71" customFormat="1" hidden="1">
      <c r="A691" s="64"/>
      <c r="B691" s="884"/>
      <c r="C691" s="128"/>
      <c r="D691" s="128"/>
      <c r="E691" s="128"/>
      <c r="N691" s="884"/>
      <c r="P691" s="885"/>
      <c r="R691" s="64"/>
      <c r="S691" s="64"/>
      <c r="T691" s="64"/>
      <c r="U691" s="64"/>
    </row>
    <row r="692" spans="1:21" s="71" customFormat="1" hidden="1">
      <c r="A692" s="64"/>
      <c r="B692" s="884"/>
      <c r="C692" s="128"/>
      <c r="D692" s="128"/>
      <c r="E692" s="128"/>
      <c r="N692" s="884"/>
      <c r="P692" s="885"/>
      <c r="R692" s="64"/>
      <c r="S692" s="64"/>
      <c r="T692" s="64"/>
      <c r="U692" s="64"/>
    </row>
    <row r="693" spans="1:21" s="71" customFormat="1" hidden="1">
      <c r="A693" s="64"/>
      <c r="B693" s="884"/>
      <c r="C693" s="128"/>
      <c r="D693" s="128"/>
      <c r="E693" s="128"/>
      <c r="N693" s="884"/>
      <c r="P693" s="885"/>
      <c r="R693" s="64"/>
      <c r="S693" s="64"/>
      <c r="T693" s="64"/>
      <c r="U693" s="64"/>
    </row>
    <row r="694" spans="1:21" s="71" customFormat="1" hidden="1">
      <c r="A694" s="64"/>
      <c r="B694" s="884"/>
      <c r="C694" s="128"/>
      <c r="D694" s="128"/>
      <c r="E694" s="128"/>
      <c r="N694" s="884"/>
      <c r="P694" s="885"/>
      <c r="R694" s="64"/>
      <c r="S694" s="64"/>
      <c r="T694" s="64"/>
      <c r="U694" s="64"/>
    </row>
    <row r="695" spans="1:21" s="71" customFormat="1" hidden="1">
      <c r="A695" s="64"/>
      <c r="B695" s="884"/>
      <c r="C695" s="128"/>
      <c r="D695" s="128"/>
      <c r="E695" s="128"/>
      <c r="N695" s="884"/>
      <c r="P695" s="885"/>
      <c r="R695" s="64"/>
      <c r="S695" s="64"/>
      <c r="T695" s="64"/>
      <c r="U695" s="64"/>
    </row>
    <row r="696" spans="1:21" s="71" customFormat="1" hidden="1">
      <c r="A696" s="64"/>
      <c r="B696" s="884"/>
      <c r="C696" s="128"/>
      <c r="D696" s="128"/>
      <c r="E696" s="128"/>
      <c r="N696" s="884"/>
      <c r="P696" s="885"/>
      <c r="R696" s="64"/>
      <c r="S696" s="64"/>
      <c r="T696" s="64"/>
      <c r="U696" s="64"/>
    </row>
    <row r="697" spans="1:21" s="71" customFormat="1" hidden="1">
      <c r="A697" s="64"/>
      <c r="B697" s="884"/>
      <c r="C697" s="128"/>
      <c r="D697" s="128"/>
      <c r="E697" s="128"/>
      <c r="N697" s="884"/>
      <c r="P697" s="885"/>
      <c r="R697" s="64"/>
      <c r="S697" s="64"/>
      <c r="T697" s="64"/>
      <c r="U697" s="64"/>
    </row>
    <row r="698" spans="1:21" s="71" customFormat="1" hidden="1">
      <c r="A698" s="64"/>
      <c r="B698" s="884"/>
      <c r="C698" s="128"/>
      <c r="D698" s="128"/>
      <c r="E698" s="128"/>
      <c r="N698" s="884"/>
      <c r="P698" s="885"/>
      <c r="R698" s="64"/>
      <c r="S698" s="64"/>
      <c r="T698" s="64"/>
      <c r="U698" s="64"/>
    </row>
    <row r="699" spans="1:21" s="71" customFormat="1" hidden="1">
      <c r="A699" s="64"/>
      <c r="B699" s="884"/>
      <c r="C699" s="128"/>
      <c r="D699" s="128"/>
      <c r="E699" s="128"/>
      <c r="N699" s="884"/>
      <c r="P699" s="885"/>
      <c r="R699" s="64"/>
      <c r="S699" s="64"/>
      <c r="T699" s="64"/>
      <c r="U699" s="64"/>
    </row>
    <row r="700" spans="1:21" s="71" customFormat="1" hidden="1">
      <c r="A700" s="64"/>
      <c r="B700" s="884"/>
      <c r="C700" s="128"/>
      <c r="D700" s="128"/>
      <c r="E700" s="128"/>
      <c r="N700" s="884"/>
      <c r="P700" s="885"/>
      <c r="R700" s="64"/>
      <c r="S700" s="64"/>
      <c r="T700" s="64"/>
      <c r="U700" s="64"/>
    </row>
    <row r="701" spans="1:21" s="71" customFormat="1" hidden="1">
      <c r="A701" s="64"/>
      <c r="B701" s="884"/>
      <c r="C701" s="128"/>
      <c r="D701" s="128"/>
      <c r="E701" s="128"/>
      <c r="N701" s="884"/>
      <c r="P701" s="885"/>
      <c r="R701" s="64"/>
      <c r="S701" s="64"/>
      <c r="T701" s="64"/>
      <c r="U701" s="64"/>
    </row>
    <row r="702" spans="1:21" s="71" customFormat="1" hidden="1">
      <c r="A702" s="64"/>
      <c r="B702" s="884"/>
      <c r="C702" s="128"/>
      <c r="D702" s="128"/>
      <c r="E702" s="128"/>
      <c r="N702" s="884"/>
      <c r="P702" s="885"/>
      <c r="R702" s="64"/>
      <c r="S702" s="64"/>
      <c r="T702" s="64"/>
      <c r="U702" s="64"/>
    </row>
    <row r="703" spans="1:21" s="71" customFormat="1" hidden="1">
      <c r="A703" s="64"/>
      <c r="B703" s="884"/>
      <c r="C703" s="128"/>
      <c r="D703" s="128"/>
      <c r="E703" s="128"/>
      <c r="N703" s="884"/>
      <c r="P703" s="885"/>
      <c r="R703" s="64"/>
      <c r="S703" s="64"/>
      <c r="T703" s="64"/>
      <c r="U703" s="64"/>
    </row>
    <row r="704" spans="1:21" s="71" customFormat="1" hidden="1">
      <c r="A704" s="64"/>
      <c r="B704" s="884"/>
      <c r="C704" s="128"/>
      <c r="D704" s="128"/>
      <c r="E704" s="128"/>
      <c r="N704" s="884"/>
      <c r="P704" s="885"/>
      <c r="R704" s="64"/>
      <c r="S704" s="64"/>
      <c r="T704" s="64"/>
      <c r="U704" s="64"/>
    </row>
    <row r="705" spans="1:21" s="71" customFormat="1" hidden="1">
      <c r="A705" s="64"/>
      <c r="B705" s="884"/>
      <c r="C705" s="128"/>
      <c r="D705" s="128"/>
      <c r="E705" s="128"/>
      <c r="N705" s="884"/>
      <c r="P705" s="885"/>
      <c r="R705" s="64"/>
      <c r="S705" s="64"/>
      <c r="T705" s="64"/>
      <c r="U705" s="64"/>
    </row>
    <row r="706" spans="1:21" s="71" customFormat="1" hidden="1">
      <c r="A706" s="64"/>
      <c r="B706" s="884"/>
      <c r="C706" s="128"/>
      <c r="D706" s="128"/>
      <c r="E706" s="128"/>
      <c r="N706" s="884"/>
      <c r="P706" s="885"/>
      <c r="R706" s="64"/>
      <c r="S706" s="64"/>
      <c r="T706" s="64"/>
      <c r="U706" s="64"/>
    </row>
    <row r="707" spans="1:21" s="71" customFormat="1" hidden="1">
      <c r="A707" s="64"/>
      <c r="B707" s="884"/>
      <c r="C707" s="128"/>
      <c r="D707" s="128"/>
      <c r="E707" s="128"/>
      <c r="N707" s="884"/>
      <c r="P707" s="885"/>
      <c r="R707" s="64"/>
      <c r="S707" s="64"/>
      <c r="T707" s="64"/>
      <c r="U707" s="64"/>
    </row>
    <row r="708" spans="1:21" s="71" customFormat="1" hidden="1">
      <c r="A708" s="64"/>
      <c r="B708" s="884"/>
      <c r="C708" s="128"/>
      <c r="D708" s="128"/>
      <c r="E708" s="128"/>
      <c r="N708" s="884"/>
      <c r="P708" s="885"/>
      <c r="R708" s="64"/>
      <c r="S708" s="64"/>
      <c r="T708" s="64"/>
      <c r="U708" s="64"/>
    </row>
    <row r="709" spans="1:21" s="71" customFormat="1" hidden="1">
      <c r="A709" s="64"/>
      <c r="B709" s="884"/>
      <c r="C709" s="128"/>
      <c r="D709" s="128"/>
      <c r="E709" s="128"/>
      <c r="N709" s="884"/>
      <c r="P709" s="885"/>
      <c r="R709" s="64"/>
      <c r="S709" s="64"/>
      <c r="T709" s="64"/>
      <c r="U709" s="64"/>
    </row>
    <row r="710" spans="1:21" s="71" customFormat="1" hidden="1">
      <c r="A710" s="64"/>
      <c r="B710" s="884"/>
      <c r="C710" s="128"/>
      <c r="D710" s="128"/>
      <c r="E710" s="128"/>
      <c r="N710" s="884"/>
      <c r="P710" s="885"/>
      <c r="R710" s="64"/>
      <c r="S710" s="64"/>
      <c r="T710" s="64"/>
      <c r="U710" s="64"/>
    </row>
    <row r="711" spans="1:21" s="71" customFormat="1" hidden="1">
      <c r="A711" s="64"/>
      <c r="B711" s="884"/>
      <c r="C711" s="128"/>
      <c r="D711" s="128"/>
      <c r="E711" s="128"/>
      <c r="N711" s="884"/>
      <c r="P711" s="885"/>
      <c r="R711" s="64"/>
      <c r="S711" s="64"/>
      <c r="T711" s="64"/>
      <c r="U711" s="64"/>
    </row>
    <row r="712" spans="1:21" s="71" customFormat="1" hidden="1">
      <c r="A712" s="64"/>
      <c r="B712" s="884"/>
      <c r="C712" s="128"/>
      <c r="D712" s="128"/>
      <c r="E712" s="128"/>
      <c r="N712" s="884"/>
      <c r="P712" s="885"/>
      <c r="R712" s="64"/>
      <c r="S712" s="64"/>
      <c r="T712" s="64"/>
      <c r="U712" s="64"/>
    </row>
    <row r="713" spans="1:21" s="71" customFormat="1" hidden="1">
      <c r="A713" s="64"/>
      <c r="B713" s="884"/>
      <c r="C713" s="128"/>
      <c r="D713" s="128"/>
      <c r="E713" s="128"/>
      <c r="N713" s="884"/>
      <c r="P713" s="885"/>
      <c r="R713" s="64"/>
      <c r="S713" s="64"/>
      <c r="T713" s="64"/>
      <c r="U713" s="64"/>
    </row>
    <row r="714" spans="1:21" s="71" customFormat="1" hidden="1">
      <c r="A714" s="64"/>
      <c r="B714" s="884"/>
      <c r="C714" s="128"/>
      <c r="D714" s="128"/>
      <c r="E714" s="128"/>
      <c r="N714" s="884"/>
      <c r="P714" s="885"/>
      <c r="R714" s="64"/>
      <c r="S714" s="64"/>
      <c r="T714" s="64"/>
      <c r="U714" s="64"/>
    </row>
    <row r="715" spans="1:21" s="71" customFormat="1" hidden="1">
      <c r="A715" s="64"/>
      <c r="B715" s="884"/>
      <c r="C715" s="128"/>
      <c r="D715" s="128"/>
      <c r="E715" s="128"/>
      <c r="N715" s="884"/>
      <c r="P715" s="885"/>
      <c r="R715" s="64"/>
      <c r="S715" s="64"/>
      <c r="T715" s="64"/>
      <c r="U715" s="64"/>
    </row>
    <row r="716" spans="1:21" s="71" customFormat="1" hidden="1">
      <c r="A716" s="64"/>
      <c r="B716" s="884"/>
      <c r="C716" s="128"/>
      <c r="D716" s="128"/>
      <c r="E716" s="128"/>
      <c r="N716" s="884"/>
      <c r="P716" s="885"/>
      <c r="R716" s="64"/>
      <c r="S716" s="64"/>
      <c r="T716" s="64"/>
      <c r="U716" s="64"/>
    </row>
    <row r="717" spans="1:21" s="71" customFormat="1" hidden="1">
      <c r="A717" s="64"/>
      <c r="B717" s="884"/>
      <c r="C717" s="128"/>
      <c r="D717" s="128"/>
      <c r="E717" s="128"/>
      <c r="N717" s="884"/>
      <c r="P717" s="885"/>
      <c r="R717" s="64"/>
      <c r="S717" s="64"/>
      <c r="T717" s="64"/>
      <c r="U717" s="64"/>
    </row>
    <row r="718" spans="1:21" s="71" customFormat="1" hidden="1">
      <c r="A718" s="64"/>
      <c r="B718" s="884"/>
      <c r="C718" s="128"/>
      <c r="D718" s="128"/>
      <c r="E718" s="128"/>
      <c r="N718" s="884"/>
      <c r="P718" s="885"/>
      <c r="R718" s="64"/>
      <c r="S718" s="64"/>
      <c r="T718" s="64"/>
      <c r="U718" s="64"/>
    </row>
    <row r="719" spans="1:21" s="71" customFormat="1" hidden="1">
      <c r="A719" s="64"/>
      <c r="B719" s="884"/>
      <c r="C719" s="128"/>
      <c r="D719" s="128"/>
      <c r="E719" s="128"/>
      <c r="N719" s="884"/>
      <c r="P719" s="885"/>
      <c r="R719" s="64"/>
      <c r="S719" s="64"/>
      <c r="T719" s="64"/>
      <c r="U719" s="64"/>
    </row>
    <row r="720" spans="1:21" s="71" customFormat="1" hidden="1">
      <c r="A720" s="64"/>
      <c r="B720" s="884"/>
      <c r="C720" s="128"/>
      <c r="D720" s="128"/>
      <c r="E720" s="128"/>
      <c r="N720" s="884"/>
      <c r="P720" s="885"/>
      <c r="R720" s="64"/>
      <c r="S720" s="64"/>
      <c r="T720" s="64"/>
      <c r="U720" s="64"/>
    </row>
    <row r="721" spans="1:21" s="71" customFormat="1" hidden="1">
      <c r="A721" s="64"/>
      <c r="B721" s="884"/>
      <c r="C721" s="128"/>
      <c r="D721" s="128"/>
      <c r="E721" s="128"/>
      <c r="N721" s="884"/>
      <c r="P721" s="885"/>
      <c r="R721" s="64"/>
      <c r="S721" s="64"/>
      <c r="T721" s="64"/>
      <c r="U721" s="64"/>
    </row>
    <row r="722" spans="1:21" s="71" customFormat="1" hidden="1">
      <c r="A722" s="64"/>
      <c r="B722" s="884"/>
      <c r="C722" s="128"/>
      <c r="D722" s="128"/>
      <c r="E722" s="128"/>
      <c r="N722" s="884"/>
      <c r="P722" s="885"/>
      <c r="R722" s="64"/>
      <c r="S722" s="64"/>
      <c r="T722" s="64"/>
      <c r="U722" s="64"/>
    </row>
    <row r="723" spans="1:21" s="71" customFormat="1" hidden="1">
      <c r="A723" s="64"/>
      <c r="B723" s="884"/>
      <c r="C723" s="128"/>
      <c r="D723" s="128"/>
      <c r="E723" s="128"/>
      <c r="N723" s="884"/>
      <c r="P723" s="885"/>
      <c r="R723" s="64"/>
      <c r="S723" s="64"/>
      <c r="T723" s="64"/>
      <c r="U723" s="64"/>
    </row>
    <row r="724" spans="1:21" s="71" customFormat="1" hidden="1">
      <c r="A724" s="64"/>
      <c r="B724" s="884"/>
      <c r="C724" s="128"/>
      <c r="D724" s="128"/>
      <c r="E724" s="128"/>
      <c r="N724" s="884"/>
      <c r="P724" s="885"/>
      <c r="R724" s="64"/>
      <c r="S724" s="64"/>
      <c r="T724" s="64"/>
      <c r="U724" s="64"/>
    </row>
    <row r="725" spans="1:21" s="71" customFormat="1" hidden="1">
      <c r="A725" s="64"/>
      <c r="B725" s="884"/>
      <c r="C725" s="128"/>
      <c r="D725" s="128"/>
      <c r="E725" s="128"/>
      <c r="N725" s="884"/>
      <c r="P725" s="885"/>
      <c r="R725" s="64"/>
      <c r="S725" s="64"/>
      <c r="T725" s="64"/>
      <c r="U725" s="64"/>
    </row>
    <row r="726" spans="1:21" s="71" customFormat="1" hidden="1">
      <c r="A726" s="64"/>
      <c r="B726" s="884"/>
      <c r="C726" s="128"/>
      <c r="D726" s="128"/>
      <c r="E726" s="128"/>
      <c r="N726" s="884"/>
      <c r="P726" s="885"/>
      <c r="R726" s="64"/>
      <c r="S726" s="64"/>
      <c r="T726" s="64"/>
      <c r="U726" s="64"/>
    </row>
    <row r="727" spans="1:21" s="71" customFormat="1" hidden="1">
      <c r="A727" s="64"/>
      <c r="B727" s="884"/>
      <c r="C727" s="128"/>
      <c r="D727" s="128"/>
      <c r="E727" s="128"/>
      <c r="N727" s="884"/>
      <c r="P727" s="885"/>
      <c r="R727" s="64"/>
      <c r="S727" s="64"/>
      <c r="T727" s="64"/>
      <c r="U727" s="64"/>
    </row>
    <row r="728" spans="1:21" s="71" customFormat="1" hidden="1">
      <c r="A728" s="64"/>
      <c r="B728" s="884"/>
      <c r="C728" s="128"/>
      <c r="D728" s="128"/>
      <c r="E728" s="128"/>
      <c r="N728" s="884"/>
      <c r="P728" s="885"/>
      <c r="R728" s="64"/>
      <c r="S728" s="64"/>
      <c r="T728" s="64"/>
      <c r="U728" s="64"/>
    </row>
    <row r="729" spans="1:21" s="71" customFormat="1" hidden="1">
      <c r="A729" s="64"/>
      <c r="B729" s="884"/>
      <c r="C729" s="128"/>
      <c r="D729" s="128"/>
      <c r="E729" s="128"/>
      <c r="N729" s="884"/>
      <c r="P729" s="885"/>
      <c r="R729" s="64"/>
      <c r="S729" s="64"/>
      <c r="T729" s="64"/>
      <c r="U729" s="64"/>
    </row>
    <row r="730" spans="1:21" s="71" customFormat="1" hidden="1">
      <c r="A730" s="64"/>
      <c r="B730" s="884"/>
      <c r="C730" s="128"/>
      <c r="D730" s="128"/>
      <c r="E730" s="128"/>
      <c r="N730" s="884"/>
      <c r="P730" s="885"/>
      <c r="R730" s="64"/>
      <c r="S730" s="64"/>
      <c r="T730" s="64"/>
      <c r="U730" s="64"/>
    </row>
    <row r="731" spans="1:21" s="71" customFormat="1" hidden="1">
      <c r="A731" s="64"/>
      <c r="B731" s="884"/>
      <c r="C731" s="128"/>
      <c r="D731" s="128"/>
      <c r="E731" s="128"/>
      <c r="N731" s="884"/>
      <c r="P731" s="885"/>
      <c r="R731" s="64"/>
      <c r="S731" s="64"/>
      <c r="T731" s="64"/>
      <c r="U731" s="64"/>
    </row>
    <row r="732" spans="1:21" s="71" customFormat="1" hidden="1">
      <c r="A732" s="64"/>
      <c r="B732" s="884"/>
      <c r="C732" s="128"/>
      <c r="D732" s="128"/>
      <c r="E732" s="128"/>
      <c r="N732" s="884"/>
      <c r="P732" s="885"/>
      <c r="R732" s="64"/>
      <c r="S732" s="64"/>
      <c r="T732" s="64"/>
      <c r="U732" s="64"/>
    </row>
    <row r="733" spans="1:21" s="71" customFormat="1" hidden="1">
      <c r="A733" s="64"/>
      <c r="B733" s="884"/>
      <c r="C733" s="128"/>
      <c r="D733" s="128"/>
      <c r="E733" s="128"/>
      <c r="N733" s="884"/>
      <c r="P733" s="885"/>
      <c r="R733" s="64"/>
      <c r="S733" s="64"/>
      <c r="T733" s="64"/>
      <c r="U733" s="64"/>
    </row>
    <row r="734" spans="1:21" s="71" customFormat="1" hidden="1">
      <c r="A734" s="64"/>
      <c r="B734" s="884"/>
      <c r="C734" s="128"/>
      <c r="D734" s="128"/>
      <c r="E734" s="128"/>
      <c r="N734" s="884"/>
      <c r="P734" s="885"/>
      <c r="R734" s="64"/>
      <c r="S734" s="64"/>
      <c r="T734" s="64"/>
      <c r="U734" s="64"/>
    </row>
    <row r="735" spans="1:21" s="71" customFormat="1" hidden="1">
      <c r="A735" s="64"/>
      <c r="B735" s="884"/>
      <c r="C735" s="128"/>
      <c r="D735" s="128"/>
      <c r="E735" s="128"/>
      <c r="N735" s="884"/>
      <c r="P735" s="885"/>
      <c r="R735" s="64"/>
      <c r="S735" s="64"/>
      <c r="T735" s="64"/>
      <c r="U735" s="64"/>
    </row>
    <row r="736" spans="1:21" s="71" customFormat="1" hidden="1">
      <c r="A736" s="64"/>
      <c r="B736" s="884"/>
      <c r="C736" s="128"/>
      <c r="D736" s="128"/>
      <c r="E736" s="128"/>
      <c r="N736" s="884"/>
      <c r="P736" s="885"/>
      <c r="R736" s="64"/>
      <c r="S736" s="64"/>
      <c r="T736" s="64"/>
      <c r="U736" s="64"/>
    </row>
    <row r="737" spans="1:21" s="71" customFormat="1" hidden="1">
      <c r="A737" s="64"/>
      <c r="B737" s="884"/>
      <c r="C737" s="128"/>
      <c r="D737" s="128"/>
      <c r="E737" s="128"/>
      <c r="N737" s="884"/>
      <c r="P737" s="885"/>
      <c r="R737" s="64"/>
      <c r="S737" s="64"/>
      <c r="T737" s="64"/>
      <c r="U737" s="64"/>
    </row>
    <row r="738" spans="1:21" s="71" customFormat="1" hidden="1">
      <c r="A738" s="64"/>
      <c r="B738" s="884"/>
      <c r="C738" s="128"/>
      <c r="D738" s="128"/>
      <c r="E738" s="128"/>
      <c r="N738" s="884"/>
      <c r="P738" s="885"/>
      <c r="R738" s="64"/>
      <c r="S738" s="64"/>
      <c r="T738" s="64"/>
      <c r="U738" s="64"/>
    </row>
    <row r="739" spans="1:21" s="71" customFormat="1" hidden="1">
      <c r="A739" s="64"/>
      <c r="B739" s="884"/>
      <c r="C739" s="128"/>
      <c r="D739" s="128"/>
      <c r="E739" s="128"/>
      <c r="N739" s="884"/>
      <c r="P739" s="885"/>
      <c r="R739" s="64"/>
      <c r="S739" s="64"/>
      <c r="T739" s="64"/>
      <c r="U739" s="64"/>
    </row>
    <row r="740" spans="1:21" s="71" customFormat="1" hidden="1">
      <c r="A740" s="64"/>
      <c r="B740" s="884"/>
      <c r="C740" s="128"/>
      <c r="D740" s="128"/>
      <c r="E740" s="128"/>
      <c r="N740" s="884"/>
      <c r="P740" s="885"/>
      <c r="R740" s="64"/>
      <c r="S740" s="64"/>
      <c r="T740" s="64"/>
      <c r="U740" s="64"/>
    </row>
    <row r="741" spans="1:21" s="71" customFormat="1" hidden="1">
      <c r="A741" s="64"/>
      <c r="B741" s="884"/>
      <c r="C741" s="128"/>
      <c r="D741" s="128"/>
      <c r="E741" s="128"/>
      <c r="N741" s="884"/>
      <c r="P741" s="885"/>
      <c r="R741" s="64"/>
      <c r="S741" s="64"/>
      <c r="T741" s="64"/>
      <c r="U741" s="64"/>
    </row>
    <row r="742" spans="1:21" s="71" customFormat="1" hidden="1">
      <c r="A742" s="64"/>
      <c r="B742" s="884"/>
      <c r="C742" s="128"/>
      <c r="D742" s="128"/>
      <c r="E742" s="128"/>
      <c r="N742" s="884"/>
      <c r="P742" s="885"/>
      <c r="R742" s="64"/>
      <c r="S742" s="64"/>
      <c r="T742" s="64"/>
      <c r="U742" s="64"/>
    </row>
    <row r="743" spans="1:21" s="71" customFormat="1" hidden="1">
      <c r="A743" s="64"/>
      <c r="B743" s="884"/>
      <c r="C743" s="128"/>
      <c r="D743" s="128"/>
      <c r="E743" s="128"/>
      <c r="N743" s="884"/>
      <c r="P743" s="885"/>
      <c r="R743" s="64"/>
      <c r="S743" s="64"/>
      <c r="T743" s="64"/>
      <c r="U743" s="64"/>
    </row>
    <row r="744" spans="1:21" s="71" customFormat="1" hidden="1">
      <c r="A744" s="64"/>
      <c r="B744" s="884"/>
      <c r="C744" s="128"/>
      <c r="D744" s="128"/>
      <c r="E744" s="128"/>
      <c r="N744" s="884"/>
      <c r="P744" s="885"/>
      <c r="R744" s="64"/>
      <c r="S744" s="64"/>
      <c r="T744" s="64"/>
      <c r="U744" s="64"/>
    </row>
    <row r="745" spans="1:21" s="71" customFormat="1" hidden="1">
      <c r="A745" s="64"/>
      <c r="B745" s="884"/>
      <c r="C745" s="128"/>
      <c r="D745" s="128"/>
      <c r="E745" s="128"/>
      <c r="N745" s="884"/>
      <c r="P745" s="885"/>
      <c r="R745" s="64"/>
      <c r="S745" s="64"/>
      <c r="T745" s="64"/>
      <c r="U745" s="64"/>
    </row>
    <row r="746" spans="1:21" s="71" customFormat="1" hidden="1">
      <c r="A746" s="64"/>
      <c r="B746" s="884"/>
      <c r="C746" s="128"/>
      <c r="D746" s="128"/>
      <c r="E746" s="128"/>
      <c r="N746" s="884"/>
      <c r="P746" s="885"/>
      <c r="R746" s="64"/>
      <c r="S746" s="64"/>
      <c r="T746" s="64"/>
      <c r="U746" s="64"/>
    </row>
    <row r="747" spans="1:21" s="71" customFormat="1" hidden="1">
      <c r="A747" s="64"/>
      <c r="B747" s="884"/>
      <c r="C747" s="128"/>
      <c r="D747" s="128"/>
      <c r="E747" s="128"/>
      <c r="N747" s="884"/>
      <c r="P747" s="885"/>
      <c r="R747" s="64"/>
      <c r="S747" s="64"/>
      <c r="T747" s="64"/>
      <c r="U747" s="64"/>
    </row>
    <row r="748" spans="1:21" s="71" customFormat="1" hidden="1">
      <c r="A748" s="64"/>
      <c r="B748" s="884"/>
      <c r="C748" s="128"/>
      <c r="D748" s="128"/>
      <c r="E748" s="128"/>
      <c r="N748" s="884"/>
      <c r="P748" s="885"/>
      <c r="R748" s="64"/>
      <c r="S748" s="64"/>
      <c r="T748" s="64"/>
      <c r="U748" s="64"/>
    </row>
    <row r="749" spans="1:21" s="71" customFormat="1" hidden="1">
      <c r="A749" s="64"/>
      <c r="B749" s="884"/>
      <c r="C749" s="128"/>
      <c r="D749" s="128"/>
      <c r="E749" s="128"/>
      <c r="N749" s="884"/>
      <c r="P749" s="885"/>
      <c r="R749" s="64"/>
      <c r="S749" s="64"/>
      <c r="T749" s="64"/>
      <c r="U749" s="64"/>
    </row>
    <row r="750" spans="1:21" s="71" customFormat="1" hidden="1">
      <c r="A750" s="64"/>
      <c r="B750" s="884"/>
      <c r="C750" s="128"/>
      <c r="D750" s="128"/>
      <c r="E750" s="128"/>
      <c r="N750" s="884"/>
      <c r="P750" s="885"/>
      <c r="R750" s="64"/>
      <c r="S750" s="64"/>
      <c r="T750" s="64"/>
      <c r="U750" s="64"/>
    </row>
    <row r="751" spans="1:21" s="71" customFormat="1" hidden="1">
      <c r="A751" s="64"/>
      <c r="B751" s="884"/>
      <c r="C751" s="128"/>
      <c r="D751" s="128"/>
      <c r="E751" s="128"/>
      <c r="N751" s="884"/>
      <c r="P751" s="885"/>
      <c r="R751" s="64"/>
      <c r="S751" s="64"/>
      <c r="T751" s="64"/>
      <c r="U751" s="64"/>
    </row>
    <row r="752" spans="1:21" s="71" customFormat="1" hidden="1">
      <c r="A752" s="64"/>
      <c r="B752" s="884"/>
      <c r="C752" s="128"/>
      <c r="D752" s="128"/>
      <c r="E752" s="128"/>
      <c r="N752" s="884"/>
      <c r="P752" s="885"/>
      <c r="R752" s="64"/>
      <c r="S752" s="64"/>
      <c r="T752" s="64"/>
      <c r="U752" s="64"/>
    </row>
    <row r="753" spans="1:21" s="71" customFormat="1" hidden="1">
      <c r="A753" s="64"/>
      <c r="B753" s="884"/>
      <c r="C753" s="128"/>
      <c r="D753" s="128"/>
      <c r="E753" s="128"/>
      <c r="N753" s="884"/>
      <c r="P753" s="885"/>
      <c r="R753" s="64"/>
      <c r="S753" s="64"/>
      <c r="T753" s="64"/>
      <c r="U753" s="64"/>
    </row>
    <row r="754" spans="1:21" s="71" customFormat="1" hidden="1">
      <c r="A754" s="64"/>
      <c r="B754" s="884"/>
      <c r="C754" s="128"/>
      <c r="D754" s="128"/>
      <c r="E754" s="128"/>
      <c r="N754" s="884"/>
      <c r="P754" s="885"/>
      <c r="R754" s="64"/>
      <c r="S754" s="64"/>
      <c r="T754" s="64"/>
      <c r="U754" s="64"/>
    </row>
    <row r="755" spans="1:21" s="71" customFormat="1" hidden="1">
      <c r="A755" s="64"/>
      <c r="B755" s="884"/>
      <c r="C755" s="128"/>
      <c r="D755" s="128"/>
      <c r="E755" s="128"/>
      <c r="N755" s="884"/>
      <c r="P755" s="885"/>
      <c r="R755" s="64"/>
      <c r="S755" s="64"/>
      <c r="T755" s="64"/>
      <c r="U755" s="64"/>
    </row>
    <row r="756" spans="1:21" s="71" customFormat="1" hidden="1">
      <c r="A756" s="64"/>
      <c r="B756" s="884"/>
      <c r="C756" s="128"/>
      <c r="D756" s="128"/>
      <c r="E756" s="128"/>
      <c r="N756" s="884"/>
      <c r="P756" s="885"/>
      <c r="R756" s="64"/>
      <c r="S756" s="64"/>
      <c r="T756" s="64"/>
      <c r="U756" s="64"/>
    </row>
    <row r="757" spans="1:21" s="71" customFormat="1" hidden="1">
      <c r="A757" s="64"/>
      <c r="B757" s="884"/>
      <c r="C757" s="128"/>
      <c r="D757" s="128"/>
      <c r="E757" s="128"/>
      <c r="N757" s="884"/>
      <c r="P757" s="885"/>
      <c r="R757" s="64"/>
      <c r="S757" s="64"/>
      <c r="T757" s="64"/>
      <c r="U757" s="64"/>
    </row>
    <row r="758" spans="1:21" s="71" customFormat="1" hidden="1">
      <c r="A758" s="64"/>
      <c r="B758" s="884"/>
      <c r="C758" s="128"/>
      <c r="D758" s="128"/>
      <c r="E758" s="128"/>
      <c r="N758" s="884"/>
      <c r="P758" s="885"/>
      <c r="R758" s="64"/>
      <c r="S758" s="64"/>
      <c r="T758" s="64"/>
      <c r="U758" s="64"/>
    </row>
    <row r="759" spans="1:21" s="71" customFormat="1" hidden="1">
      <c r="A759" s="64"/>
      <c r="B759" s="884"/>
      <c r="C759" s="128"/>
      <c r="D759" s="128"/>
      <c r="E759" s="128"/>
      <c r="N759" s="884"/>
      <c r="P759" s="885"/>
      <c r="R759" s="64"/>
      <c r="S759" s="64"/>
      <c r="T759" s="64"/>
      <c r="U759" s="64"/>
    </row>
    <row r="760" spans="1:21" s="71" customFormat="1" hidden="1">
      <c r="A760" s="64"/>
      <c r="B760" s="884"/>
      <c r="C760" s="128"/>
      <c r="D760" s="128"/>
      <c r="E760" s="128"/>
      <c r="N760" s="884"/>
      <c r="P760" s="885"/>
      <c r="R760" s="64"/>
      <c r="S760" s="64"/>
      <c r="T760" s="64"/>
      <c r="U760" s="64"/>
    </row>
    <row r="761" spans="1:21" s="71" customFormat="1" hidden="1">
      <c r="A761" s="64"/>
      <c r="B761" s="884"/>
      <c r="C761" s="128"/>
      <c r="D761" s="128"/>
      <c r="E761" s="128"/>
      <c r="N761" s="884"/>
      <c r="P761" s="885"/>
      <c r="R761" s="64"/>
      <c r="S761" s="64"/>
      <c r="T761" s="64"/>
      <c r="U761" s="64"/>
    </row>
    <row r="762" spans="1:21" s="71" customFormat="1" hidden="1">
      <c r="A762" s="64"/>
      <c r="B762" s="884"/>
      <c r="C762" s="128"/>
      <c r="D762" s="128"/>
      <c r="E762" s="128"/>
      <c r="N762" s="884"/>
      <c r="P762" s="885"/>
      <c r="R762" s="64"/>
      <c r="S762" s="64"/>
      <c r="T762" s="64"/>
      <c r="U762" s="64"/>
    </row>
    <row r="763" spans="1:21" s="71" customFormat="1" hidden="1">
      <c r="A763" s="64"/>
      <c r="B763" s="884"/>
      <c r="C763" s="128"/>
      <c r="D763" s="128"/>
      <c r="E763" s="128"/>
      <c r="N763" s="884"/>
      <c r="P763" s="885"/>
      <c r="R763" s="64"/>
      <c r="S763" s="64"/>
      <c r="T763" s="64"/>
      <c r="U763" s="64"/>
    </row>
    <row r="764" spans="1:21" s="71" customFormat="1" hidden="1">
      <c r="A764" s="64"/>
      <c r="B764" s="884"/>
      <c r="C764" s="128"/>
      <c r="D764" s="128"/>
      <c r="E764" s="128"/>
      <c r="N764" s="884"/>
      <c r="P764" s="885"/>
      <c r="R764" s="64"/>
      <c r="S764" s="64"/>
      <c r="T764" s="64"/>
      <c r="U764" s="64"/>
    </row>
    <row r="765" spans="1:21" s="71" customFormat="1" hidden="1">
      <c r="A765" s="64"/>
      <c r="B765" s="884"/>
      <c r="C765" s="128"/>
      <c r="D765" s="128"/>
      <c r="E765" s="128"/>
      <c r="N765" s="884"/>
      <c r="P765" s="885"/>
      <c r="R765" s="64"/>
      <c r="S765" s="64"/>
      <c r="T765" s="64"/>
      <c r="U765" s="64"/>
    </row>
    <row r="766" spans="1:21" s="71" customFormat="1" hidden="1">
      <c r="A766" s="64"/>
      <c r="B766" s="884"/>
      <c r="C766" s="128"/>
      <c r="D766" s="128"/>
      <c r="E766" s="128"/>
      <c r="N766" s="884"/>
      <c r="P766" s="885"/>
      <c r="R766" s="64"/>
      <c r="S766" s="64"/>
      <c r="T766" s="64"/>
      <c r="U766" s="64"/>
    </row>
    <row r="767" spans="1:21" s="71" customFormat="1" hidden="1">
      <c r="A767" s="64"/>
      <c r="B767" s="884"/>
      <c r="C767" s="128"/>
      <c r="D767" s="128"/>
      <c r="E767" s="128"/>
      <c r="N767" s="884"/>
      <c r="P767" s="885"/>
      <c r="R767" s="64"/>
      <c r="S767" s="64"/>
      <c r="T767" s="64"/>
      <c r="U767" s="64"/>
    </row>
    <row r="768" spans="1:21" s="71" customFormat="1" hidden="1">
      <c r="A768" s="64"/>
      <c r="B768" s="884"/>
      <c r="C768" s="128"/>
      <c r="D768" s="128"/>
      <c r="E768" s="128"/>
      <c r="N768" s="884"/>
      <c r="P768" s="885"/>
      <c r="R768" s="64"/>
      <c r="S768" s="64"/>
      <c r="T768" s="64"/>
      <c r="U768" s="64"/>
    </row>
    <row r="769" spans="1:21" s="71" customFormat="1" hidden="1">
      <c r="A769" s="64"/>
      <c r="B769" s="884"/>
      <c r="C769" s="128"/>
      <c r="D769" s="128"/>
      <c r="E769" s="128"/>
      <c r="N769" s="884"/>
      <c r="P769" s="885"/>
      <c r="R769" s="64"/>
      <c r="S769" s="64"/>
      <c r="T769" s="64"/>
      <c r="U769" s="64"/>
    </row>
    <row r="770" spans="1:21" s="71" customFormat="1" hidden="1">
      <c r="A770" s="64"/>
      <c r="B770" s="884"/>
      <c r="C770" s="128"/>
      <c r="D770" s="128"/>
      <c r="E770" s="128"/>
      <c r="N770" s="884"/>
      <c r="P770" s="885"/>
      <c r="R770" s="64"/>
      <c r="S770" s="64"/>
      <c r="T770" s="64"/>
      <c r="U770" s="64"/>
    </row>
    <row r="771" spans="1:21" s="71" customFormat="1" hidden="1">
      <c r="A771" s="64"/>
      <c r="B771" s="884"/>
      <c r="C771" s="128"/>
      <c r="D771" s="128"/>
      <c r="E771" s="128"/>
      <c r="N771" s="884"/>
      <c r="P771" s="885"/>
      <c r="R771" s="64"/>
      <c r="S771" s="64"/>
      <c r="T771" s="64"/>
      <c r="U771" s="64"/>
    </row>
    <row r="772" spans="1:21" s="71" customFormat="1" hidden="1">
      <c r="A772" s="64"/>
      <c r="B772" s="884"/>
      <c r="C772" s="128"/>
      <c r="D772" s="128"/>
      <c r="E772" s="128"/>
      <c r="N772" s="884"/>
      <c r="P772" s="885"/>
      <c r="R772" s="64"/>
      <c r="S772" s="64"/>
      <c r="T772" s="64"/>
      <c r="U772" s="64"/>
    </row>
    <row r="773" spans="1:21" s="71" customFormat="1" hidden="1">
      <c r="A773" s="64"/>
      <c r="B773" s="884"/>
      <c r="C773" s="128"/>
      <c r="D773" s="128"/>
      <c r="E773" s="128"/>
      <c r="N773" s="884"/>
      <c r="P773" s="885"/>
      <c r="R773" s="64"/>
      <c r="S773" s="64"/>
      <c r="T773" s="64"/>
      <c r="U773" s="64"/>
    </row>
    <row r="774" spans="1:21" s="71" customFormat="1" hidden="1">
      <c r="A774" s="64"/>
      <c r="B774" s="884"/>
      <c r="C774" s="128"/>
      <c r="D774" s="128"/>
      <c r="E774" s="128"/>
      <c r="N774" s="884"/>
      <c r="P774" s="885"/>
      <c r="R774" s="64"/>
      <c r="S774" s="64"/>
      <c r="T774" s="64"/>
      <c r="U774" s="64"/>
    </row>
    <row r="775" spans="1:21" s="71" customFormat="1" hidden="1">
      <c r="A775" s="64"/>
      <c r="B775" s="884"/>
      <c r="C775" s="128"/>
      <c r="D775" s="128"/>
      <c r="E775" s="128"/>
      <c r="N775" s="884"/>
      <c r="P775" s="885"/>
      <c r="R775" s="64"/>
      <c r="S775" s="64"/>
      <c r="T775" s="64"/>
      <c r="U775" s="64"/>
    </row>
    <row r="776" spans="1:21" s="71" customFormat="1" hidden="1">
      <c r="A776" s="64"/>
      <c r="B776" s="884"/>
      <c r="C776" s="128"/>
      <c r="D776" s="128"/>
      <c r="E776" s="128"/>
      <c r="N776" s="884"/>
      <c r="P776" s="885"/>
      <c r="R776" s="64"/>
      <c r="S776" s="64"/>
      <c r="T776" s="64"/>
      <c r="U776" s="64"/>
    </row>
    <row r="777" spans="1:21" s="71" customFormat="1" hidden="1">
      <c r="A777" s="64"/>
      <c r="B777" s="884"/>
      <c r="C777" s="128"/>
      <c r="D777" s="128"/>
      <c r="E777" s="128"/>
      <c r="N777" s="884"/>
      <c r="P777" s="885"/>
      <c r="R777" s="64"/>
      <c r="S777" s="64"/>
      <c r="T777" s="64"/>
      <c r="U777" s="64"/>
    </row>
    <row r="778" spans="1:21" s="71" customFormat="1" hidden="1">
      <c r="A778" s="64"/>
      <c r="B778" s="884"/>
      <c r="C778" s="128"/>
      <c r="D778" s="128"/>
      <c r="E778" s="128"/>
      <c r="N778" s="884"/>
      <c r="P778" s="885"/>
      <c r="R778" s="64"/>
      <c r="S778" s="64"/>
      <c r="T778" s="64"/>
      <c r="U778" s="64"/>
    </row>
    <row r="779" spans="1:21" s="71" customFormat="1" hidden="1">
      <c r="A779" s="64"/>
      <c r="B779" s="884"/>
      <c r="C779" s="128"/>
      <c r="D779" s="128"/>
      <c r="E779" s="128"/>
      <c r="N779" s="884"/>
      <c r="P779" s="885"/>
      <c r="R779" s="64"/>
      <c r="S779" s="64"/>
      <c r="T779" s="64"/>
      <c r="U779" s="64"/>
    </row>
    <row r="780" spans="1:21" s="71" customFormat="1" hidden="1">
      <c r="A780" s="64"/>
      <c r="B780" s="884"/>
      <c r="C780" s="128"/>
      <c r="D780" s="128"/>
      <c r="E780" s="128"/>
      <c r="N780" s="884"/>
      <c r="P780" s="885"/>
      <c r="R780" s="64"/>
      <c r="S780" s="64"/>
      <c r="T780" s="64"/>
      <c r="U780" s="64"/>
    </row>
    <row r="781" spans="1:21" s="71" customFormat="1" hidden="1">
      <c r="A781" s="64"/>
      <c r="B781" s="884"/>
      <c r="C781" s="128"/>
      <c r="D781" s="128"/>
      <c r="E781" s="128"/>
      <c r="N781" s="884"/>
      <c r="P781" s="885"/>
      <c r="R781" s="64"/>
      <c r="S781" s="64"/>
      <c r="T781" s="64"/>
      <c r="U781" s="64"/>
    </row>
    <row r="782" spans="1:21" s="71" customFormat="1" hidden="1">
      <c r="A782" s="64"/>
      <c r="B782" s="884"/>
      <c r="C782" s="128"/>
      <c r="D782" s="128"/>
      <c r="E782" s="128"/>
      <c r="N782" s="884"/>
      <c r="P782" s="885"/>
      <c r="R782" s="64"/>
      <c r="S782" s="64"/>
      <c r="T782" s="64"/>
      <c r="U782" s="64"/>
    </row>
    <row r="783" spans="1:21" s="71" customFormat="1" hidden="1">
      <c r="A783" s="64"/>
      <c r="B783" s="884"/>
      <c r="C783" s="128"/>
      <c r="D783" s="128"/>
      <c r="E783" s="128"/>
      <c r="N783" s="884"/>
      <c r="P783" s="885"/>
      <c r="R783" s="64"/>
      <c r="S783" s="64"/>
      <c r="T783" s="64"/>
      <c r="U783" s="64"/>
    </row>
    <row r="784" spans="1:21" s="71" customFormat="1" hidden="1">
      <c r="A784" s="64"/>
      <c r="B784" s="884"/>
      <c r="C784" s="128"/>
      <c r="D784" s="128"/>
      <c r="E784" s="128"/>
      <c r="N784" s="884"/>
      <c r="P784" s="885"/>
      <c r="R784" s="64"/>
      <c r="S784" s="64"/>
      <c r="T784" s="64"/>
      <c r="U784" s="64"/>
    </row>
    <row r="785" spans="1:21" s="71" customFormat="1" hidden="1">
      <c r="A785" s="64"/>
      <c r="B785" s="884"/>
      <c r="C785" s="128"/>
      <c r="D785" s="128"/>
      <c r="E785" s="128"/>
      <c r="N785" s="884"/>
      <c r="P785" s="885"/>
      <c r="R785" s="64"/>
      <c r="S785" s="64"/>
      <c r="T785" s="64"/>
      <c r="U785" s="64"/>
    </row>
    <row r="786" spans="1:21" s="71" customFormat="1" hidden="1">
      <c r="A786" s="64"/>
      <c r="B786" s="884"/>
      <c r="C786" s="128"/>
      <c r="D786" s="128"/>
      <c r="E786" s="128"/>
      <c r="N786" s="884"/>
      <c r="P786" s="885"/>
      <c r="R786" s="64"/>
      <c r="S786" s="64"/>
      <c r="T786" s="64"/>
      <c r="U786" s="64"/>
    </row>
    <row r="787" spans="1:21" s="71" customFormat="1" hidden="1">
      <c r="A787" s="64"/>
      <c r="B787" s="884"/>
      <c r="C787" s="128"/>
      <c r="D787" s="128"/>
      <c r="E787" s="128"/>
      <c r="N787" s="884"/>
      <c r="P787" s="885"/>
      <c r="R787" s="64"/>
      <c r="S787" s="64"/>
      <c r="T787" s="64"/>
      <c r="U787" s="64"/>
    </row>
    <row r="788" spans="1:21" s="71" customFormat="1" hidden="1">
      <c r="A788" s="64"/>
      <c r="B788" s="884"/>
      <c r="C788" s="128"/>
      <c r="D788" s="128"/>
      <c r="E788" s="128"/>
      <c r="N788" s="884"/>
      <c r="P788" s="885"/>
      <c r="R788" s="64"/>
      <c r="S788" s="64"/>
      <c r="T788" s="64"/>
      <c r="U788" s="64"/>
    </row>
    <row r="789" spans="1:21" s="71" customFormat="1" hidden="1">
      <c r="A789" s="64"/>
      <c r="B789" s="884"/>
      <c r="C789" s="128"/>
      <c r="D789" s="128"/>
      <c r="E789" s="128"/>
      <c r="N789" s="884"/>
      <c r="P789" s="885"/>
      <c r="R789" s="64"/>
      <c r="S789" s="64"/>
      <c r="T789" s="64"/>
      <c r="U789" s="64"/>
    </row>
    <row r="790" spans="1:21" s="71" customFormat="1" hidden="1">
      <c r="A790" s="64"/>
      <c r="B790" s="884"/>
      <c r="C790" s="128"/>
      <c r="D790" s="128"/>
      <c r="E790" s="128"/>
      <c r="N790" s="884"/>
      <c r="P790" s="885"/>
      <c r="R790" s="64"/>
      <c r="S790" s="64"/>
      <c r="T790" s="64"/>
      <c r="U790" s="64"/>
    </row>
    <row r="791" spans="1:21" s="71" customFormat="1" hidden="1">
      <c r="A791" s="64"/>
      <c r="B791" s="884"/>
      <c r="C791" s="128"/>
      <c r="D791" s="128"/>
      <c r="E791" s="128"/>
      <c r="N791" s="884"/>
      <c r="P791" s="885"/>
      <c r="R791" s="64"/>
      <c r="S791" s="64"/>
      <c r="T791" s="64"/>
      <c r="U791" s="64"/>
    </row>
    <row r="792" spans="1:21" s="71" customFormat="1" hidden="1">
      <c r="A792" s="64"/>
      <c r="B792" s="884"/>
      <c r="C792" s="128"/>
      <c r="D792" s="128"/>
      <c r="E792" s="128"/>
      <c r="N792" s="884"/>
      <c r="P792" s="885"/>
      <c r="R792" s="64"/>
      <c r="S792" s="64"/>
      <c r="T792" s="64"/>
      <c r="U792" s="64"/>
    </row>
    <row r="793" spans="1:21" s="71" customFormat="1" hidden="1">
      <c r="A793" s="64"/>
      <c r="B793" s="884"/>
      <c r="C793" s="128"/>
      <c r="D793" s="128"/>
      <c r="E793" s="128"/>
      <c r="N793" s="884"/>
      <c r="P793" s="885"/>
      <c r="R793" s="64"/>
      <c r="S793" s="64"/>
      <c r="T793" s="64"/>
      <c r="U793" s="64"/>
    </row>
    <row r="794" spans="1:21" s="71" customFormat="1" hidden="1">
      <c r="A794" s="64"/>
      <c r="B794" s="884"/>
      <c r="C794" s="128"/>
      <c r="D794" s="128"/>
      <c r="E794" s="128"/>
      <c r="N794" s="884"/>
      <c r="P794" s="885"/>
      <c r="R794" s="64"/>
      <c r="S794" s="64"/>
      <c r="T794" s="64"/>
      <c r="U794" s="64"/>
    </row>
    <row r="795" spans="1:21" s="71" customFormat="1" hidden="1">
      <c r="A795" s="64"/>
      <c r="B795" s="884"/>
      <c r="C795" s="128"/>
      <c r="D795" s="128"/>
      <c r="E795" s="128"/>
      <c r="N795" s="884"/>
      <c r="P795" s="885"/>
      <c r="R795" s="64"/>
      <c r="S795" s="64"/>
      <c r="T795" s="64"/>
      <c r="U795" s="64"/>
    </row>
    <row r="796" spans="1:21" s="71" customFormat="1" hidden="1">
      <c r="A796" s="64"/>
      <c r="B796" s="884"/>
      <c r="C796" s="128"/>
      <c r="D796" s="128"/>
      <c r="E796" s="128"/>
      <c r="N796" s="884"/>
      <c r="P796" s="885"/>
      <c r="R796" s="64"/>
      <c r="S796" s="64"/>
      <c r="T796" s="64"/>
      <c r="U796" s="64"/>
    </row>
    <row r="797" spans="1:21" s="71" customFormat="1" hidden="1">
      <c r="A797" s="64"/>
      <c r="B797" s="884"/>
      <c r="C797" s="128"/>
      <c r="D797" s="128"/>
      <c r="E797" s="128"/>
      <c r="N797" s="884"/>
      <c r="P797" s="885"/>
      <c r="R797" s="64"/>
      <c r="S797" s="64"/>
      <c r="T797" s="64"/>
      <c r="U797" s="64"/>
    </row>
    <row r="798" spans="1:21" s="71" customFormat="1" hidden="1">
      <c r="A798" s="64"/>
      <c r="B798" s="884"/>
      <c r="C798" s="128"/>
      <c r="D798" s="128"/>
      <c r="E798" s="128"/>
      <c r="N798" s="884"/>
      <c r="P798" s="885"/>
      <c r="R798" s="64"/>
      <c r="S798" s="64"/>
      <c r="T798" s="64"/>
      <c r="U798" s="64"/>
    </row>
    <row r="799" spans="1:21" s="71" customFormat="1" hidden="1">
      <c r="A799" s="64"/>
      <c r="B799" s="884"/>
      <c r="C799" s="128"/>
      <c r="D799" s="128"/>
      <c r="E799" s="128"/>
      <c r="N799" s="884"/>
      <c r="P799" s="885"/>
      <c r="R799" s="64"/>
      <c r="S799" s="64"/>
      <c r="T799" s="64"/>
      <c r="U799" s="64"/>
    </row>
    <row r="800" spans="1:21" s="71" customFormat="1" hidden="1">
      <c r="A800" s="64"/>
      <c r="B800" s="884"/>
      <c r="C800" s="128"/>
      <c r="D800" s="128"/>
      <c r="E800" s="128"/>
      <c r="N800" s="884"/>
      <c r="P800" s="885"/>
      <c r="R800" s="64"/>
      <c r="S800" s="64"/>
      <c r="T800" s="64"/>
      <c r="U800" s="64"/>
    </row>
    <row r="801" spans="1:21" s="71" customFormat="1" hidden="1">
      <c r="A801" s="64"/>
      <c r="B801" s="884"/>
      <c r="C801" s="128"/>
      <c r="D801" s="128"/>
      <c r="E801" s="128"/>
      <c r="N801" s="884"/>
      <c r="P801" s="885"/>
      <c r="R801" s="64"/>
      <c r="S801" s="64"/>
      <c r="T801" s="64"/>
      <c r="U801" s="64"/>
    </row>
    <row r="802" spans="1:21" s="71" customFormat="1" hidden="1">
      <c r="A802" s="64"/>
      <c r="B802" s="884"/>
      <c r="C802" s="128"/>
      <c r="D802" s="128"/>
      <c r="E802" s="128"/>
      <c r="N802" s="884"/>
      <c r="P802" s="885"/>
      <c r="R802" s="64"/>
      <c r="S802" s="64"/>
      <c r="T802" s="64"/>
      <c r="U802" s="64"/>
    </row>
    <row r="803" spans="1:21" s="71" customFormat="1" hidden="1">
      <c r="A803" s="64"/>
      <c r="B803" s="884"/>
      <c r="C803" s="128"/>
      <c r="D803" s="128"/>
      <c r="E803" s="128"/>
      <c r="N803" s="884"/>
      <c r="P803" s="885"/>
      <c r="R803" s="64"/>
      <c r="S803" s="64"/>
      <c r="T803" s="64"/>
      <c r="U803" s="64"/>
    </row>
    <row r="804" spans="1:21" s="71" customFormat="1" hidden="1">
      <c r="A804" s="64"/>
      <c r="B804" s="884"/>
      <c r="C804" s="128"/>
      <c r="D804" s="128"/>
      <c r="E804" s="128"/>
      <c r="N804" s="884"/>
      <c r="P804" s="885"/>
      <c r="R804" s="64"/>
      <c r="S804" s="64"/>
      <c r="T804" s="64"/>
      <c r="U804" s="64"/>
    </row>
    <row r="805" spans="1:21" s="71" customFormat="1" hidden="1">
      <c r="A805" s="64"/>
      <c r="B805" s="884"/>
      <c r="C805" s="128"/>
      <c r="D805" s="128"/>
      <c r="E805" s="128"/>
      <c r="N805" s="884"/>
      <c r="P805" s="885"/>
      <c r="R805" s="64"/>
      <c r="S805" s="64"/>
      <c r="T805" s="64"/>
      <c r="U805" s="64"/>
    </row>
    <row r="806" spans="1:21" s="71" customFormat="1" hidden="1">
      <c r="A806" s="64"/>
      <c r="B806" s="884"/>
      <c r="C806" s="128"/>
      <c r="D806" s="128"/>
      <c r="E806" s="128"/>
      <c r="N806" s="884"/>
      <c r="P806" s="885"/>
      <c r="R806" s="64"/>
      <c r="S806" s="64"/>
      <c r="T806" s="64"/>
      <c r="U806" s="64"/>
    </row>
    <row r="807" spans="1:21" s="71" customFormat="1" hidden="1">
      <c r="A807" s="64"/>
      <c r="B807" s="884"/>
      <c r="C807" s="128"/>
      <c r="D807" s="128"/>
      <c r="E807" s="128"/>
      <c r="N807" s="884"/>
      <c r="P807" s="885"/>
      <c r="R807" s="64"/>
      <c r="S807" s="64"/>
      <c r="T807" s="64"/>
      <c r="U807" s="64"/>
    </row>
    <row r="808" spans="1:21" s="71" customFormat="1" hidden="1">
      <c r="A808" s="64"/>
      <c r="B808" s="884"/>
      <c r="C808" s="128"/>
      <c r="D808" s="128"/>
      <c r="E808" s="128"/>
      <c r="N808" s="884"/>
      <c r="P808" s="885"/>
      <c r="R808" s="64"/>
      <c r="S808" s="64"/>
      <c r="T808" s="64"/>
      <c r="U808" s="64"/>
    </row>
    <row r="809" spans="1:21" s="71" customFormat="1" hidden="1">
      <c r="A809" s="64"/>
      <c r="B809" s="884"/>
      <c r="C809" s="128"/>
      <c r="D809" s="128"/>
      <c r="E809" s="128"/>
      <c r="N809" s="884"/>
      <c r="P809" s="885"/>
      <c r="R809" s="64"/>
      <c r="S809" s="64"/>
      <c r="T809" s="64"/>
      <c r="U809" s="64"/>
    </row>
    <row r="810" spans="1:21" s="71" customFormat="1" hidden="1">
      <c r="A810" s="64"/>
      <c r="B810" s="884"/>
      <c r="C810" s="128"/>
      <c r="D810" s="128"/>
      <c r="E810" s="128"/>
      <c r="N810" s="884"/>
      <c r="P810" s="885"/>
      <c r="R810" s="64"/>
      <c r="S810" s="64"/>
      <c r="T810" s="64"/>
      <c r="U810" s="64"/>
    </row>
    <row r="811" spans="1:21" s="71" customFormat="1" hidden="1">
      <c r="A811" s="64"/>
      <c r="B811" s="884"/>
      <c r="C811" s="128"/>
      <c r="D811" s="128"/>
      <c r="E811" s="128"/>
      <c r="N811" s="884"/>
      <c r="P811" s="885"/>
      <c r="R811" s="64"/>
      <c r="S811" s="64"/>
      <c r="T811" s="64"/>
      <c r="U811" s="64"/>
    </row>
    <row r="812" spans="1:21" s="71" customFormat="1" hidden="1">
      <c r="A812" s="64"/>
      <c r="B812" s="884"/>
      <c r="C812" s="128"/>
      <c r="D812" s="128"/>
      <c r="E812" s="128"/>
      <c r="N812" s="884"/>
      <c r="P812" s="885"/>
      <c r="R812" s="64"/>
      <c r="S812" s="64"/>
      <c r="T812" s="64"/>
      <c r="U812" s="64"/>
    </row>
    <row r="813" spans="1:21" s="71" customFormat="1" hidden="1">
      <c r="A813" s="64"/>
      <c r="B813" s="884"/>
      <c r="C813" s="128"/>
      <c r="D813" s="128"/>
      <c r="E813" s="128"/>
      <c r="N813" s="884"/>
      <c r="P813" s="885"/>
      <c r="R813" s="64"/>
      <c r="S813" s="64"/>
      <c r="T813" s="64"/>
      <c r="U813" s="64"/>
    </row>
    <row r="814" spans="1:21" s="71" customFormat="1" hidden="1">
      <c r="A814" s="64"/>
      <c r="B814" s="884"/>
      <c r="C814" s="128"/>
      <c r="D814" s="128"/>
      <c r="E814" s="128"/>
      <c r="N814" s="884"/>
      <c r="P814" s="885"/>
      <c r="R814" s="64"/>
      <c r="S814" s="64"/>
      <c r="T814" s="64"/>
      <c r="U814" s="64"/>
    </row>
    <row r="815" spans="1:21" s="71" customFormat="1" hidden="1">
      <c r="A815" s="64"/>
      <c r="B815" s="884"/>
      <c r="C815" s="128"/>
      <c r="D815" s="128"/>
      <c r="E815" s="128"/>
      <c r="N815" s="884"/>
      <c r="P815" s="885"/>
      <c r="R815" s="64"/>
      <c r="S815" s="64"/>
      <c r="T815" s="64"/>
      <c r="U815" s="64"/>
    </row>
    <row r="816" spans="1:21" s="71" customFormat="1" hidden="1">
      <c r="A816" s="64"/>
      <c r="B816" s="884"/>
      <c r="C816" s="128"/>
      <c r="D816" s="128"/>
      <c r="E816" s="128"/>
      <c r="N816" s="884"/>
      <c r="P816" s="885"/>
      <c r="R816" s="64"/>
      <c r="S816" s="64"/>
      <c r="T816" s="64"/>
      <c r="U816" s="64"/>
    </row>
    <row r="817" spans="1:21" s="71" customFormat="1" hidden="1">
      <c r="A817" s="64"/>
      <c r="B817" s="884"/>
      <c r="C817" s="128"/>
      <c r="D817" s="128"/>
      <c r="E817" s="128"/>
      <c r="N817" s="884"/>
      <c r="P817" s="885"/>
      <c r="R817" s="64"/>
      <c r="S817" s="64"/>
      <c r="T817" s="64"/>
      <c r="U817" s="64"/>
    </row>
    <row r="818" spans="1:21" s="71" customFormat="1" hidden="1">
      <c r="A818" s="64"/>
      <c r="B818" s="884"/>
      <c r="C818" s="128"/>
      <c r="D818" s="128"/>
      <c r="E818" s="128"/>
      <c r="N818" s="884"/>
      <c r="P818" s="885"/>
      <c r="R818" s="64"/>
      <c r="S818" s="64"/>
      <c r="T818" s="64"/>
      <c r="U818" s="64"/>
    </row>
    <row r="819" spans="1:21" s="71" customFormat="1" hidden="1">
      <c r="A819" s="64"/>
      <c r="B819" s="884"/>
      <c r="C819" s="128"/>
      <c r="D819" s="128"/>
      <c r="E819" s="128"/>
      <c r="N819" s="884"/>
      <c r="P819" s="885"/>
      <c r="R819" s="64"/>
      <c r="S819" s="64"/>
      <c r="T819" s="64"/>
      <c r="U819" s="64"/>
    </row>
    <row r="820" spans="1:21" s="71" customFormat="1" hidden="1">
      <c r="A820" s="64"/>
      <c r="B820" s="884"/>
      <c r="C820" s="128"/>
      <c r="D820" s="128"/>
      <c r="E820" s="128"/>
      <c r="N820" s="884"/>
      <c r="P820" s="885"/>
      <c r="R820" s="64"/>
      <c r="S820" s="64"/>
      <c r="T820" s="64"/>
      <c r="U820" s="64"/>
    </row>
    <row r="821" spans="1:21" s="71" customFormat="1" hidden="1">
      <c r="A821" s="64"/>
      <c r="B821" s="884"/>
      <c r="C821" s="128"/>
      <c r="D821" s="128"/>
      <c r="E821" s="128"/>
      <c r="N821" s="884"/>
      <c r="P821" s="885"/>
      <c r="R821" s="64"/>
      <c r="S821" s="64"/>
      <c r="T821" s="64"/>
      <c r="U821" s="64"/>
    </row>
    <row r="822" spans="1:21" s="71" customFormat="1" hidden="1">
      <c r="A822" s="64"/>
      <c r="B822" s="884"/>
      <c r="C822" s="128"/>
      <c r="D822" s="128"/>
      <c r="E822" s="128"/>
      <c r="N822" s="884"/>
      <c r="P822" s="885"/>
      <c r="R822" s="64"/>
      <c r="S822" s="64"/>
      <c r="T822" s="64"/>
      <c r="U822" s="64"/>
    </row>
    <row r="823" spans="1:21" s="71" customFormat="1" hidden="1">
      <c r="A823" s="64"/>
      <c r="B823" s="884"/>
      <c r="C823" s="128"/>
      <c r="D823" s="128"/>
      <c r="E823" s="128"/>
      <c r="N823" s="884"/>
      <c r="P823" s="885"/>
      <c r="R823" s="64"/>
      <c r="S823" s="64"/>
      <c r="T823" s="64"/>
      <c r="U823" s="64"/>
    </row>
    <row r="824" spans="1:21" s="71" customFormat="1" hidden="1">
      <c r="A824" s="64"/>
      <c r="B824" s="884"/>
      <c r="C824" s="128"/>
      <c r="D824" s="128"/>
      <c r="E824" s="128"/>
      <c r="N824" s="884"/>
      <c r="P824" s="885"/>
      <c r="R824" s="64"/>
      <c r="S824" s="64"/>
      <c r="T824" s="64"/>
      <c r="U824" s="64"/>
    </row>
    <row r="825" spans="1:21" s="71" customFormat="1" hidden="1">
      <c r="A825" s="64"/>
      <c r="B825" s="884"/>
      <c r="C825" s="128"/>
      <c r="D825" s="128"/>
      <c r="E825" s="128"/>
      <c r="N825" s="884"/>
      <c r="P825" s="885"/>
      <c r="R825" s="64"/>
      <c r="S825" s="64"/>
      <c r="T825" s="64"/>
      <c r="U825" s="64"/>
    </row>
    <row r="826" spans="1:21" s="71" customFormat="1" hidden="1">
      <c r="A826" s="64"/>
      <c r="B826" s="884"/>
      <c r="C826" s="128"/>
      <c r="D826" s="128"/>
      <c r="E826" s="128"/>
      <c r="N826" s="884"/>
      <c r="P826" s="885"/>
      <c r="R826" s="64"/>
      <c r="S826" s="64"/>
      <c r="T826" s="64"/>
      <c r="U826" s="64"/>
    </row>
    <row r="827" spans="1:21" s="71" customFormat="1" hidden="1">
      <c r="A827" s="64"/>
      <c r="B827" s="884"/>
      <c r="C827" s="128"/>
      <c r="D827" s="128"/>
      <c r="E827" s="128"/>
      <c r="N827" s="884"/>
      <c r="P827" s="885"/>
      <c r="R827" s="64"/>
      <c r="S827" s="64"/>
      <c r="T827" s="64"/>
      <c r="U827" s="64"/>
    </row>
    <row r="828" spans="1:21" s="71" customFormat="1" hidden="1">
      <c r="A828" s="64"/>
      <c r="B828" s="884"/>
      <c r="C828" s="128"/>
      <c r="D828" s="128"/>
      <c r="E828" s="128"/>
      <c r="N828" s="884"/>
      <c r="P828" s="885"/>
      <c r="R828" s="64"/>
      <c r="S828" s="64"/>
      <c r="T828" s="64"/>
      <c r="U828" s="64"/>
    </row>
    <row r="829" spans="1:21" s="71" customFormat="1" hidden="1">
      <c r="A829" s="64"/>
      <c r="B829" s="884"/>
      <c r="C829" s="128"/>
      <c r="D829" s="128"/>
      <c r="E829" s="128"/>
      <c r="N829" s="884"/>
      <c r="P829" s="885"/>
      <c r="R829" s="64"/>
      <c r="S829" s="64"/>
      <c r="T829" s="64"/>
      <c r="U829" s="64"/>
    </row>
    <row r="830" spans="1:21" s="71" customFormat="1" hidden="1">
      <c r="A830" s="64"/>
      <c r="B830" s="884"/>
      <c r="C830" s="128"/>
      <c r="D830" s="128"/>
      <c r="E830" s="128"/>
      <c r="N830" s="884"/>
      <c r="P830" s="885"/>
      <c r="R830" s="64"/>
      <c r="S830" s="64"/>
      <c r="T830" s="64"/>
      <c r="U830" s="64"/>
    </row>
    <row r="831" spans="1:21" s="71" customFormat="1" hidden="1">
      <c r="A831" s="64"/>
      <c r="B831" s="884"/>
      <c r="C831" s="128"/>
      <c r="D831" s="128"/>
      <c r="E831" s="128"/>
      <c r="N831" s="884"/>
      <c r="P831" s="885"/>
      <c r="R831" s="64"/>
      <c r="S831" s="64"/>
      <c r="T831" s="64"/>
      <c r="U831" s="64"/>
    </row>
    <row r="832" spans="1:21" s="71" customFormat="1" hidden="1">
      <c r="A832" s="64"/>
      <c r="B832" s="884"/>
      <c r="C832" s="128"/>
      <c r="D832" s="128"/>
      <c r="E832" s="128"/>
      <c r="N832" s="884"/>
      <c r="P832" s="885"/>
      <c r="R832" s="64"/>
      <c r="S832" s="64"/>
      <c r="T832" s="64"/>
      <c r="U832" s="64"/>
    </row>
    <row r="833" spans="1:21" s="71" customFormat="1" hidden="1">
      <c r="A833" s="64"/>
      <c r="B833" s="884"/>
      <c r="C833" s="128"/>
      <c r="D833" s="128"/>
      <c r="E833" s="128"/>
      <c r="N833" s="884"/>
      <c r="P833" s="885"/>
      <c r="R833" s="64"/>
      <c r="S833" s="64"/>
      <c r="T833" s="64"/>
      <c r="U833" s="64"/>
    </row>
    <row r="834" spans="1:21" s="71" customFormat="1" hidden="1">
      <c r="A834" s="64"/>
      <c r="B834" s="884"/>
      <c r="C834" s="128"/>
      <c r="D834" s="128"/>
      <c r="E834" s="128"/>
      <c r="N834" s="884"/>
      <c r="P834" s="885"/>
      <c r="R834" s="64"/>
      <c r="S834" s="64"/>
      <c r="T834" s="64"/>
      <c r="U834" s="64"/>
    </row>
    <row r="835" spans="1:21" s="71" customFormat="1" hidden="1">
      <c r="A835" s="64"/>
      <c r="B835" s="884"/>
      <c r="C835" s="128"/>
      <c r="D835" s="128"/>
      <c r="E835" s="128"/>
      <c r="N835" s="884"/>
      <c r="P835" s="885"/>
      <c r="R835" s="64"/>
      <c r="S835" s="64"/>
      <c r="T835" s="64"/>
      <c r="U835" s="64"/>
    </row>
    <row r="836" spans="1:21" s="71" customFormat="1" hidden="1">
      <c r="A836" s="64"/>
      <c r="B836" s="884"/>
      <c r="C836" s="128"/>
      <c r="D836" s="128"/>
      <c r="E836" s="128"/>
      <c r="N836" s="884"/>
      <c r="P836" s="885"/>
      <c r="R836" s="64"/>
      <c r="S836" s="64"/>
      <c r="T836" s="64"/>
      <c r="U836" s="64"/>
    </row>
    <row r="837" spans="1:21" s="71" customFormat="1" hidden="1">
      <c r="A837" s="64"/>
      <c r="B837" s="884"/>
      <c r="C837" s="128"/>
      <c r="D837" s="128"/>
      <c r="E837" s="128"/>
      <c r="N837" s="884"/>
      <c r="P837" s="885"/>
      <c r="R837" s="64"/>
      <c r="S837" s="64"/>
      <c r="T837" s="64"/>
      <c r="U837" s="64"/>
    </row>
    <row r="838" spans="1:21" s="71" customFormat="1" hidden="1">
      <c r="A838" s="64"/>
      <c r="B838" s="884"/>
      <c r="C838" s="128"/>
      <c r="D838" s="128"/>
      <c r="E838" s="128"/>
      <c r="N838" s="884"/>
      <c r="P838" s="885"/>
      <c r="R838" s="64"/>
      <c r="S838" s="64"/>
      <c r="T838" s="64"/>
      <c r="U838" s="64"/>
    </row>
    <row r="839" spans="1:21" s="71" customFormat="1" hidden="1">
      <c r="A839" s="64"/>
      <c r="B839" s="884"/>
      <c r="C839" s="128"/>
      <c r="D839" s="128"/>
      <c r="E839" s="128"/>
      <c r="N839" s="884"/>
      <c r="P839" s="885"/>
      <c r="R839" s="64"/>
      <c r="S839" s="64"/>
      <c r="T839" s="64"/>
      <c r="U839" s="64"/>
    </row>
    <row r="840" spans="1:21" s="71" customFormat="1" hidden="1">
      <c r="A840" s="64"/>
      <c r="B840" s="884"/>
      <c r="C840" s="128"/>
      <c r="D840" s="128"/>
      <c r="E840" s="128"/>
      <c r="N840" s="884"/>
      <c r="P840" s="885"/>
      <c r="R840" s="64"/>
      <c r="S840" s="64"/>
      <c r="T840" s="64"/>
      <c r="U840" s="64"/>
    </row>
    <row r="841" spans="1:21" s="71" customFormat="1" hidden="1">
      <c r="A841" s="64"/>
      <c r="B841" s="884"/>
      <c r="C841" s="128"/>
      <c r="D841" s="128"/>
      <c r="E841" s="128"/>
      <c r="N841" s="884"/>
      <c r="P841" s="885"/>
      <c r="R841" s="64"/>
      <c r="S841" s="64"/>
      <c r="T841" s="64"/>
      <c r="U841" s="64"/>
    </row>
    <row r="842" spans="1:21" s="71" customFormat="1" hidden="1">
      <c r="A842" s="64"/>
      <c r="B842" s="884"/>
      <c r="C842" s="128"/>
      <c r="D842" s="128"/>
      <c r="E842" s="128"/>
      <c r="N842" s="884"/>
      <c r="P842" s="885"/>
      <c r="R842" s="64"/>
      <c r="S842" s="64"/>
      <c r="T842" s="64"/>
      <c r="U842" s="64"/>
    </row>
    <row r="843" spans="1:21" s="71" customFormat="1" hidden="1">
      <c r="A843" s="64"/>
      <c r="B843" s="884"/>
      <c r="C843" s="128"/>
      <c r="D843" s="128"/>
      <c r="E843" s="128"/>
      <c r="N843" s="884"/>
      <c r="P843" s="885"/>
      <c r="R843" s="64"/>
      <c r="S843" s="64"/>
      <c r="T843" s="64"/>
      <c r="U843" s="64"/>
    </row>
    <row r="844" spans="1:21" s="71" customFormat="1" hidden="1">
      <c r="A844" s="64"/>
      <c r="B844" s="884"/>
      <c r="C844" s="128"/>
      <c r="D844" s="128"/>
      <c r="E844" s="128"/>
      <c r="N844" s="884"/>
      <c r="P844" s="885"/>
      <c r="R844" s="64"/>
      <c r="S844" s="64"/>
      <c r="T844" s="64"/>
      <c r="U844" s="64"/>
    </row>
    <row r="845" spans="1:21" s="71" customFormat="1" hidden="1">
      <c r="A845" s="64"/>
      <c r="B845" s="884"/>
      <c r="C845" s="128"/>
      <c r="D845" s="128"/>
      <c r="E845" s="128"/>
      <c r="N845" s="884"/>
      <c r="P845" s="885"/>
      <c r="R845" s="64"/>
      <c r="S845" s="64"/>
      <c r="T845" s="64"/>
      <c r="U845" s="64"/>
    </row>
    <row r="846" spans="1:21" s="71" customFormat="1" hidden="1">
      <c r="A846" s="64"/>
      <c r="B846" s="884"/>
      <c r="C846" s="128"/>
      <c r="D846" s="128"/>
      <c r="E846" s="128"/>
      <c r="N846" s="884"/>
      <c r="P846" s="885"/>
      <c r="R846" s="64"/>
      <c r="S846" s="64"/>
      <c r="T846" s="64"/>
      <c r="U846" s="64"/>
    </row>
    <row r="847" spans="1:21" s="71" customFormat="1" hidden="1">
      <c r="A847" s="64"/>
      <c r="B847" s="884"/>
      <c r="C847" s="128"/>
      <c r="D847" s="128"/>
      <c r="E847" s="128"/>
      <c r="N847" s="884"/>
      <c r="P847" s="885"/>
      <c r="R847" s="64"/>
      <c r="S847" s="64"/>
      <c r="T847" s="64"/>
      <c r="U847" s="64"/>
    </row>
    <row r="848" spans="1:21" s="71" customFormat="1" hidden="1">
      <c r="A848" s="64"/>
      <c r="B848" s="884"/>
      <c r="C848" s="128"/>
      <c r="D848" s="128"/>
      <c r="E848" s="128"/>
      <c r="N848" s="884"/>
      <c r="P848" s="885"/>
      <c r="R848" s="64"/>
      <c r="S848" s="64"/>
      <c r="T848" s="64"/>
      <c r="U848" s="64"/>
    </row>
    <row r="849" spans="1:21" s="71" customFormat="1" hidden="1">
      <c r="A849" s="64"/>
      <c r="B849" s="884"/>
      <c r="C849" s="128"/>
      <c r="D849" s="128"/>
      <c r="E849" s="128"/>
      <c r="N849" s="884"/>
      <c r="P849" s="885"/>
      <c r="R849" s="64"/>
      <c r="S849" s="64"/>
      <c r="T849" s="64"/>
      <c r="U849" s="64"/>
    </row>
    <row r="850" spans="1:21" s="71" customFormat="1" hidden="1">
      <c r="A850" s="64"/>
      <c r="B850" s="884"/>
      <c r="C850" s="128"/>
      <c r="D850" s="128"/>
      <c r="E850" s="128"/>
      <c r="N850" s="884"/>
      <c r="P850" s="885"/>
      <c r="R850" s="64"/>
      <c r="S850" s="64"/>
      <c r="T850" s="64"/>
      <c r="U850" s="64"/>
    </row>
    <row r="851" spans="1:21" s="71" customFormat="1" hidden="1">
      <c r="A851" s="64"/>
      <c r="B851" s="884"/>
      <c r="C851" s="128"/>
      <c r="D851" s="128"/>
      <c r="E851" s="128"/>
      <c r="N851" s="884"/>
      <c r="P851" s="885"/>
      <c r="R851" s="64"/>
      <c r="S851" s="64"/>
      <c r="T851" s="64"/>
      <c r="U851" s="64"/>
    </row>
    <row r="852" spans="1:21" s="71" customFormat="1" hidden="1">
      <c r="A852" s="64"/>
      <c r="B852" s="884"/>
      <c r="C852" s="128"/>
      <c r="D852" s="128"/>
      <c r="E852" s="128"/>
      <c r="N852" s="884"/>
      <c r="P852" s="885"/>
      <c r="R852" s="64"/>
      <c r="S852" s="64"/>
      <c r="T852" s="64"/>
      <c r="U852" s="64"/>
    </row>
    <row r="853" spans="1:21" s="71" customFormat="1" hidden="1">
      <c r="A853" s="64"/>
      <c r="B853" s="884"/>
      <c r="C853" s="128"/>
      <c r="D853" s="128"/>
      <c r="E853" s="128"/>
      <c r="N853" s="884"/>
      <c r="P853" s="885"/>
      <c r="R853" s="64"/>
      <c r="S853" s="64"/>
      <c r="T853" s="64"/>
      <c r="U853" s="64"/>
    </row>
    <row r="854" spans="1:21" s="71" customFormat="1" hidden="1">
      <c r="A854" s="64"/>
      <c r="B854" s="884"/>
      <c r="C854" s="128"/>
      <c r="D854" s="128"/>
      <c r="E854" s="128"/>
      <c r="N854" s="884"/>
      <c r="P854" s="885"/>
      <c r="R854" s="64"/>
      <c r="S854" s="64"/>
      <c r="T854" s="64"/>
      <c r="U854" s="64"/>
    </row>
    <row r="855" spans="1:21" s="71" customFormat="1" hidden="1">
      <c r="A855" s="64"/>
      <c r="B855" s="884"/>
      <c r="C855" s="128"/>
      <c r="D855" s="128"/>
      <c r="E855" s="128"/>
      <c r="N855" s="884"/>
      <c r="P855" s="885"/>
      <c r="R855" s="64"/>
      <c r="S855" s="64"/>
      <c r="T855" s="64"/>
      <c r="U855" s="64"/>
    </row>
    <row r="856" spans="1:21" s="71" customFormat="1" hidden="1">
      <c r="A856" s="64"/>
      <c r="B856" s="884"/>
      <c r="C856" s="128"/>
      <c r="D856" s="128"/>
      <c r="E856" s="128"/>
      <c r="N856" s="884"/>
      <c r="P856" s="885"/>
      <c r="R856" s="64"/>
      <c r="S856" s="64"/>
      <c r="T856" s="64"/>
      <c r="U856" s="64"/>
    </row>
    <row r="857" spans="1:21" s="71" customFormat="1" hidden="1">
      <c r="A857" s="64"/>
      <c r="B857" s="884"/>
      <c r="C857" s="128"/>
      <c r="D857" s="128"/>
      <c r="E857" s="128"/>
      <c r="N857" s="884"/>
      <c r="P857" s="885"/>
      <c r="R857" s="64"/>
      <c r="S857" s="64"/>
      <c r="T857" s="64"/>
      <c r="U857" s="64"/>
    </row>
    <row r="858" spans="1:21" s="71" customFormat="1" hidden="1">
      <c r="A858" s="64"/>
      <c r="B858" s="884"/>
      <c r="C858" s="128"/>
      <c r="D858" s="128"/>
      <c r="E858" s="128"/>
      <c r="N858" s="884"/>
      <c r="P858" s="885"/>
      <c r="R858" s="64"/>
      <c r="S858" s="64"/>
      <c r="T858" s="64"/>
      <c r="U858" s="64"/>
    </row>
    <row r="859" spans="1:21" s="71" customFormat="1" hidden="1">
      <c r="A859" s="64"/>
      <c r="B859" s="884"/>
      <c r="C859" s="128"/>
      <c r="D859" s="128"/>
      <c r="E859" s="128"/>
      <c r="N859" s="884"/>
      <c r="P859" s="885"/>
      <c r="R859" s="64"/>
      <c r="S859" s="64"/>
      <c r="T859" s="64"/>
      <c r="U859" s="64"/>
    </row>
    <row r="860" spans="1:21" s="71" customFormat="1" hidden="1">
      <c r="A860" s="64"/>
      <c r="B860" s="884"/>
      <c r="C860" s="128"/>
      <c r="D860" s="128"/>
      <c r="E860" s="128"/>
      <c r="N860" s="884"/>
      <c r="P860" s="885"/>
      <c r="R860" s="64"/>
      <c r="S860" s="64"/>
      <c r="T860" s="64"/>
      <c r="U860" s="64"/>
    </row>
    <row r="861" spans="1:21" s="71" customFormat="1" hidden="1">
      <c r="A861" s="64"/>
      <c r="B861" s="884"/>
      <c r="C861" s="128"/>
      <c r="D861" s="128"/>
      <c r="E861" s="128"/>
      <c r="N861" s="884"/>
      <c r="P861" s="885"/>
      <c r="R861" s="64"/>
      <c r="S861" s="64"/>
      <c r="T861" s="64"/>
      <c r="U861" s="64"/>
    </row>
    <row r="862" spans="1:21" s="71" customFormat="1" hidden="1">
      <c r="A862" s="64"/>
      <c r="B862" s="884"/>
      <c r="C862" s="128"/>
      <c r="D862" s="128"/>
      <c r="E862" s="128"/>
      <c r="N862" s="884"/>
      <c r="P862" s="885"/>
      <c r="R862" s="64"/>
      <c r="S862" s="64"/>
      <c r="T862" s="64"/>
      <c r="U862" s="64"/>
    </row>
    <row r="863" spans="1:21" s="71" customFormat="1" hidden="1">
      <c r="A863" s="64"/>
      <c r="B863" s="884"/>
      <c r="C863" s="128"/>
      <c r="D863" s="128"/>
      <c r="E863" s="128"/>
      <c r="N863" s="884"/>
      <c r="P863" s="885"/>
      <c r="R863" s="64"/>
      <c r="S863" s="64"/>
      <c r="T863" s="64"/>
      <c r="U863" s="64"/>
    </row>
    <row r="864" spans="1:21" s="71" customFormat="1" hidden="1">
      <c r="A864" s="64"/>
      <c r="B864" s="884"/>
      <c r="C864" s="128"/>
      <c r="D864" s="128"/>
      <c r="E864" s="128"/>
      <c r="N864" s="884"/>
      <c r="P864" s="885"/>
      <c r="R864" s="64"/>
      <c r="S864" s="64"/>
      <c r="T864" s="64"/>
      <c r="U864" s="64"/>
    </row>
    <row r="865" spans="1:21" s="71" customFormat="1" hidden="1">
      <c r="A865" s="64"/>
      <c r="B865" s="884"/>
      <c r="C865" s="128"/>
      <c r="D865" s="128"/>
      <c r="E865" s="128"/>
      <c r="N865" s="884"/>
      <c r="P865" s="885"/>
      <c r="R865" s="64"/>
      <c r="S865" s="64"/>
      <c r="T865" s="64"/>
      <c r="U865" s="64"/>
    </row>
    <row r="866" spans="1:21" s="71" customFormat="1" hidden="1">
      <c r="A866" s="64"/>
      <c r="B866" s="884"/>
      <c r="C866" s="128"/>
      <c r="D866" s="128"/>
      <c r="E866" s="128"/>
      <c r="N866" s="884"/>
      <c r="P866" s="885"/>
      <c r="R866" s="64"/>
      <c r="S866" s="64"/>
      <c r="T866" s="64"/>
      <c r="U866" s="64"/>
    </row>
    <row r="867" spans="1:21" s="71" customFormat="1" hidden="1">
      <c r="A867" s="64"/>
      <c r="B867" s="884"/>
      <c r="C867" s="128"/>
      <c r="D867" s="128"/>
      <c r="E867" s="128"/>
      <c r="N867" s="884"/>
      <c r="P867" s="885"/>
      <c r="R867" s="64"/>
      <c r="S867" s="64"/>
      <c r="T867" s="64"/>
      <c r="U867" s="64"/>
    </row>
    <row r="868" spans="1:21" s="71" customFormat="1" hidden="1">
      <c r="A868" s="64"/>
      <c r="B868" s="884"/>
      <c r="C868" s="128"/>
      <c r="D868" s="128"/>
      <c r="E868" s="128"/>
      <c r="N868" s="884"/>
      <c r="P868" s="885"/>
      <c r="R868" s="64"/>
      <c r="S868" s="64"/>
      <c r="T868" s="64"/>
      <c r="U868" s="64"/>
    </row>
    <row r="869" spans="1:21" s="71" customFormat="1" hidden="1">
      <c r="A869" s="64"/>
      <c r="B869" s="884"/>
      <c r="C869" s="128"/>
      <c r="D869" s="128"/>
      <c r="E869" s="128"/>
      <c r="N869" s="884"/>
      <c r="P869" s="885"/>
      <c r="R869" s="64"/>
      <c r="S869" s="64"/>
      <c r="T869" s="64"/>
      <c r="U869" s="64"/>
    </row>
    <row r="870" spans="1:21" s="71" customFormat="1" hidden="1">
      <c r="A870" s="64"/>
      <c r="B870" s="884"/>
      <c r="C870" s="128"/>
      <c r="D870" s="128"/>
      <c r="E870" s="128"/>
      <c r="N870" s="884"/>
      <c r="P870" s="885"/>
      <c r="R870" s="64"/>
      <c r="S870" s="64"/>
      <c r="T870" s="64"/>
      <c r="U870" s="64"/>
    </row>
    <row r="871" spans="1:21" s="71" customFormat="1" hidden="1">
      <c r="A871" s="64"/>
      <c r="B871" s="884"/>
      <c r="C871" s="128"/>
      <c r="D871" s="128"/>
      <c r="E871" s="128"/>
      <c r="N871" s="884"/>
      <c r="P871" s="885"/>
      <c r="R871" s="64"/>
      <c r="S871" s="64"/>
      <c r="T871" s="64"/>
      <c r="U871" s="64"/>
    </row>
    <row r="872" spans="1:21" s="71" customFormat="1" hidden="1">
      <c r="A872" s="64"/>
      <c r="B872" s="884"/>
      <c r="C872" s="128"/>
      <c r="D872" s="128"/>
      <c r="E872" s="128"/>
      <c r="N872" s="884"/>
      <c r="P872" s="885"/>
      <c r="R872" s="64"/>
      <c r="S872" s="64"/>
      <c r="T872" s="64"/>
      <c r="U872" s="64"/>
    </row>
    <row r="873" spans="1:21" s="71" customFormat="1" hidden="1">
      <c r="A873" s="64"/>
      <c r="B873" s="884"/>
      <c r="C873" s="128"/>
      <c r="D873" s="128"/>
      <c r="E873" s="128"/>
      <c r="N873" s="884"/>
      <c r="P873" s="885"/>
      <c r="R873" s="64"/>
      <c r="S873" s="64"/>
      <c r="T873" s="64"/>
      <c r="U873" s="64"/>
    </row>
    <row r="874" spans="1:21" s="71" customFormat="1" hidden="1">
      <c r="A874" s="64"/>
      <c r="B874" s="884"/>
      <c r="C874" s="128"/>
      <c r="D874" s="128"/>
      <c r="E874" s="128"/>
      <c r="N874" s="884"/>
      <c r="P874" s="885"/>
      <c r="R874" s="64"/>
      <c r="S874" s="64"/>
      <c r="T874" s="64"/>
      <c r="U874" s="64"/>
    </row>
    <row r="875" spans="1:21" s="71" customFormat="1" hidden="1">
      <c r="A875" s="64"/>
      <c r="B875" s="884"/>
      <c r="C875" s="128"/>
      <c r="D875" s="128"/>
      <c r="E875" s="128"/>
      <c r="N875" s="884"/>
      <c r="P875" s="885"/>
      <c r="R875" s="64"/>
      <c r="S875" s="64"/>
      <c r="T875" s="64"/>
      <c r="U875" s="64"/>
    </row>
    <row r="876" spans="1:21" s="71" customFormat="1" hidden="1">
      <c r="A876" s="64"/>
      <c r="B876" s="884"/>
      <c r="C876" s="128"/>
      <c r="D876" s="128"/>
      <c r="E876" s="128"/>
      <c r="N876" s="884"/>
      <c r="P876" s="885"/>
      <c r="R876" s="64"/>
      <c r="S876" s="64"/>
      <c r="T876" s="64"/>
      <c r="U876" s="64"/>
    </row>
    <row r="877" spans="1:21" s="71" customFormat="1" hidden="1">
      <c r="A877" s="64"/>
      <c r="B877" s="884"/>
      <c r="C877" s="128"/>
      <c r="D877" s="128"/>
      <c r="E877" s="128"/>
      <c r="N877" s="884"/>
      <c r="P877" s="885"/>
      <c r="R877" s="64"/>
      <c r="S877" s="64"/>
      <c r="T877" s="64"/>
      <c r="U877" s="64"/>
    </row>
    <row r="878" spans="1:21" s="71" customFormat="1" hidden="1">
      <c r="A878" s="64"/>
      <c r="B878" s="884"/>
      <c r="C878" s="128"/>
      <c r="D878" s="128"/>
      <c r="E878" s="128"/>
      <c r="N878" s="884"/>
      <c r="P878" s="885"/>
      <c r="R878" s="64"/>
      <c r="S878" s="64"/>
      <c r="T878" s="64"/>
      <c r="U878" s="64"/>
    </row>
    <row r="879" spans="1:21" s="71" customFormat="1" hidden="1">
      <c r="A879" s="64"/>
      <c r="B879" s="884"/>
      <c r="C879" s="128"/>
      <c r="D879" s="128"/>
      <c r="E879" s="128"/>
      <c r="N879" s="884"/>
      <c r="P879" s="885"/>
      <c r="R879" s="64"/>
      <c r="S879" s="64"/>
      <c r="T879" s="64"/>
      <c r="U879" s="64"/>
    </row>
    <row r="880" spans="1:21" s="71" customFormat="1" hidden="1">
      <c r="A880" s="64"/>
      <c r="B880" s="884"/>
      <c r="C880" s="128"/>
      <c r="D880" s="128"/>
      <c r="E880" s="128"/>
      <c r="N880" s="884"/>
      <c r="P880" s="885"/>
      <c r="R880" s="64"/>
      <c r="S880" s="64"/>
      <c r="T880" s="64"/>
      <c r="U880" s="64"/>
    </row>
    <row r="881" spans="1:21" s="71" customFormat="1" hidden="1">
      <c r="A881" s="64"/>
      <c r="B881" s="884"/>
      <c r="C881" s="128"/>
      <c r="D881" s="128"/>
      <c r="E881" s="128"/>
      <c r="N881" s="884"/>
      <c r="P881" s="885"/>
      <c r="R881" s="64"/>
      <c r="S881" s="64"/>
      <c r="T881" s="64"/>
      <c r="U881" s="64"/>
    </row>
    <row r="882" spans="1:21" s="71" customFormat="1" hidden="1">
      <c r="A882" s="64"/>
      <c r="B882" s="884"/>
      <c r="C882" s="128"/>
      <c r="D882" s="128"/>
      <c r="E882" s="128"/>
      <c r="N882" s="884"/>
      <c r="P882" s="885"/>
      <c r="R882" s="64"/>
      <c r="S882" s="64"/>
      <c r="T882" s="64"/>
      <c r="U882" s="64"/>
    </row>
    <row r="883" spans="1:21" s="71" customFormat="1" hidden="1">
      <c r="A883" s="64"/>
      <c r="B883" s="884"/>
      <c r="C883" s="128"/>
      <c r="D883" s="128"/>
      <c r="E883" s="128"/>
      <c r="N883" s="884"/>
      <c r="P883" s="885"/>
      <c r="R883" s="64"/>
      <c r="S883" s="64"/>
      <c r="T883" s="64"/>
      <c r="U883" s="64"/>
    </row>
    <row r="884" spans="1:21" s="71" customFormat="1" hidden="1">
      <c r="A884" s="64"/>
      <c r="B884" s="884"/>
      <c r="C884" s="128"/>
      <c r="D884" s="128"/>
      <c r="E884" s="128"/>
      <c r="N884" s="884"/>
      <c r="P884" s="885"/>
      <c r="R884" s="64"/>
      <c r="S884" s="64"/>
      <c r="T884" s="64"/>
      <c r="U884" s="64"/>
    </row>
    <row r="885" spans="1:21" s="71" customFormat="1" hidden="1">
      <c r="A885" s="64"/>
      <c r="B885" s="884"/>
      <c r="C885" s="128"/>
      <c r="D885" s="128"/>
      <c r="E885" s="128"/>
      <c r="N885" s="884"/>
      <c r="P885" s="885"/>
      <c r="R885" s="64"/>
      <c r="S885" s="64"/>
      <c r="T885" s="64"/>
      <c r="U885" s="64"/>
    </row>
    <row r="886" spans="1:21" s="71" customFormat="1" hidden="1">
      <c r="A886" s="64"/>
      <c r="B886" s="884"/>
      <c r="C886" s="128"/>
      <c r="D886" s="128"/>
      <c r="E886" s="128"/>
      <c r="N886" s="884"/>
      <c r="P886" s="885"/>
      <c r="R886" s="64"/>
      <c r="S886" s="64"/>
      <c r="T886" s="64"/>
      <c r="U886" s="64"/>
    </row>
    <row r="887" spans="1:21" s="71" customFormat="1" hidden="1">
      <c r="A887" s="64"/>
      <c r="B887" s="884"/>
      <c r="C887" s="128"/>
      <c r="D887" s="128"/>
      <c r="E887" s="128"/>
      <c r="N887" s="884"/>
      <c r="P887" s="885"/>
      <c r="R887" s="64"/>
      <c r="S887" s="64"/>
      <c r="T887" s="64"/>
      <c r="U887" s="64"/>
    </row>
    <row r="888" spans="1:21" s="71" customFormat="1" hidden="1">
      <c r="A888" s="64"/>
      <c r="B888" s="884"/>
      <c r="C888" s="128"/>
      <c r="D888" s="128"/>
      <c r="E888" s="128"/>
      <c r="N888" s="884"/>
      <c r="P888" s="885"/>
      <c r="R888" s="64"/>
      <c r="S888" s="64"/>
      <c r="T888" s="64"/>
      <c r="U888" s="64"/>
    </row>
    <row r="889" spans="1:21" s="71" customFormat="1" hidden="1">
      <c r="A889" s="64"/>
      <c r="B889" s="884"/>
      <c r="C889" s="128"/>
      <c r="D889" s="128"/>
      <c r="E889" s="128"/>
      <c r="N889" s="884"/>
      <c r="P889" s="885"/>
      <c r="R889" s="64"/>
      <c r="S889" s="64"/>
      <c r="T889" s="64"/>
      <c r="U889" s="64"/>
    </row>
    <row r="890" spans="1:21" s="71" customFormat="1" hidden="1">
      <c r="A890" s="64"/>
      <c r="B890" s="884"/>
      <c r="C890" s="128"/>
      <c r="D890" s="128"/>
      <c r="E890" s="128"/>
      <c r="N890" s="884"/>
      <c r="P890" s="885"/>
      <c r="R890" s="64"/>
      <c r="S890" s="64"/>
      <c r="T890" s="64"/>
      <c r="U890" s="64"/>
    </row>
    <row r="891" spans="1:21" s="71" customFormat="1" hidden="1">
      <c r="A891" s="64"/>
      <c r="B891" s="884"/>
      <c r="C891" s="128"/>
      <c r="D891" s="128"/>
      <c r="E891" s="128"/>
      <c r="N891" s="884"/>
      <c r="P891" s="885"/>
      <c r="R891" s="64"/>
      <c r="S891" s="64"/>
      <c r="T891" s="64"/>
      <c r="U891" s="64"/>
    </row>
    <row r="892" spans="1:21" s="71" customFormat="1" hidden="1">
      <c r="A892" s="64"/>
      <c r="B892" s="884"/>
      <c r="C892" s="128"/>
      <c r="D892" s="128"/>
      <c r="E892" s="128"/>
      <c r="N892" s="884"/>
      <c r="P892" s="885"/>
      <c r="R892" s="64"/>
      <c r="S892" s="64"/>
      <c r="T892" s="64"/>
      <c r="U892" s="64"/>
    </row>
    <row r="893" spans="1:21" s="71" customFormat="1" hidden="1">
      <c r="A893" s="64"/>
      <c r="B893" s="884"/>
      <c r="C893" s="128"/>
      <c r="D893" s="128"/>
      <c r="E893" s="128"/>
      <c r="N893" s="884"/>
      <c r="P893" s="885"/>
      <c r="R893" s="64"/>
      <c r="S893" s="64"/>
      <c r="T893" s="64"/>
      <c r="U893" s="64"/>
    </row>
    <row r="894" spans="1:21" s="71" customFormat="1" hidden="1">
      <c r="A894" s="64"/>
      <c r="B894" s="884"/>
      <c r="C894" s="128"/>
      <c r="D894" s="128"/>
      <c r="E894" s="128"/>
      <c r="N894" s="884"/>
      <c r="P894" s="885"/>
      <c r="R894" s="64"/>
      <c r="S894" s="64"/>
      <c r="T894" s="64"/>
      <c r="U894" s="64"/>
    </row>
    <row r="895" spans="1:21" s="71" customFormat="1" hidden="1">
      <c r="A895" s="64"/>
      <c r="B895" s="884"/>
      <c r="C895" s="128"/>
      <c r="D895" s="128"/>
      <c r="E895" s="128"/>
      <c r="N895" s="884"/>
      <c r="P895" s="885"/>
      <c r="R895" s="64"/>
      <c r="S895" s="64"/>
      <c r="T895" s="64"/>
      <c r="U895" s="64"/>
    </row>
    <row r="896" spans="1:21" s="71" customFormat="1" hidden="1">
      <c r="A896" s="64"/>
      <c r="B896" s="884"/>
      <c r="C896" s="128"/>
      <c r="D896" s="128"/>
      <c r="E896" s="128"/>
      <c r="N896" s="884"/>
      <c r="P896" s="885"/>
      <c r="R896" s="64"/>
      <c r="S896" s="64"/>
      <c r="T896" s="64"/>
      <c r="U896" s="64"/>
    </row>
    <row r="897" spans="1:21" s="71" customFormat="1" hidden="1">
      <c r="A897" s="64"/>
      <c r="B897" s="884"/>
      <c r="C897" s="128"/>
      <c r="D897" s="128"/>
      <c r="E897" s="128"/>
      <c r="N897" s="884"/>
      <c r="P897" s="885"/>
      <c r="R897" s="64"/>
      <c r="S897" s="64"/>
      <c r="T897" s="64"/>
      <c r="U897" s="64"/>
    </row>
    <row r="898" spans="1:21" s="71" customFormat="1" hidden="1">
      <c r="A898" s="64"/>
      <c r="B898" s="884"/>
      <c r="C898" s="128"/>
      <c r="D898" s="128"/>
      <c r="E898" s="128"/>
      <c r="N898" s="884"/>
      <c r="P898" s="885"/>
      <c r="R898" s="64"/>
      <c r="S898" s="64"/>
      <c r="T898" s="64"/>
      <c r="U898" s="64"/>
    </row>
    <row r="899" spans="1:21" s="71" customFormat="1" hidden="1">
      <c r="A899" s="64"/>
      <c r="B899" s="884"/>
      <c r="C899" s="128"/>
      <c r="D899" s="128"/>
      <c r="E899" s="128"/>
      <c r="N899" s="884"/>
      <c r="P899" s="885"/>
      <c r="R899" s="64"/>
      <c r="S899" s="64"/>
      <c r="T899" s="64"/>
      <c r="U899" s="64"/>
    </row>
    <row r="900" spans="1:21" s="71" customFormat="1" hidden="1">
      <c r="A900" s="64"/>
      <c r="B900" s="884"/>
      <c r="C900" s="128"/>
      <c r="D900" s="128"/>
      <c r="E900" s="128"/>
      <c r="N900" s="884"/>
      <c r="P900" s="885"/>
      <c r="R900" s="64"/>
      <c r="S900" s="64"/>
      <c r="T900" s="64"/>
      <c r="U900" s="64"/>
    </row>
    <row r="901" spans="1:21" s="71" customFormat="1" hidden="1">
      <c r="A901" s="64"/>
      <c r="B901" s="884"/>
      <c r="C901" s="128"/>
      <c r="D901" s="128"/>
      <c r="E901" s="128"/>
      <c r="N901" s="884"/>
      <c r="P901" s="885"/>
      <c r="R901" s="64"/>
      <c r="S901" s="64"/>
      <c r="T901" s="64"/>
      <c r="U901" s="64"/>
    </row>
    <row r="902" spans="1:21" s="71" customFormat="1" hidden="1">
      <c r="A902" s="64"/>
      <c r="B902" s="884"/>
      <c r="C902" s="128"/>
      <c r="D902" s="128"/>
      <c r="E902" s="128"/>
      <c r="N902" s="884"/>
      <c r="P902" s="885"/>
      <c r="R902" s="64"/>
      <c r="S902" s="64"/>
      <c r="T902" s="64"/>
      <c r="U902" s="64"/>
    </row>
    <row r="903" spans="1:21" s="71" customFormat="1" hidden="1">
      <c r="A903" s="64"/>
      <c r="B903" s="884"/>
      <c r="C903" s="128"/>
      <c r="D903" s="128"/>
      <c r="E903" s="128"/>
      <c r="N903" s="884"/>
      <c r="P903" s="885"/>
      <c r="R903" s="64"/>
      <c r="S903" s="64"/>
      <c r="T903" s="64"/>
      <c r="U903" s="64"/>
    </row>
    <row r="904" spans="1:21" s="71" customFormat="1" hidden="1">
      <c r="A904" s="64"/>
      <c r="B904" s="884"/>
      <c r="C904" s="128"/>
      <c r="D904" s="128"/>
      <c r="E904" s="128"/>
      <c r="N904" s="884"/>
      <c r="P904" s="885"/>
      <c r="R904" s="64"/>
      <c r="S904" s="64"/>
      <c r="T904" s="64"/>
      <c r="U904" s="64"/>
    </row>
    <row r="905" spans="1:21" s="71" customFormat="1" hidden="1">
      <c r="A905" s="64"/>
      <c r="B905" s="884"/>
      <c r="C905" s="128"/>
      <c r="D905" s="128"/>
      <c r="E905" s="128"/>
      <c r="N905" s="884"/>
      <c r="P905" s="885"/>
      <c r="R905" s="64"/>
      <c r="S905" s="64"/>
      <c r="T905" s="64"/>
      <c r="U905" s="64"/>
    </row>
    <row r="906" spans="1:21" s="71" customFormat="1" hidden="1">
      <c r="A906" s="64"/>
      <c r="B906" s="884"/>
      <c r="C906" s="128"/>
      <c r="D906" s="128"/>
      <c r="E906" s="128"/>
      <c r="N906" s="884"/>
      <c r="P906" s="885"/>
      <c r="R906" s="64"/>
      <c r="S906" s="64"/>
      <c r="T906" s="64"/>
      <c r="U906" s="64"/>
    </row>
    <row r="907" spans="1:21" s="71" customFormat="1" hidden="1">
      <c r="A907" s="64"/>
      <c r="B907" s="884"/>
      <c r="C907" s="128"/>
      <c r="D907" s="128"/>
      <c r="E907" s="128"/>
      <c r="N907" s="884"/>
      <c r="P907" s="885"/>
      <c r="R907" s="64"/>
      <c r="S907" s="64"/>
      <c r="T907" s="64"/>
      <c r="U907" s="64"/>
    </row>
    <row r="908" spans="1:21" s="71" customFormat="1" hidden="1">
      <c r="A908" s="64"/>
      <c r="B908" s="884"/>
      <c r="C908" s="128"/>
      <c r="D908" s="128"/>
      <c r="E908" s="128"/>
      <c r="N908" s="884"/>
      <c r="P908" s="885"/>
      <c r="R908" s="64"/>
      <c r="S908" s="64"/>
      <c r="T908" s="64"/>
      <c r="U908" s="64"/>
    </row>
    <row r="909" spans="1:21" s="71" customFormat="1" hidden="1">
      <c r="A909" s="64"/>
      <c r="B909" s="884"/>
      <c r="C909" s="128"/>
      <c r="D909" s="128"/>
      <c r="E909" s="128"/>
      <c r="N909" s="884"/>
      <c r="P909" s="885"/>
      <c r="R909" s="64"/>
      <c r="S909" s="64"/>
      <c r="T909" s="64"/>
      <c r="U909" s="64"/>
    </row>
    <row r="910" spans="1:21" s="71" customFormat="1" hidden="1">
      <c r="A910" s="64"/>
      <c r="B910" s="884"/>
      <c r="C910" s="128"/>
      <c r="D910" s="128"/>
      <c r="E910" s="128"/>
      <c r="N910" s="884"/>
      <c r="P910" s="885"/>
      <c r="R910" s="64"/>
      <c r="S910" s="64"/>
      <c r="T910" s="64"/>
      <c r="U910" s="64"/>
    </row>
    <row r="911" spans="1:21" s="71" customFormat="1" hidden="1">
      <c r="A911" s="64"/>
      <c r="B911" s="884"/>
      <c r="C911" s="128"/>
      <c r="D911" s="128"/>
      <c r="E911" s="128"/>
      <c r="N911" s="884"/>
      <c r="P911" s="885"/>
      <c r="R911" s="64"/>
      <c r="S911" s="64"/>
      <c r="T911" s="64"/>
      <c r="U911" s="64"/>
    </row>
    <row r="912" spans="1:21" s="71" customFormat="1" hidden="1">
      <c r="A912" s="64"/>
      <c r="B912" s="884"/>
      <c r="C912" s="128"/>
      <c r="D912" s="128"/>
      <c r="E912" s="128"/>
      <c r="N912" s="884"/>
      <c r="P912" s="885"/>
      <c r="R912" s="64"/>
      <c r="S912" s="64"/>
      <c r="T912" s="64"/>
      <c r="U912" s="64"/>
    </row>
    <row r="913" spans="1:21" s="71" customFormat="1" hidden="1">
      <c r="A913" s="64"/>
      <c r="B913" s="884"/>
      <c r="C913" s="128"/>
      <c r="D913" s="128"/>
      <c r="E913" s="128"/>
      <c r="N913" s="884"/>
      <c r="P913" s="885"/>
      <c r="R913" s="64"/>
      <c r="S913" s="64"/>
      <c r="T913" s="64"/>
      <c r="U913" s="64"/>
    </row>
    <row r="914" spans="1:21" s="71" customFormat="1" hidden="1">
      <c r="A914" s="64"/>
      <c r="B914" s="884"/>
      <c r="C914" s="128"/>
      <c r="D914" s="128"/>
      <c r="E914" s="128"/>
      <c r="N914" s="884"/>
      <c r="P914" s="885"/>
      <c r="R914" s="64"/>
      <c r="S914" s="64"/>
      <c r="T914" s="64"/>
      <c r="U914" s="64"/>
    </row>
    <row r="915" spans="1:21" s="71" customFormat="1" hidden="1">
      <c r="A915" s="64"/>
      <c r="B915" s="884"/>
      <c r="C915" s="128"/>
      <c r="D915" s="128"/>
      <c r="E915" s="128"/>
      <c r="N915" s="884"/>
      <c r="P915" s="885"/>
      <c r="R915" s="64"/>
      <c r="S915" s="64"/>
      <c r="T915" s="64"/>
      <c r="U915" s="64"/>
    </row>
    <row r="916" spans="1:21" s="71" customFormat="1" hidden="1">
      <c r="A916" s="64"/>
      <c r="B916" s="884"/>
      <c r="C916" s="128"/>
      <c r="D916" s="128"/>
      <c r="E916" s="128"/>
      <c r="N916" s="884"/>
      <c r="P916" s="885"/>
      <c r="R916" s="64"/>
      <c r="S916" s="64"/>
      <c r="T916" s="64"/>
      <c r="U916" s="64"/>
    </row>
    <row r="917" spans="1:21" s="71" customFormat="1" hidden="1">
      <c r="A917" s="64"/>
      <c r="B917" s="884"/>
      <c r="C917" s="128"/>
      <c r="D917" s="128"/>
      <c r="E917" s="128"/>
      <c r="N917" s="884"/>
      <c r="P917" s="885"/>
      <c r="R917" s="64"/>
      <c r="S917" s="64"/>
      <c r="T917" s="64"/>
      <c r="U917" s="64"/>
    </row>
    <row r="918" spans="1:21" s="71" customFormat="1" hidden="1">
      <c r="A918" s="64"/>
      <c r="B918" s="884"/>
      <c r="C918" s="128"/>
      <c r="D918" s="128"/>
      <c r="E918" s="128"/>
      <c r="N918" s="884"/>
      <c r="P918" s="885"/>
      <c r="R918" s="64"/>
      <c r="S918" s="64"/>
      <c r="T918" s="64"/>
      <c r="U918" s="64"/>
    </row>
    <row r="919" spans="1:21" s="71" customFormat="1" hidden="1">
      <c r="A919" s="64"/>
      <c r="B919" s="884"/>
      <c r="C919" s="128"/>
      <c r="D919" s="128"/>
      <c r="E919" s="128"/>
      <c r="N919" s="884"/>
      <c r="P919" s="885"/>
      <c r="R919" s="64"/>
      <c r="S919" s="64"/>
      <c r="T919" s="64"/>
      <c r="U919" s="64"/>
    </row>
    <row r="920" spans="1:21" s="71" customFormat="1" hidden="1">
      <c r="A920" s="64"/>
      <c r="B920" s="884"/>
      <c r="C920" s="128"/>
      <c r="D920" s="128"/>
      <c r="E920" s="128"/>
      <c r="N920" s="884"/>
      <c r="P920" s="885"/>
      <c r="R920" s="64"/>
      <c r="S920" s="64"/>
      <c r="T920" s="64"/>
      <c r="U920" s="64"/>
    </row>
    <row r="921" spans="1:21" s="71" customFormat="1" hidden="1">
      <c r="A921" s="64"/>
      <c r="B921" s="884"/>
      <c r="C921" s="128"/>
      <c r="D921" s="128"/>
      <c r="E921" s="128"/>
      <c r="N921" s="884"/>
      <c r="P921" s="885"/>
      <c r="R921" s="64"/>
      <c r="S921" s="64"/>
      <c r="T921" s="64"/>
      <c r="U921" s="64"/>
    </row>
    <row r="922" spans="1:21" s="71" customFormat="1" hidden="1">
      <c r="A922" s="64"/>
      <c r="B922" s="884"/>
      <c r="C922" s="128"/>
      <c r="D922" s="128"/>
      <c r="E922" s="128"/>
      <c r="N922" s="884"/>
      <c r="P922" s="885"/>
      <c r="R922" s="64"/>
      <c r="S922" s="64"/>
      <c r="T922" s="64"/>
      <c r="U922" s="64"/>
    </row>
    <row r="923" spans="1:21" s="71" customFormat="1" hidden="1">
      <c r="A923" s="64"/>
      <c r="B923" s="884"/>
      <c r="C923" s="128"/>
      <c r="D923" s="128"/>
      <c r="E923" s="128"/>
      <c r="N923" s="884"/>
      <c r="P923" s="885"/>
      <c r="R923" s="64"/>
      <c r="S923" s="64"/>
      <c r="T923" s="64"/>
      <c r="U923" s="64"/>
    </row>
    <row r="924" spans="1:21" s="71" customFormat="1" hidden="1">
      <c r="A924" s="64"/>
      <c r="B924" s="884"/>
      <c r="C924" s="128"/>
      <c r="D924" s="128"/>
      <c r="E924" s="128"/>
      <c r="N924" s="884"/>
      <c r="P924" s="885"/>
      <c r="R924" s="64"/>
      <c r="S924" s="64"/>
      <c r="T924" s="64"/>
      <c r="U924" s="64"/>
    </row>
    <row r="925" spans="1:21" s="71" customFormat="1" hidden="1">
      <c r="A925" s="64"/>
      <c r="B925" s="884"/>
      <c r="C925" s="128"/>
      <c r="D925" s="128"/>
      <c r="E925" s="128"/>
      <c r="N925" s="884"/>
      <c r="P925" s="885"/>
      <c r="R925" s="64"/>
      <c r="S925" s="64"/>
      <c r="T925" s="64"/>
      <c r="U925" s="64"/>
    </row>
    <row r="926" spans="1:21" s="71" customFormat="1" hidden="1">
      <c r="A926" s="64"/>
      <c r="B926" s="884"/>
      <c r="C926" s="128"/>
      <c r="D926" s="128"/>
      <c r="E926" s="128"/>
      <c r="N926" s="884"/>
      <c r="P926" s="885"/>
      <c r="R926" s="64"/>
      <c r="S926" s="64"/>
      <c r="T926" s="64"/>
      <c r="U926" s="64"/>
    </row>
    <row r="927" spans="1:21" s="71" customFormat="1" hidden="1">
      <c r="A927" s="64"/>
      <c r="B927" s="884"/>
      <c r="C927" s="128"/>
      <c r="D927" s="128"/>
      <c r="E927" s="128"/>
      <c r="N927" s="884"/>
      <c r="P927" s="885"/>
      <c r="R927" s="64"/>
      <c r="S927" s="64"/>
      <c r="T927" s="64"/>
      <c r="U927" s="64"/>
    </row>
    <row r="928" spans="1:21" s="71" customFormat="1" hidden="1">
      <c r="A928" s="64"/>
      <c r="B928" s="884"/>
      <c r="C928" s="128"/>
      <c r="D928" s="128"/>
      <c r="E928" s="128"/>
      <c r="N928" s="884"/>
      <c r="P928" s="885"/>
      <c r="R928" s="64"/>
      <c r="S928" s="64"/>
      <c r="T928" s="64"/>
      <c r="U928" s="64"/>
    </row>
    <row r="929" spans="1:21" s="71" customFormat="1" hidden="1">
      <c r="A929" s="64"/>
      <c r="B929" s="884"/>
      <c r="C929" s="128"/>
      <c r="D929" s="128"/>
      <c r="E929" s="128"/>
      <c r="N929" s="884"/>
      <c r="P929" s="885"/>
      <c r="R929" s="64"/>
      <c r="S929" s="64"/>
      <c r="T929" s="64"/>
      <c r="U929" s="64"/>
    </row>
    <row r="930" spans="1:21" s="71" customFormat="1" hidden="1">
      <c r="A930" s="64"/>
      <c r="B930" s="884"/>
      <c r="C930" s="128"/>
      <c r="D930" s="128"/>
      <c r="E930" s="128"/>
      <c r="N930" s="884"/>
      <c r="P930" s="885"/>
      <c r="R930" s="64"/>
      <c r="S930" s="64"/>
      <c r="T930" s="64"/>
      <c r="U930" s="64"/>
    </row>
    <row r="931" spans="1:21" s="71" customFormat="1" hidden="1">
      <c r="A931" s="64"/>
      <c r="B931" s="884"/>
      <c r="C931" s="128"/>
      <c r="D931" s="128"/>
      <c r="E931" s="128"/>
      <c r="N931" s="884"/>
      <c r="P931" s="885"/>
      <c r="R931" s="64"/>
      <c r="S931" s="64"/>
      <c r="T931" s="64"/>
      <c r="U931" s="64"/>
    </row>
    <row r="932" spans="1:21" s="71" customFormat="1" hidden="1">
      <c r="A932" s="64"/>
      <c r="B932" s="884"/>
      <c r="C932" s="128"/>
      <c r="D932" s="128"/>
      <c r="E932" s="128"/>
      <c r="N932" s="884"/>
      <c r="P932" s="885"/>
      <c r="R932" s="64"/>
      <c r="S932" s="64"/>
      <c r="T932" s="64"/>
      <c r="U932" s="64"/>
    </row>
    <row r="933" spans="1:21" s="71" customFormat="1" hidden="1">
      <c r="A933" s="64"/>
      <c r="B933" s="884"/>
      <c r="C933" s="128"/>
      <c r="D933" s="128"/>
      <c r="E933" s="128"/>
      <c r="N933" s="884"/>
      <c r="P933" s="885"/>
      <c r="R933" s="64"/>
      <c r="S933" s="64"/>
      <c r="T933" s="64"/>
      <c r="U933" s="64"/>
    </row>
    <row r="934" spans="1:21" s="71" customFormat="1" hidden="1">
      <c r="A934" s="64"/>
      <c r="B934" s="884"/>
      <c r="C934" s="128"/>
      <c r="D934" s="128"/>
      <c r="E934" s="128"/>
      <c r="N934" s="884"/>
      <c r="P934" s="885"/>
      <c r="R934" s="64"/>
      <c r="S934" s="64"/>
      <c r="T934" s="64"/>
      <c r="U934" s="64"/>
    </row>
    <row r="935" spans="1:21" s="71" customFormat="1" hidden="1">
      <c r="A935" s="64"/>
      <c r="B935" s="884"/>
      <c r="C935" s="128"/>
      <c r="D935" s="128"/>
      <c r="E935" s="128"/>
      <c r="N935" s="884"/>
      <c r="P935" s="885"/>
      <c r="R935" s="64"/>
      <c r="S935" s="64"/>
      <c r="T935" s="64"/>
      <c r="U935" s="64"/>
    </row>
    <row r="936" spans="1:21" s="71" customFormat="1" hidden="1">
      <c r="A936" s="64"/>
      <c r="B936" s="884"/>
      <c r="C936" s="128"/>
      <c r="D936" s="128"/>
      <c r="E936" s="128"/>
      <c r="N936" s="884"/>
      <c r="P936" s="885"/>
      <c r="R936" s="64"/>
      <c r="S936" s="64"/>
      <c r="T936" s="64"/>
      <c r="U936" s="64"/>
    </row>
    <row r="937" spans="1:21" s="71" customFormat="1" hidden="1">
      <c r="A937" s="64"/>
      <c r="B937" s="884"/>
      <c r="C937" s="128"/>
      <c r="D937" s="128"/>
      <c r="E937" s="128"/>
      <c r="N937" s="884"/>
      <c r="P937" s="885"/>
      <c r="R937" s="64"/>
      <c r="S937" s="64"/>
      <c r="T937" s="64"/>
      <c r="U937" s="64"/>
    </row>
    <row r="938" spans="1:21" s="71" customFormat="1" hidden="1">
      <c r="A938" s="64"/>
      <c r="B938" s="884"/>
      <c r="C938" s="128"/>
      <c r="D938" s="128"/>
      <c r="E938" s="128"/>
      <c r="N938" s="884"/>
      <c r="P938" s="885"/>
      <c r="R938" s="64"/>
      <c r="S938" s="64"/>
      <c r="T938" s="64"/>
      <c r="U938" s="64"/>
    </row>
    <row r="939" spans="1:21" s="71" customFormat="1" hidden="1">
      <c r="A939" s="64"/>
      <c r="B939" s="884"/>
      <c r="C939" s="128"/>
      <c r="D939" s="128"/>
      <c r="E939" s="128"/>
      <c r="N939" s="884"/>
      <c r="P939" s="885"/>
      <c r="R939" s="64"/>
      <c r="S939" s="64"/>
      <c r="T939" s="64"/>
      <c r="U939" s="64"/>
    </row>
    <row r="940" spans="1:21" s="71" customFormat="1" hidden="1">
      <c r="A940" s="64"/>
      <c r="B940" s="884"/>
      <c r="C940" s="128"/>
      <c r="D940" s="128"/>
      <c r="E940" s="128"/>
      <c r="N940" s="884"/>
      <c r="P940" s="885"/>
      <c r="R940" s="64"/>
      <c r="S940" s="64"/>
      <c r="T940" s="64"/>
      <c r="U940" s="64"/>
    </row>
    <row r="941" spans="1:21" s="71" customFormat="1" hidden="1">
      <c r="A941" s="64"/>
      <c r="B941" s="884"/>
      <c r="C941" s="128"/>
      <c r="D941" s="128"/>
      <c r="E941" s="128"/>
      <c r="N941" s="884"/>
      <c r="P941" s="885"/>
      <c r="R941" s="64"/>
      <c r="S941" s="64"/>
      <c r="T941" s="64"/>
      <c r="U941" s="64"/>
    </row>
    <row r="942" spans="1:21" s="71" customFormat="1" hidden="1">
      <c r="A942" s="64"/>
      <c r="B942" s="884"/>
      <c r="C942" s="128"/>
      <c r="D942" s="128"/>
      <c r="E942" s="128"/>
      <c r="N942" s="884"/>
      <c r="P942" s="885"/>
      <c r="R942" s="64"/>
      <c r="S942" s="64"/>
      <c r="T942" s="64"/>
      <c r="U942" s="64"/>
    </row>
    <row r="943" spans="1:21" s="71" customFormat="1" hidden="1">
      <c r="A943" s="64"/>
      <c r="B943" s="884"/>
      <c r="C943" s="128"/>
      <c r="D943" s="128"/>
      <c r="E943" s="128"/>
      <c r="N943" s="884"/>
      <c r="P943" s="885"/>
      <c r="R943" s="64"/>
      <c r="S943" s="64"/>
      <c r="T943" s="64"/>
      <c r="U943" s="64"/>
    </row>
    <row r="944" spans="1:21" s="71" customFormat="1" hidden="1">
      <c r="A944" s="64"/>
      <c r="B944" s="884"/>
      <c r="C944" s="128"/>
      <c r="D944" s="128"/>
      <c r="E944" s="128"/>
      <c r="N944" s="884"/>
      <c r="P944" s="885"/>
      <c r="R944" s="64"/>
      <c r="S944" s="64"/>
      <c r="T944" s="64"/>
      <c r="U944" s="64"/>
    </row>
    <row r="945" spans="1:21" s="71" customFormat="1" hidden="1">
      <c r="A945" s="64"/>
      <c r="B945" s="884"/>
      <c r="C945" s="128"/>
      <c r="D945" s="128"/>
      <c r="E945" s="128"/>
      <c r="N945" s="884"/>
      <c r="P945" s="885"/>
      <c r="R945" s="64"/>
      <c r="S945" s="64"/>
      <c r="T945" s="64"/>
      <c r="U945" s="64"/>
    </row>
    <row r="946" spans="1:21" s="71" customFormat="1" hidden="1">
      <c r="A946" s="64"/>
      <c r="B946" s="884"/>
      <c r="C946" s="128"/>
      <c r="D946" s="128"/>
      <c r="E946" s="128"/>
      <c r="N946" s="884"/>
      <c r="P946" s="885"/>
      <c r="R946" s="64"/>
      <c r="S946" s="64"/>
      <c r="T946" s="64"/>
      <c r="U946" s="64"/>
    </row>
    <row r="947" spans="1:21" s="71" customFormat="1" hidden="1">
      <c r="A947" s="64"/>
      <c r="B947" s="884"/>
      <c r="C947" s="128"/>
      <c r="D947" s="128"/>
      <c r="E947" s="128"/>
      <c r="N947" s="884"/>
      <c r="P947" s="885"/>
      <c r="R947" s="64"/>
      <c r="S947" s="64"/>
      <c r="T947" s="64"/>
      <c r="U947" s="64"/>
    </row>
    <row r="948" spans="1:21" s="71" customFormat="1" hidden="1">
      <c r="A948" s="64"/>
      <c r="B948" s="884"/>
      <c r="C948" s="128"/>
      <c r="D948" s="128"/>
      <c r="E948" s="128"/>
      <c r="N948" s="884"/>
      <c r="P948" s="885"/>
      <c r="R948" s="64"/>
      <c r="S948" s="64"/>
      <c r="T948" s="64"/>
      <c r="U948" s="64"/>
    </row>
    <row r="949" spans="1:21" s="71" customFormat="1" hidden="1">
      <c r="A949" s="64"/>
      <c r="B949" s="884"/>
      <c r="C949" s="128"/>
      <c r="D949" s="128"/>
      <c r="E949" s="128"/>
      <c r="N949" s="884"/>
      <c r="P949" s="885"/>
      <c r="R949" s="64"/>
      <c r="S949" s="64"/>
      <c r="T949" s="64"/>
      <c r="U949" s="64"/>
    </row>
    <row r="950" spans="1:21" s="71" customFormat="1" hidden="1">
      <c r="A950" s="64"/>
      <c r="B950" s="884"/>
      <c r="C950" s="128"/>
      <c r="D950" s="128"/>
      <c r="E950" s="128"/>
      <c r="N950" s="884"/>
      <c r="P950" s="885"/>
      <c r="R950" s="64"/>
      <c r="S950" s="64"/>
      <c r="T950" s="64"/>
      <c r="U950" s="64"/>
    </row>
    <row r="951" spans="1:21" s="71" customFormat="1" hidden="1">
      <c r="A951" s="64"/>
      <c r="B951" s="884"/>
      <c r="C951" s="128"/>
      <c r="D951" s="128"/>
      <c r="E951" s="128"/>
      <c r="N951" s="884"/>
      <c r="P951" s="885"/>
      <c r="R951" s="64"/>
      <c r="S951" s="64"/>
      <c r="T951" s="64"/>
      <c r="U951" s="64"/>
    </row>
    <row r="952" spans="1:21" s="71" customFormat="1" hidden="1">
      <c r="A952" s="64"/>
      <c r="B952" s="884"/>
      <c r="C952" s="128"/>
      <c r="D952" s="128"/>
      <c r="E952" s="128"/>
      <c r="N952" s="884"/>
      <c r="P952" s="885"/>
      <c r="R952" s="64"/>
      <c r="S952" s="64"/>
      <c r="T952" s="64"/>
      <c r="U952" s="64"/>
    </row>
    <row r="953" spans="1:21" s="71" customFormat="1" hidden="1">
      <c r="A953" s="64"/>
      <c r="B953" s="884"/>
      <c r="C953" s="128"/>
      <c r="D953" s="128"/>
      <c r="E953" s="128"/>
      <c r="N953" s="884"/>
      <c r="P953" s="885"/>
      <c r="R953" s="64"/>
      <c r="S953" s="64"/>
      <c r="T953" s="64"/>
      <c r="U953" s="64"/>
    </row>
    <row r="954" spans="1:21" s="71" customFormat="1" hidden="1">
      <c r="A954" s="64"/>
      <c r="B954" s="884"/>
      <c r="C954" s="128"/>
      <c r="D954" s="128"/>
      <c r="E954" s="128"/>
      <c r="N954" s="884"/>
      <c r="P954" s="885"/>
      <c r="R954" s="64"/>
      <c r="S954" s="64"/>
      <c r="T954" s="64"/>
      <c r="U954" s="64"/>
    </row>
    <row r="955" spans="1:21" s="71" customFormat="1" hidden="1">
      <c r="A955" s="64"/>
      <c r="B955" s="884"/>
      <c r="C955" s="128"/>
      <c r="D955" s="128"/>
      <c r="E955" s="128"/>
      <c r="N955" s="884"/>
      <c r="P955" s="885"/>
      <c r="R955" s="64"/>
      <c r="S955" s="64"/>
      <c r="T955" s="64"/>
      <c r="U955" s="64"/>
    </row>
    <row r="956" spans="1:21" s="71" customFormat="1" hidden="1">
      <c r="A956" s="64"/>
      <c r="B956" s="884"/>
      <c r="C956" s="128"/>
      <c r="D956" s="128"/>
      <c r="E956" s="128"/>
      <c r="N956" s="884"/>
      <c r="P956" s="885"/>
      <c r="R956" s="64"/>
      <c r="S956" s="64"/>
      <c r="T956" s="64"/>
      <c r="U956" s="64"/>
    </row>
    <row r="957" spans="1:21" s="71" customFormat="1" hidden="1">
      <c r="A957" s="64"/>
      <c r="B957" s="884"/>
      <c r="C957" s="128"/>
      <c r="D957" s="128"/>
      <c r="E957" s="128"/>
      <c r="N957" s="884"/>
      <c r="P957" s="885"/>
      <c r="R957" s="64"/>
      <c r="S957" s="64"/>
      <c r="T957" s="64"/>
      <c r="U957" s="64"/>
    </row>
    <row r="958" spans="1:21" s="71" customFormat="1" hidden="1">
      <c r="A958" s="64"/>
      <c r="B958" s="884"/>
      <c r="C958" s="128"/>
      <c r="D958" s="128"/>
      <c r="E958" s="128"/>
      <c r="N958" s="884"/>
      <c r="P958" s="885"/>
      <c r="R958" s="64"/>
      <c r="S958" s="64"/>
      <c r="T958" s="64"/>
      <c r="U958" s="64"/>
    </row>
    <row r="959" spans="1:21" s="71" customFormat="1" hidden="1">
      <c r="A959" s="64"/>
      <c r="B959" s="884"/>
      <c r="C959" s="128"/>
      <c r="D959" s="128"/>
      <c r="E959" s="128"/>
      <c r="N959" s="884"/>
      <c r="P959" s="885"/>
      <c r="R959" s="64"/>
      <c r="S959" s="64"/>
      <c r="T959" s="64"/>
      <c r="U959" s="64"/>
    </row>
    <row r="960" spans="1:21" s="71" customFormat="1" hidden="1">
      <c r="A960" s="64"/>
      <c r="B960" s="884"/>
      <c r="C960" s="128"/>
      <c r="D960" s="128"/>
      <c r="E960" s="128"/>
      <c r="N960" s="884"/>
      <c r="P960" s="885"/>
      <c r="R960" s="64"/>
      <c r="S960" s="64"/>
      <c r="T960" s="64"/>
      <c r="U960" s="64"/>
    </row>
    <row r="961" spans="1:21" s="71" customFormat="1" hidden="1">
      <c r="A961" s="64"/>
      <c r="B961" s="884"/>
      <c r="C961" s="128"/>
      <c r="D961" s="128"/>
      <c r="E961" s="128"/>
      <c r="N961" s="884"/>
      <c r="P961" s="885"/>
      <c r="R961" s="64"/>
      <c r="S961" s="64"/>
      <c r="T961" s="64"/>
      <c r="U961" s="64"/>
    </row>
    <row r="962" spans="1:21" s="71" customFormat="1" hidden="1">
      <c r="A962" s="64"/>
      <c r="B962" s="884"/>
      <c r="C962" s="128"/>
      <c r="D962" s="128"/>
      <c r="E962" s="128"/>
      <c r="N962" s="884"/>
      <c r="P962" s="885"/>
      <c r="R962" s="64"/>
      <c r="S962" s="64"/>
      <c r="T962" s="64"/>
      <c r="U962" s="64"/>
    </row>
    <row r="963" spans="1:21" s="71" customFormat="1" hidden="1">
      <c r="A963" s="64"/>
      <c r="B963" s="884"/>
      <c r="C963" s="128"/>
      <c r="D963" s="128"/>
      <c r="E963" s="128"/>
      <c r="N963" s="884"/>
      <c r="P963" s="885"/>
      <c r="R963" s="64"/>
      <c r="S963" s="64"/>
      <c r="T963" s="64"/>
      <c r="U963" s="64"/>
    </row>
    <row r="964" spans="1:21" s="71" customFormat="1" hidden="1">
      <c r="A964" s="64"/>
      <c r="B964" s="884"/>
      <c r="C964" s="128"/>
      <c r="D964" s="128"/>
      <c r="E964" s="128"/>
      <c r="N964" s="884"/>
      <c r="P964" s="885"/>
      <c r="R964" s="64"/>
      <c r="S964" s="64"/>
      <c r="T964" s="64"/>
      <c r="U964" s="64"/>
    </row>
    <row r="965" spans="1:21" s="71" customFormat="1" hidden="1">
      <c r="A965" s="64"/>
      <c r="B965" s="884"/>
      <c r="C965" s="128"/>
      <c r="D965" s="128"/>
      <c r="E965" s="128"/>
      <c r="N965" s="884"/>
      <c r="P965" s="885"/>
      <c r="R965" s="64"/>
      <c r="S965" s="64"/>
      <c r="T965" s="64"/>
      <c r="U965" s="64"/>
    </row>
    <row r="966" spans="1:21" s="71" customFormat="1" hidden="1">
      <c r="A966" s="64"/>
      <c r="B966" s="884"/>
      <c r="C966" s="128"/>
      <c r="D966" s="128"/>
      <c r="E966" s="128"/>
      <c r="N966" s="884"/>
      <c r="P966" s="885"/>
      <c r="R966" s="64"/>
      <c r="S966" s="64"/>
      <c r="T966" s="64"/>
      <c r="U966" s="64"/>
    </row>
    <row r="967" spans="1:21" s="71" customFormat="1" hidden="1">
      <c r="A967" s="64"/>
      <c r="B967" s="884"/>
      <c r="C967" s="128"/>
      <c r="D967" s="128"/>
      <c r="E967" s="128"/>
      <c r="N967" s="884"/>
      <c r="P967" s="885"/>
      <c r="R967" s="64"/>
      <c r="S967" s="64"/>
      <c r="T967" s="64"/>
      <c r="U967" s="64"/>
    </row>
    <row r="968" spans="1:21" s="71" customFormat="1" hidden="1">
      <c r="A968" s="64"/>
      <c r="B968" s="884"/>
      <c r="C968" s="128"/>
      <c r="D968" s="128"/>
      <c r="E968" s="128"/>
      <c r="N968" s="884"/>
      <c r="P968" s="885"/>
      <c r="R968" s="64"/>
      <c r="S968" s="64"/>
      <c r="T968" s="64"/>
      <c r="U968" s="64"/>
    </row>
    <row r="969" spans="1:21" s="71" customFormat="1" hidden="1">
      <c r="A969" s="64"/>
      <c r="B969" s="884"/>
      <c r="C969" s="128"/>
      <c r="D969" s="128"/>
      <c r="E969" s="128"/>
      <c r="N969" s="884"/>
      <c r="P969" s="885"/>
      <c r="R969" s="64"/>
      <c r="S969" s="64"/>
      <c r="T969" s="64"/>
      <c r="U969" s="64"/>
    </row>
    <row r="970" spans="1:21" s="71" customFormat="1" hidden="1">
      <c r="A970" s="64"/>
      <c r="B970" s="884"/>
      <c r="C970" s="128"/>
      <c r="D970" s="128"/>
      <c r="E970" s="128"/>
      <c r="N970" s="884"/>
      <c r="P970" s="885"/>
      <c r="R970" s="64"/>
      <c r="S970" s="64"/>
      <c r="T970" s="64"/>
      <c r="U970" s="64"/>
    </row>
    <row r="971" spans="1:21" s="71" customFormat="1" hidden="1">
      <c r="A971" s="64"/>
      <c r="B971" s="884"/>
      <c r="C971" s="128"/>
      <c r="D971" s="128"/>
      <c r="E971" s="128"/>
      <c r="N971" s="884"/>
      <c r="P971" s="885"/>
      <c r="R971" s="64"/>
      <c r="S971" s="64"/>
      <c r="T971" s="64"/>
      <c r="U971" s="64"/>
    </row>
    <row r="972" spans="1:21" s="71" customFormat="1" hidden="1">
      <c r="A972" s="64"/>
      <c r="B972" s="884"/>
      <c r="C972" s="128"/>
      <c r="D972" s="128"/>
      <c r="E972" s="128"/>
      <c r="N972" s="884"/>
      <c r="P972" s="885"/>
      <c r="R972" s="64"/>
      <c r="S972" s="64"/>
      <c r="T972" s="64"/>
      <c r="U972" s="64"/>
    </row>
    <row r="973" spans="1:21" s="71" customFormat="1" hidden="1">
      <c r="A973" s="64"/>
      <c r="B973" s="884"/>
      <c r="C973" s="128"/>
      <c r="D973" s="128"/>
      <c r="E973" s="128"/>
      <c r="N973" s="884"/>
      <c r="P973" s="885"/>
      <c r="R973" s="64"/>
      <c r="S973" s="64"/>
      <c r="T973" s="64"/>
      <c r="U973" s="64"/>
    </row>
    <row r="974" spans="1:21" s="71" customFormat="1" hidden="1">
      <c r="A974" s="64"/>
      <c r="B974" s="884"/>
      <c r="C974" s="128"/>
      <c r="D974" s="128"/>
      <c r="E974" s="128"/>
      <c r="N974" s="884"/>
      <c r="P974" s="885"/>
      <c r="R974" s="64"/>
      <c r="S974" s="64"/>
      <c r="T974" s="64"/>
      <c r="U974" s="64"/>
    </row>
    <row r="975" spans="1:21" s="71" customFormat="1" hidden="1">
      <c r="A975" s="64"/>
      <c r="B975" s="884"/>
      <c r="C975" s="128"/>
      <c r="D975" s="128"/>
      <c r="E975" s="128"/>
      <c r="N975" s="884"/>
      <c r="P975" s="885"/>
      <c r="R975" s="64"/>
      <c r="S975" s="64"/>
      <c r="T975" s="64"/>
      <c r="U975" s="64"/>
    </row>
    <row r="976" spans="1:21" s="71" customFormat="1" hidden="1">
      <c r="A976" s="64"/>
      <c r="B976" s="884"/>
      <c r="C976" s="128"/>
      <c r="D976" s="128"/>
      <c r="E976" s="128"/>
      <c r="N976" s="884"/>
      <c r="P976" s="885"/>
      <c r="R976" s="64"/>
      <c r="S976" s="64"/>
      <c r="T976" s="64"/>
      <c r="U976" s="64"/>
    </row>
    <row r="977" spans="1:21" s="71" customFormat="1" hidden="1">
      <c r="A977" s="64"/>
      <c r="B977" s="884"/>
      <c r="C977" s="128"/>
      <c r="D977" s="128"/>
      <c r="E977" s="128"/>
      <c r="N977" s="884"/>
      <c r="P977" s="885"/>
      <c r="R977" s="64"/>
      <c r="S977" s="64"/>
      <c r="T977" s="64"/>
      <c r="U977" s="64"/>
    </row>
    <row r="978" spans="1:21" s="71" customFormat="1" hidden="1">
      <c r="A978" s="64"/>
      <c r="B978" s="884"/>
      <c r="C978" s="128"/>
      <c r="D978" s="128"/>
      <c r="E978" s="128"/>
      <c r="N978" s="884"/>
      <c r="P978" s="885"/>
      <c r="R978" s="64"/>
      <c r="S978" s="64"/>
      <c r="T978" s="64"/>
      <c r="U978" s="64"/>
    </row>
    <row r="979" spans="1:21" s="71" customFormat="1" hidden="1">
      <c r="A979" s="64"/>
      <c r="B979" s="884"/>
      <c r="C979" s="128"/>
      <c r="D979" s="128"/>
      <c r="E979" s="128"/>
      <c r="N979" s="884"/>
      <c r="P979" s="885"/>
      <c r="R979" s="64"/>
      <c r="S979" s="64"/>
      <c r="T979" s="64"/>
      <c r="U979" s="64"/>
    </row>
    <row r="980" spans="1:21" s="71" customFormat="1" hidden="1">
      <c r="A980" s="64"/>
      <c r="B980" s="884"/>
      <c r="C980" s="128"/>
      <c r="D980" s="128"/>
      <c r="E980" s="128"/>
      <c r="N980" s="884"/>
      <c r="P980" s="885"/>
      <c r="R980" s="64"/>
      <c r="S980" s="64"/>
      <c r="T980" s="64"/>
      <c r="U980" s="64"/>
    </row>
    <row r="981" spans="1:21" s="71" customFormat="1" hidden="1">
      <c r="A981" s="64"/>
      <c r="B981" s="884"/>
      <c r="C981" s="128"/>
      <c r="D981" s="128"/>
      <c r="E981" s="128"/>
      <c r="N981" s="884"/>
      <c r="P981" s="885"/>
      <c r="R981" s="64"/>
      <c r="S981" s="64"/>
      <c r="T981" s="64"/>
      <c r="U981" s="64"/>
    </row>
    <row r="982" spans="1:21" s="71" customFormat="1" hidden="1">
      <c r="A982" s="64"/>
      <c r="B982" s="884"/>
      <c r="C982" s="128"/>
      <c r="D982" s="128"/>
      <c r="E982" s="128"/>
      <c r="N982" s="884"/>
      <c r="P982" s="885"/>
      <c r="R982" s="64"/>
      <c r="S982" s="64"/>
      <c r="T982" s="64"/>
      <c r="U982" s="64"/>
    </row>
    <row r="983" spans="1:21" s="71" customFormat="1" hidden="1">
      <c r="A983" s="64"/>
      <c r="B983" s="884"/>
      <c r="C983" s="128"/>
      <c r="D983" s="128"/>
      <c r="E983" s="128"/>
      <c r="N983" s="884"/>
      <c r="P983" s="885"/>
      <c r="R983" s="64"/>
      <c r="S983" s="64"/>
      <c r="T983" s="64"/>
      <c r="U983" s="64"/>
    </row>
    <row r="984" spans="1:21" s="71" customFormat="1" hidden="1">
      <c r="A984" s="64"/>
      <c r="B984" s="884"/>
      <c r="C984" s="128"/>
      <c r="D984" s="128"/>
      <c r="E984" s="128"/>
      <c r="N984" s="884"/>
      <c r="P984" s="885"/>
      <c r="R984" s="64"/>
      <c r="S984" s="64"/>
      <c r="T984" s="64"/>
      <c r="U984" s="64"/>
    </row>
    <row r="985" spans="1:21" s="71" customFormat="1" hidden="1">
      <c r="A985" s="64"/>
      <c r="B985" s="884"/>
      <c r="C985" s="128"/>
      <c r="D985" s="128"/>
      <c r="E985" s="128"/>
      <c r="N985" s="884"/>
      <c r="P985" s="885"/>
      <c r="R985" s="64"/>
      <c r="S985" s="64"/>
      <c r="T985" s="64"/>
      <c r="U985" s="64"/>
    </row>
    <row r="986" spans="1:21" s="71" customFormat="1" hidden="1">
      <c r="A986" s="64"/>
      <c r="B986" s="884"/>
      <c r="C986" s="128"/>
      <c r="D986" s="128"/>
      <c r="E986" s="128"/>
      <c r="N986" s="884"/>
      <c r="P986" s="885"/>
      <c r="R986" s="64"/>
      <c r="S986" s="64"/>
      <c r="T986" s="64"/>
      <c r="U986" s="64"/>
    </row>
    <row r="987" spans="1:21" s="71" customFormat="1" hidden="1">
      <c r="A987" s="64"/>
      <c r="B987" s="884"/>
      <c r="C987" s="128"/>
      <c r="D987" s="128"/>
      <c r="E987" s="128"/>
      <c r="N987" s="884"/>
      <c r="P987" s="885"/>
      <c r="R987" s="64"/>
      <c r="S987" s="64"/>
      <c r="T987" s="64"/>
      <c r="U987" s="64"/>
    </row>
    <row r="988" spans="1:21" s="71" customFormat="1" hidden="1">
      <c r="A988" s="64"/>
      <c r="B988" s="884"/>
      <c r="C988" s="128"/>
      <c r="D988" s="128"/>
      <c r="E988" s="128"/>
      <c r="N988" s="884"/>
      <c r="P988" s="885"/>
      <c r="R988" s="64"/>
      <c r="S988" s="64"/>
      <c r="T988" s="64"/>
      <c r="U988" s="64"/>
    </row>
    <row r="989" spans="1:21" s="71" customFormat="1" hidden="1">
      <c r="A989" s="64"/>
      <c r="B989" s="884"/>
      <c r="C989" s="128"/>
      <c r="D989" s="128"/>
      <c r="E989" s="128"/>
      <c r="N989" s="884"/>
      <c r="P989" s="885"/>
      <c r="R989" s="64"/>
      <c r="S989" s="64"/>
      <c r="T989" s="64"/>
      <c r="U989" s="64"/>
    </row>
    <row r="990" spans="1:21" s="71" customFormat="1" hidden="1">
      <c r="A990" s="64"/>
      <c r="B990" s="884"/>
      <c r="C990" s="128"/>
      <c r="D990" s="128"/>
      <c r="E990" s="128"/>
      <c r="N990" s="884"/>
      <c r="P990" s="885"/>
      <c r="R990" s="64"/>
      <c r="S990" s="64"/>
      <c r="T990" s="64"/>
      <c r="U990" s="64"/>
    </row>
    <row r="991" spans="1:21" s="71" customFormat="1" hidden="1">
      <c r="A991" s="64"/>
      <c r="B991" s="884"/>
      <c r="C991" s="128"/>
      <c r="D991" s="128"/>
      <c r="E991" s="128"/>
      <c r="N991" s="884"/>
      <c r="P991" s="885"/>
      <c r="R991" s="64"/>
      <c r="S991" s="64"/>
      <c r="T991" s="64"/>
      <c r="U991" s="64"/>
    </row>
    <row r="992" spans="1:21" s="71" customFormat="1" hidden="1">
      <c r="A992" s="64"/>
      <c r="B992" s="884"/>
      <c r="C992" s="128"/>
      <c r="D992" s="128"/>
      <c r="E992" s="128"/>
      <c r="N992" s="884"/>
      <c r="P992" s="885"/>
      <c r="R992" s="64"/>
      <c r="S992" s="64"/>
      <c r="T992" s="64"/>
      <c r="U992" s="64"/>
    </row>
    <row r="993" spans="1:21" s="71" customFormat="1" hidden="1">
      <c r="A993" s="64"/>
      <c r="B993" s="884"/>
      <c r="C993" s="128"/>
      <c r="D993" s="128"/>
      <c r="E993" s="128"/>
      <c r="N993" s="884"/>
      <c r="P993" s="885"/>
      <c r="R993" s="64"/>
      <c r="S993" s="64"/>
      <c r="T993" s="64"/>
      <c r="U993" s="64"/>
    </row>
    <row r="994" spans="1:21" s="71" customFormat="1" hidden="1">
      <c r="A994" s="64"/>
      <c r="B994" s="884"/>
      <c r="C994" s="128"/>
      <c r="D994" s="128"/>
      <c r="E994" s="128"/>
      <c r="N994" s="884"/>
      <c r="P994" s="885"/>
      <c r="R994" s="64"/>
      <c r="S994" s="64"/>
      <c r="T994" s="64"/>
      <c r="U994" s="64"/>
    </row>
    <row r="995" spans="1:21" s="71" customFormat="1" hidden="1">
      <c r="A995" s="64"/>
      <c r="B995" s="884"/>
      <c r="C995" s="128"/>
      <c r="D995" s="128"/>
      <c r="E995" s="128"/>
      <c r="N995" s="884"/>
      <c r="P995" s="885"/>
      <c r="R995" s="64"/>
      <c r="S995" s="64"/>
      <c r="T995" s="64"/>
      <c r="U995" s="64"/>
    </row>
    <row r="996" spans="1:21" s="71" customFormat="1" hidden="1">
      <c r="A996" s="64"/>
      <c r="B996" s="884"/>
      <c r="C996" s="128"/>
      <c r="D996" s="128"/>
      <c r="E996" s="128"/>
      <c r="N996" s="884"/>
      <c r="P996" s="885"/>
      <c r="R996" s="64"/>
      <c r="S996" s="64"/>
      <c r="T996" s="64"/>
      <c r="U996" s="64"/>
    </row>
    <row r="997" spans="1:21" s="71" customFormat="1" hidden="1">
      <c r="A997" s="64"/>
      <c r="B997" s="884"/>
      <c r="C997" s="128"/>
      <c r="D997" s="128"/>
      <c r="E997" s="128"/>
      <c r="N997" s="884"/>
      <c r="P997" s="885"/>
      <c r="R997" s="64"/>
      <c r="S997" s="64"/>
      <c r="T997" s="64"/>
      <c r="U997" s="64"/>
    </row>
    <row r="998" spans="1:21" s="71" customFormat="1" hidden="1">
      <c r="A998" s="64"/>
      <c r="B998" s="884"/>
      <c r="C998" s="128"/>
      <c r="D998" s="128"/>
      <c r="E998" s="128"/>
      <c r="N998" s="884"/>
      <c r="P998" s="885"/>
      <c r="R998" s="64"/>
      <c r="S998" s="64"/>
      <c r="T998" s="64"/>
      <c r="U998" s="64"/>
    </row>
    <row r="999" spans="1:21" s="71" customFormat="1" hidden="1">
      <c r="A999" s="64"/>
      <c r="B999" s="884"/>
      <c r="C999" s="128"/>
      <c r="D999" s="128"/>
      <c r="E999" s="128"/>
      <c r="N999" s="884"/>
      <c r="P999" s="885"/>
      <c r="R999" s="64"/>
      <c r="S999" s="64"/>
      <c r="T999" s="64"/>
      <c r="U999" s="64"/>
    </row>
    <row r="1000" spans="1:21" s="71" customFormat="1" hidden="1">
      <c r="A1000" s="64"/>
      <c r="B1000" s="884"/>
      <c r="C1000" s="128"/>
      <c r="D1000" s="128"/>
      <c r="E1000" s="128"/>
      <c r="N1000" s="884"/>
      <c r="P1000" s="885"/>
      <c r="R1000" s="64"/>
      <c r="S1000" s="64"/>
      <c r="T1000" s="64"/>
      <c r="U1000" s="64"/>
    </row>
    <row r="1001" spans="1:21" s="71" customFormat="1" hidden="1">
      <c r="A1001" s="64"/>
      <c r="B1001" s="884"/>
      <c r="C1001" s="128"/>
      <c r="D1001" s="128"/>
      <c r="E1001" s="128"/>
      <c r="N1001" s="884"/>
      <c r="P1001" s="885"/>
      <c r="R1001" s="64"/>
      <c r="S1001" s="64"/>
      <c r="T1001" s="64"/>
      <c r="U1001" s="64"/>
    </row>
    <row r="1002" spans="1:21" s="71" customFormat="1" hidden="1">
      <c r="A1002" s="64"/>
      <c r="B1002" s="884"/>
      <c r="C1002" s="128"/>
      <c r="D1002" s="128"/>
      <c r="E1002" s="128"/>
      <c r="N1002" s="884"/>
      <c r="P1002" s="885"/>
      <c r="R1002" s="64"/>
      <c r="S1002" s="64"/>
      <c r="T1002" s="64"/>
      <c r="U1002" s="64"/>
    </row>
    <row r="1003" spans="1:21" s="71" customFormat="1" hidden="1">
      <c r="A1003" s="64"/>
      <c r="B1003" s="884"/>
      <c r="C1003" s="128"/>
      <c r="D1003" s="128"/>
      <c r="E1003" s="128"/>
      <c r="N1003" s="884"/>
      <c r="P1003" s="885"/>
      <c r="R1003" s="64"/>
      <c r="S1003" s="64"/>
      <c r="T1003" s="64"/>
      <c r="U1003" s="64"/>
    </row>
    <row r="1004" spans="1:21" s="71" customFormat="1" hidden="1">
      <c r="A1004" s="64"/>
      <c r="B1004" s="884"/>
      <c r="C1004" s="128"/>
      <c r="D1004" s="128"/>
      <c r="E1004" s="128"/>
      <c r="N1004" s="884"/>
      <c r="P1004" s="885"/>
      <c r="R1004" s="64"/>
      <c r="S1004" s="64"/>
      <c r="T1004" s="64"/>
      <c r="U1004" s="64"/>
    </row>
    <row r="1005" spans="1:21" s="71" customFormat="1" hidden="1">
      <c r="A1005" s="64"/>
      <c r="B1005" s="884"/>
      <c r="C1005" s="128"/>
      <c r="D1005" s="128"/>
      <c r="E1005" s="128"/>
      <c r="N1005" s="884"/>
      <c r="P1005" s="885"/>
      <c r="R1005" s="64"/>
      <c r="S1005" s="64"/>
      <c r="T1005" s="64"/>
      <c r="U1005" s="64"/>
    </row>
    <row r="1006" spans="1:21" s="71" customFormat="1" hidden="1">
      <c r="A1006" s="64"/>
      <c r="B1006" s="884"/>
      <c r="C1006" s="128"/>
      <c r="D1006" s="128"/>
      <c r="E1006" s="128"/>
      <c r="N1006" s="884"/>
      <c r="P1006" s="885"/>
      <c r="R1006" s="64"/>
      <c r="S1006" s="64"/>
      <c r="T1006" s="64"/>
      <c r="U1006" s="64"/>
    </row>
    <row r="1007" spans="1:21" s="71" customFormat="1" hidden="1">
      <c r="A1007" s="64"/>
      <c r="B1007" s="884"/>
      <c r="C1007" s="128"/>
      <c r="D1007" s="128"/>
      <c r="E1007" s="128"/>
      <c r="N1007" s="884"/>
      <c r="P1007" s="885"/>
      <c r="R1007" s="64"/>
      <c r="S1007" s="64"/>
      <c r="T1007" s="64"/>
      <c r="U1007" s="64"/>
    </row>
    <row r="1008" spans="1:21" s="71" customFormat="1" hidden="1">
      <c r="A1008" s="64"/>
      <c r="B1008" s="884"/>
      <c r="C1008" s="128"/>
      <c r="D1008" s="128"/>
      <c r="E1008" s="128"/>
      <c r="N1008" s="884"/>
      <c r="P1008" s="885"/>
      <c r="R1008" s="64"/>
      <c r="S1008" s="64"/>
      <c r="T1008" s="64"/>
      <c r="U1008" s="64"/>
    </row>
    <row r="1009" spans="1:21" s="71" customFormat="1" hidden="1">
      <c r="A1009" s="64"/>
      <c r="B1009" s="884"/>
      <c r="C1009" s="128"/>
      <c r="D1009" s="128"/>
      <c r="E1009" s="128"/>
      <c r="N1009" s="884"/>
      <c r="P1009" s="885"/>
      <c r="R1009" s="64"/>
      <c r="S1009" s="64"/>
      <c r="T1009" s="64"/>
      <c r="U1009" s="64"/>
    </row>
    <row r="1010" spans="1:21" s="71" customFormat="1" hidden="1">
      <c r="A1010" s="64"/>
      <c r="B1010" s="884"/>
      <c r="C1010" s="128"/>
      <c r="D1010" s="128"/>
      <c r="E1010" s="128"/>
      <c r="N1010" s="884"/>
      <c r="P1010" s="885"/>
      <c r="R1010" s="64"/>
      <c r="S1010" s="64"/>
      <c r="T1010" s="64"/>
      <c r="U1010" s="64"/>
    </row>
    <row r="1011" spans="1:21" s="71" customFormat="1" hidden="1">
      <c r="A1011" s="64"/>
      <c r="B1011" s="884"/>
      <c r="C1011" s="128"/>
      <c r="D1011" s="128"/>
      <c r="E1011" s="128"/>
      <c r="N1011" s="884"/>
      <c r="P1011" s="885"/>
      <c r="R1011" s="64"/>
      <c r="S1011" s="64"/>
      <c r="T1011" s="64"/>
      <c r="U1011" s="64"/>
    </row>
    <row r="1012" spans="1:21" s="71" customFormat="1" hidden="1">
      <c r="A1012" s="64"/>
      <c r="B1012" s="884"/>
      <c r="C1012" s="128"/>
      <c r="D1012" s="128"/>
      <c r="E1012" s="128"/>
      <c r="N1012" s="884"/>
      <c r="P1012" s="885"/>
      <c r="R1012" s="64"/>
      <c r="S1012" s="64"/>
      <c r="T1012" s="64"/>
      <c r="U1012" s="64"/>
    </row>
    <row r="1013" spans="1:21" s="71" customFormat="1" hidden="1">
      <c r="A1013" s="64"/>
      <c r="B1013" s="884"/>
      <c r="C1013" s="128"/>
      <c r="D1013" s="128"/>
      <c r="E1013" s="128"/>
      <c r="N1013" s="884"/>
      <c r="P1013" s="885"/>
      <c r="R1013" s="64"/>
      <c r="S1013" s="64"/>
      <c r="T1013" s="64"/>
      <c r="U1013" s="64"/>
    </row>
    <row r="1014" spans="1:21" s="71" customFormat="1" hidden="1">
      <c r="A1014" s="64"/>
      <c r="B1014" s="884"/>
      <c r="C1014" s="128"/>
      <c r="D1014" s="128"/>
      <c r="E1014" s="128"/>
      <c r="N1014" s="884"/>
      <c r="P1014" s="885"/>
      <c r="R1014" s="64"/>
      <c r="S1014" s="64"/>
      <c r="T1014" s="64"/>
      <c r="U1014" s="64"/>
    </row>
    <row r="1015" spans="1:21" s="71" customFormat="1" hidden="1">
      <c r="A1015" s="64"/>
      <c r="B1015" s="884"/>
      <c r="C1015" s="128"/>
      <c r="D1015" s="128"/>
      <c r="E1015" s="128"/>
      <c r="N1015" s="884"/>
      <c r="P1015" s="885"/>
      <c r="R1015" s="64"/>
      <c r="S1015" s="64"/>
      <c r="T1015" s="64"/>
      <c r="U1015" s="64"/>
    </row>
    <row r="1016" spans="1:21" s="71" customFormat="1" hidden="1">
      <c r="A1016" s="64"/>
      <c r="B1016" s="884"/>
      <c r="C1016" s="128"/>
      <c r="D1016" s="128"/>
      <c r="E1016" s="128"/>
      <c r="N1016" s="884"/>
      <c r="P1016" s="885"/>
      <c r="R1016" s="64"/>
      <c r="S1016" s="64"/>
      <c r="T1016" s="64"/>
      <c r="U1016" s="64"/>
    </row>
    <row r="1017" spans="1:21" s="71" customFormat="1" hidden="1">
      <c r="A1017" s="64"/>
      <c r="B1017" s="884"/>
      <c r="C1017" s="128"/>
      <c r="D1017" s="128"/>
      <c r="E1017" s="128"/>
      <c r="N1017" s="884"/>
      <c r="P1017" s="885"/>
      <c r="R1017" s="64"/>
      <c r="S1017" s="64"/>
      <c r="T1017" s="64"/>
      <c r="U1017" s="64"/>
    </row>
    <row r="1018" spans="1:21" s="71" customFormat="1" hidden="1">
      <c r="A1018" s="64"/>
      <c r="B1018" s="884"/>
      <c r="C1018" s="128"/>
      <c r="D1018" s="128"/>
      <c r="E1018" s="128"/>
      <c r="N1018" s="884"/>
      <c r="P1018" s="885"/>
      <c r="R1018" s="64"/>
      <c r="S1018" s="64"/>
      <c r="T1018" s="64"/>
      <c r="U1018" s="64"/>
    </row>
    <row r="1019" spans="1:21" s="71" customFormat="1" hidden="1">
      <c r="A1019" s="64"/>
      <c r="B1019" s="884"/>
      <c r="C1019" s="128"/>
      <c r="D1019" s="128"/>
      <c r="E1019" s="128"/>
      <c r="N1019" s="884"/>
      <c r="P1019" s="885"/>
      <c r="R1019" s="64"/>
      <c r="S1019" s="64"/>
      <c r="T1019" s="64"/>
      <c r="U1019" s="64"/>
    </row>
    <row r="1020" spans="1:21" s="71" customFormat="1" hidden="1">
      <c r="A1020" s="64"/>
      <c r="B1020" s="884"/>
      <c r="C1020" s="128"/>
      <c r="D1020" s="128"/>
      <c r="E1020" s="128"/>
      <c r="N1020" s="884"/>
      <c r="P1020" s="885"/>
      <c r="R1020" s="64"/>
      <c r="S1020" s="64"/>
      <c r="T1020" s="64"/>
      <c r="U1020" s="64"/>
    </row>
    <row r="1021" spans="1:21" s="71" customFormat="1" hidden="1">
      <c r="A1021" s="64"/>
      <c r="B1021" s="884"/>
      <c r="C1021" s="128"/>
      <c r="D1021" s="128"/>
      <c r="E1021" s="128"/>
      <c r="N1021" s="884"/>
      <c r="P1021" s="885"/>
      <c r="R1021" s="64"/>
      <c r="S1021" s="64"/>
      <c r="T1021" s="64"/>
      <c r="U1021" s="64"/>
    </row>
    <row r="1022" spans="1:21" s="71" customFormat="1" hidden="1">
      <c r="A1022" s="64"/>
      <c r="B1022" s="884"/>
      <c r="C1022" s="128"/>
      <c r="D1022" s="128"/>
      <c r="E1022" s="128"/>
      <c r="N1022" s="884"/>
      <c r="P1022" s="885"/>
      <c r="R1022" s="64"/>
      <c r="S1022" s="64"/>
      <c r="T1022" s="64"/>
      <c r="U1022" s="64"/>
    </row>
    <row r="1023" spans="1:21" s="71" customFormat="1" hidden="1">
      <c r="A1023" s="64"/>
      <c r="B1023" s="884"/>
      <c r="C1023" s="128"/>
      <c r="D1023" s="128"/>
      <c r="E1023" s="128"/>
      <c r="N1023" s="884"/>
      <c r="P1023" s="885"/>
      <c r="R1023" s="64"/>
      <c r="S1023" s="64"/>
      <c r="T1023" s="64"/>
      <c r="U1023" s="64"/>
    </row>
    <row r="1024" spans="1:21" s="71" customFormat="1" hidden="1">
      <c r="A1024" s="64"/>
      <c r="B1024" s="884"/>
      <c r="C1024" s="128"/>
      <c r="D1024" s="128"/>
      <c r="E1024" s="128"/>
      <c r="N1024" s="884"/>
      <c r="P1024" s="885"/>
      <c r="R1024" s="64"/>
      <c r="S1024" s="64"/>
      <c r="T1024" s="64"/>
      <c r="U1024" s="64"/>
    </row>
    <row r="1025" spans="1:21" s="71" customFormat="1" hidden="1">
      <c r="A1025" s="64"/>
      <c r="B1025" s="884"/>
      <c r="C1025" s="128"/>
      <c r="D1025" s="128"/>
      <c r="E1025" s="128"/>
      <c r="N1025" s="884"/>
      <c r="P1025" s="885"/>
      <c r="R1025" s="64"/>
      <c r="S1025" s="64"/>
      <c r="T1025" s="64"/>
      <c r="U1025" s="64"/>
    </row>
    <row r="1026" spans="1:21" s="71" customFormat="1" hidden="1">
      <c r="A1026" s="64"/>
      <c r="B1026" s="884"/>
      <c r="C1026" s="128"/>
      <c r="D1026" s="128"/>
      <c r="E1026" s="128"/>
      <c r="N1026" s="884"/>
      <c r="P1026" s="885"/>
      <c r="R1026" s="64"/>
      <c r="S1026" s="64"/>
      <c r="T1026" s="64"/>
      <c r="U1026" s="64"/>
    </row>
    <row r="1027" spans="1:21" s="71" customFormat="1" hidden="1">
      <c r="A1027" s="64"/>
      <c r="B1027" s="884"/>
      <c r="C1027" s="128"/>
      <c r="D1027" s="128"/>
      <c r="E1027" s="128"/>
      <c r="N1027" s="884"/>
      <c r="P1027" s="885"/>
      <c r="R1027" s="64"/>
      <c r="S1027" s="64"/>
      <c r="T1027" s="64"/>
      <c r="U1027" s="64"/>
    </row>
    <row r="1028" spans="1:21" s="71" customFormat="1" hidden="1">
      <c r="A1028" s="64"/>
      <c r="B1028" s="884"/>
      <c r="C1028" s="128"/>
      <c r="D1028" s="128"/>
      <c r="E1028" s="128"/>
      <c r="N1028" s="884"/>
      <c r="P1028" s="885"/>
      <c r="R1028" s="64"/>
      <c r="S1028" s="64"/>
      <c r="T1028" s="64"/>
      <c r="U1028" s="64"/>
    </row>
    <row r="1029" spans="1:21" s="71" customFormat="1" hidden="1">
      <c r="A1029" s="64"/>
      <c r="B1029" s="884"/>
      <c r="C1029" s="128"/>
      <c r="D1029" s="128"/>
      <c r="E1029" s="128"/>
      <c r="N1029" s="884"/>
      <c r="P1029" s="885"/>
      <c r="R1029" s="64"/>
      <c r="S1029" s="64"/>
      <c r="T1029" s="64"/>
      <c r="U1029" s="64"/>
    </row>
    <row r="1030" spans="1:21" s="71" customFormat="1" hidden="1">
      <c r="A1030" s="64"/>
      <c r="B1030" s="884"/>
      <c r="C1030" s="128"/>
      <c r="D1030" s="128"/>
      <c r="E1030" s="128"/>
      <c r="N1030" s="884"/>
      <c r="P1030" s="885"/>
      <c r="R1030" s="64"/>
      <c r="S1030" s="64"/>
      <c r="T1030" s="64"/>
      <c r="U1030" s="64"/>
    </row>
    <row r="1031" spans="1:21" s="71" customFormat="1" hidden="1">
      <c r="A1031" s="64"/>
      <c r="B1031" s="884"/>
      <c r="C1031" s="128"/>
      <c r="D1031" s="128"/>
      <c r="E1031" s="128"/>
      <c r="N1031" s="884"/>
      <c r="P1031" s="885"/>
      <c r="R1031" s="64"/>
      <c r="S1031" s="64"/>
      <c r="T1031" s="64"/>
      <c r="U1031" s="64"/>
    </row>
    <row r="1032" spans="1:21" s="71" customFormat="1" hidden="1">
      <c r="A1032" s="64"/>
      <c r="B1032" s="884"/>
      <c r="C1032" s="128"/>
      <c r="D1032" s="128"/>
      <c r="E1032" s="128"/>
      <c r="N1032" s="884"/>
      <c r="P1032" s="885"/>
      <c r="R1032" s="64"/>
      <c r="S1032" s="64"/>
      <c r="T1032" s="64"/>
      <c r="U1032" s="64"/>
    </row>
    <row r="1033" spans="1:21" s="71" customFormat="1" hidden="1">
      <c r="A1033" s="64"/>
      <c r="B1033" s="884"/>
      <c r="C1033" s="128"/>
      <c r="D1033" s="128"/>
      <c r="E1033" s="128"/>
      <c r="N1033" s="884"/>
      <c r="P1033" s="885"/>
      <c r="R1033" s="64"/>
      <c r="S1033" s="64"/>
      <c r="T1033" s="64"/>
      <c r="U1033" s="64"/>
    </row>
    <row r="1034" spans="1:21" s="71" customFormat="1" hidden="1">
      <c r="A1034" s="64"/>
      <c r="B1034" s="884"/>
      <c r="C1034" s="128"/>
      <c r="D1034" s="128"/>
      <c r="E1034" s="128"/>
      <c r="N1034" s="884"/>
      <c r="P1034" s="885"/>
      <c r="R1034" s="64"/>
      <c r="S1034" s="64"/>
      <c r="T1034" s="64"/>
      <c r="U1034" s="64"/>
    </row>
    <row r="1035" spans="1:21" s="71" customFormat="1" hidden="1">
      <c r="A1035" s="64"/>
      <c r="B1035" s="884"/>
      <c r="C1035" s="128"/>
      <c r="D1035" s="128"/>
      <c r="E1035" s="128"/>
      <c r="N1035" s="884"/>
      <c r="P1035" s="885"/>
      <c r="R1035" s="64"/>
      <c r="S1035" s="64"/>
      <c r="T1035" s="64"/>
      <c r="U1035" s="64"/>
    </row>
    <row r="1036" spans="1:21" s="71" customFormat="1" hidden="1">
      <c r="A1036" s="64"/>
      <c r="B1036" s="884"/>
      <c r="C1036" s="128"/>
      <c r="D1036" s="128"/>
      <c r="E1036" s="128"/>
      <c r="N1036" s="884"/>
      <c r="P1036" s="885"/>
      <c r="R1036" s="64"/>
      <c r="S1036" s="64"/>
      <c r="T1036" s="64"/>
      <c r="U1036" s="64"/>
    </row>
    <row r="1037" spans="1:21" s="71" customFormat="1" hidden="1">
      <c r="A1037" s="64"/>
      <c r="B1037" s="884"/>
      <c r="C1037" s="128"/>
      <c r="D1037" s="128"/>
      <c r="E1037" s="128"/>
      <c r="N1037" s="884"/>
      <c r="P1037" s="885"/>
      <c r="R1037" s="64"/>
      <c r="S1037" s="64"/>
      <c r="T1037" s="64"/>
      <c r="U1037" s="64"/>
    </row>
    <row r="1038" spans="1:21" s="71" customFormat="1" hidden="1">
      <c r="A1038" s="64"/>
      <c r="B1038" s="884"/>
      <c r="C1038" s="128"/>
      <c r="D1038" s="128"/>
      <c r="E1038" s="128"/>
      <c r="N1038" s="884"/>
      <c r="P1038" s="885"/>
      <c r="R1038" s="64"/>
      <c r="S1038" s="64"/>
      <c r="T1038" s="64"/>
      <c r="U1038" s="64"/>
    </row>
    <row r="1039" spans="1:21" s="71" customFormat="1" hidden="1">
      <c r="A1039" s="64"/>
      <c r="B1039" s="884"/>
      <c r="C1039" s="128"/>
      <c r="D1039" s="128"/>
      <c r="E1039" s="128"/>
      <c r="N1039" s="884"/>
      <c r="P1039" s="885"/>
      <c r="R1039" s="64"/>
      <c r="S1039" s="64"/>
      <c r="T1039" s="64"/>
      <c r="U1039" s="64"/>
    </row>
    <row r="1040" spans="1:21" s="71" customFormat="1" hidden="1">
      <c r="A1040" s="64"/>
      <c r="B1040" s="884"/>
      <c r="C1040" s="128"/>
      <c r="D1040" s="128"/>
      <c r="E1040" s="128"/>
      <c r="N1040" s="884"/>
      <c r="P1040" s="885"/>
      <c r="R1040" s="64"/>
      <c r="S1040" s="64"/>
      <c r="T1040" s="64"/>
      <c r="U1040" s="64"/>
    </row>
    <row r="1041" spans="1:21" s="71" customFormat="1" hidden="1">
      <c r="A1041" s="64"/>
      <c r="B1041" s="884"/>
      <c r="C1041" s="128"/>
      <c r="D1041" s="128"/>
      <c r="E1041" s="128"/>
      <c r="N1041" s="884"/>
      <c r="P1041" s="885"/>
      <c r="R1041" s="64"/>
      <c r="S1041" s="64"/>
      <c r="T1041" s="64"/>
      <c r="U1041" s="64"/>
    </row>
    <row r="1042" spans="1:21" s="71" customFormat="1" hidden="1">
      <c r="A1042" s="64"/>
      <c r="B1042" s="884"/>
      <c r="C1042" s="128"/>
      <c r="D1042" s="128"/>
      <c r="E1042" s="128"/>
      <c r="N1042" s="884"/>
      <c r="P1042" s="885"/>
      <c r="R1042" s="64"/>
      <c r="S1042" s="64"/>
      <c r="T1042" s="64"/>
      <c r="U1042" s="64"/>
    </row>
    <row r="1043" spans="1:21" s="71" customFormat="1" hidden="1">
      <c r="A1043" s="64"/>
      <c r="B1043" s="884"/>
      <c r="C1043" s="128"/>
      <c r="D1043" s="128"/>
      <c r="E1043" s="128"/>
      <c r="N1043" s="884"/>
      <c r="P1043" s="885"/>
      <c r="R1043" s="64"/>
      <c r="S1043" s="64"/>
      <c r="T1043" s="64"/>
      <c r="U1043" s="64"/>
    </row>
    <row r="1044" spans="1:21" s="71" customFormat="1" hidden="1">
      <c r="A1044" s="64"/>
      <c r="B1044" s="884"/>
      <c r="C1044" s="128"/>
      <c r="D1044" s="128"/>
      <c r="E1044" s="128"/>
      <c r="N1044" s="884"/>
      <c r="P1044" s="885"/>
      <c r="R1044" s="64"/>
      <c r="S1044" s="64"/>
      <c r="T1044" s="64"/>
      <c r="U1044" s="64"/>
    </row>
    <row r="1045" spans="1:21" s="71" customFormat="1" hidden="1">
      <c r="A1045" s="64"/>
      <c r="B1045" s="884"/>
      <c r="C1045" s="128"/>
      <c r="D1045" s="128"/>
      <c r="E1045" s="128"/>
      <c r="N1045" s="884"/>
      <c r="P1045" s="885"/>
      <c r="R1045" s="64"/>
      <c r="S1045" s="64"/>
      <c r="T1045" s="64"/>
      <c r="U1045" s="64"/>
    </row>
    <row r="1046" spans="1:21" s="71" customFormat="1" hidden="1">
      <c r="A1046" s="64"/>
      <c r="B1046" s="884"/>
      <c r="C1046" s="128"/>
      <c r="D1046" s="128"/>
      <c r="E1046" s="128"/>
      <c r="N1046" s="884"/>
      <c r="P1046" s="885"/>
      <c r="R1046" s="64"/>
      <c r="S1046" s="64"/>
      <c r="T1046" s="64"/>
      <c r="U1046" s="64"/>
    </row>
    <row r="1047" spans="1:21" s="71" customFormat="1" hidden="1">
      <c r="A1047" s="64"/>
      <c r="B1047" s="884"/>
      <c r="C1047" s="128"/>
      <c r="D1047" s="128"/>
      <c r="E1047" s="128"/>
      <c r="N1047" s="884"/>
      <c r="P1047" s="885"/>
      <c r="R1047" s="64"/>
      <c r="S1047" s="64"/>
      <c r="T1047" s="64"/>
      <c r="U1047" s="64"/>
    </row>
    <row r="1048" spans="1:21" s="71" customFormat="1" hidden="1">
      <c r="A1048" s="64"/>
      <c r="B1048" s="884"/>
      <c r="C1048" s="128"/>
      <c r="D1048" s="128"/>
      <c r="E1048" s="128"/>
      <c r="N1048" s="884"/>
      <c r="P1048" s="885"/>
      <c r="R1048" s="64"/>
      <c r="S1048" s="64"/>
      <c r="T1048" s="64"/>
      <c r="U1048" s="64"/>
    </row>
    <row r="1049" spans="1:21" s="71" customFormat="1" hidden="1">
      <c r="A1049" s="64"/>
      <c r="B1049" s="884"/>
      <c r="C1049" s="128"/>
      <c r="D1049" s="128"/>
      <c r="E1049" s="128"/>
      <c r="N1049" s="884"/>
      <c r="P1049" s="885"/>
      <c r="R1049" s="64"/>
      <c r="S1049" s="64"/>
      <c r="T1049" s="64"/>
      <c r="U1049" s="64"/>
    </row>
    <row r="1050" spans="1:21" s="71" customFormat="1" hidden="1">
      <c r="A1050" s="64"/>
      <c r="B1050" s="884"/>
      <c r="C1050" s="128"/>
      <c r="D1050" s="128"/>
      <c r="E1050" s="128"/>
      <c r="N1050" s="884"/>
      <c r="P1050" s="885"/>
      <c r="R1050" s="64"/>
      <c r="S1050" s="64"/>
      <c r="T1050" s="64"/>
      <c r="U1050" s="64"/>
    </row>
    <row r="1051" spans="1:21" s="71" customFormat="1" hidden="1">
      <c r="A1051" s="64"/>
      <c r="B1051" s="884"/>
      <c r="C1051" s="128"/>
      <c r="D1051" s="128"/>
      <c r="E1051" s="128"/>
      <c r="N1051" s="884"/>
      <c r="P1051" s="885"/>
      <c r="R1051" s="64"/>
      <c r="S1051" s="64"/>
      <c r="T1051" s="64"/>
      <c r="U1051" s="64"/>
    </row>
    <row r="1052" spans="1:21" s="71" customFormat="1" hidden="1">
      <c r="A1052" s="64"/>
      <c r="B1052" s="884"/>
      <c r="C1052" s="128"/>
      <c r="D1052" s="128"/>
      <c r="E1052" s="128"/>
      <c r="N1052" s="884"/>
      <c r="P1052" s="885"/>
      <c r="R1052" s="64"/>
      <c r="S1052" s="64"/>
      <c r="T1052" s="64"/>
      <c r="U1052" s="64"/>
    </row>
    <row r="1053" spans="1:21" s="71" customFormat="1" hidden="1">
      <c r="A1053" s="64"/>
      <c r="B1053" s="884"/>
      <c r="C1053" s="128"/>
      <c r="D1053" s="128"/>
      <c r="E1053" s="128"/>
      <c r="N1053" s="884"/>
      <c r="P1053" s="885"/>
      <c r="R1053" s="64"/>
      <c r="S1053" s="64"/>
      <c r="T1053" s="64"/>
      <c r="U1053" s="64"/>
    </row>
    <row r="1054" spans="1:21" s="71" customFormat="1" hidden="1">
      <c r="A1054" s="64"/>
      <c r="B1054" s="884"/>
      <c r="C1054" s="128"/>
      <c r="D1054" s="128"/>
      <c r="E1054" s="128"/>
      <c r="N1054" s="884"/>
      <c r="P1054" s="885"/>
      <c r="R1054" s="64"/>
      <c r="S1054" s="64"/>
      <c r="T1054" s="64"/>
      <c r="U1054" s="64"/>
    </row>
    <row r="1055" spans="1:21" s="71" customFormat="1" hidden="1">
      <c r="A1055" s="64"/>
      <c r="B1055" s="884"/>
      <c r="C1055" s="128"/>
      <c r="D1055" s="128"/>
      <c r="E1055" s="128"/>
      <c r="N1055" s="884"/>
      <c r="P1055" s="885"/>
      <c r="R1055" s="64"/>
      <c r="S1055" s="64"/>
      <c r="T1055" s="64"/>
      <c r="U1055" s="64"/>
    </row>
    <row r="1056" spans="1:21" s="71" customFormat="1" hidden="1">
      <c r="A1056" s="64"/>
      <c r="B1056" s="884"/>
      <c r="C1056" s="128"/>
      <c r="D1056" s="128"/>
      <c r="E1056" s="128"/>
      <c r="N1056" s="884"/>
      <c r="P1056" s="885"/>
      <c r="R1056" s="64"/>
      <c r="S1056" s="64"/>
      <c r="T1056" s="64"/>
      <c r="U1056" s="64"/>
    </row>
    <row r="1057" spans="1:21" s="71" customFormat="1" hidden="1">
      <c r="A1057" s="64"/>
      <c r="B1057" s="884"/>
      <c r="C1057" s="128"/>
      <c r="D1057" s="128"/>
      <c r="E1057" s="128"/>
      <c r="N1057" s="884"/>
      <c r="P1057" s="885"/>
      <c r="R1057" s="64"/>
      <c r="S1057" s="64"/>
      <c r="T1057" s="64"/>
      <c r="U1057" s="64"/>
    </row>
    <row r="1058" spans="1:21" s="71" customFormat="1" hidden="1">
      <c r="A1058" s="64"/>
      <c r="B1058" s="884"/>
      <c r="C1058" s="128"/>
      <c r="D1058" s="128"/>
      <c r="E1058" s="128"/>
      <c r="N1058" s="884"/>
      <c r="P1058" s="885"/>
      <c r="R1058" s="64"/>
      <c r="S1058" s="64"/>
      <c r="T1058" s="64"/>
      <c r="U1058" s="64"/>
    </row>
    <row r="1059" spans="1:21" s="71" customFormat="1" hidden="1">
      <c r="A1059" s="64"/>
      <c r="B1059" s="884"/>
      <c r="C1059" s="128"/>
      <c r="D1059" s="128"/>
      <c r="E1059" s="128"/>
      <c r="N1059" s="884"/>
      <c r="P1059" s="885"/>
      <c r="R1059" s="64"/>
      <c r="S1059" s="64"/>
      <c r="T1059" s="64"/>
      <c r="U1059" s="64"/>
    </row>
    <row r="1060" spans="1:21" s="71" customFormat="1" hidden="1">
      <c r="A1060" s="64"/>
      <c r="B1060" s="884"/>
      <c r="C1060" s="128"/>
      <c r="D1060" s="128"/>
      <c r="E1060" s="128"/>
      <c r="N1060" s="884"/>
      <c r="P1060" s="885"/>
      <c r="R1060" s="64"/>
      <c r="S1060" s="64"/>
      <c r="T1060" s="64"/>
      <c r="U1060" s="64"/>
    </row>
    <row r="1061" spans="1:21" s="71" customFormat="1" hidden="1">
      <c r="A1061" s="64"/>
      <c r="B1061" s="884"/>
      <c r="C1061" s="128"/>
      <c r="D1061" s="128"/>
      <c r="E1061" s="128"/>
      <c r="N1061" s="884"/>
      <c r="P1061" s="885"/>
      <c r="R1061" s="64"/>
      <c r="S1061" s="64"/>
      <c r="T1061" s="64"/>
      <c r="U1061" s="64"/>
    </row>
    <row r="1062" spans="1:21" s="71" customFormat="1" hidden="1">
      <c r="A1062" s="64"/>
      <c r="B1062" s="884"/>
      <c r="C1062" s="128"/>
      <c r="D1062" s="128"/>
      <c r="E1062" s="128"/>
      <c r="N1062" s="884"/>
      <c r="P1062" s="885"/>
      <c r="R1062" s="64"/>
      <c r="S1062" s="64"/>
      <c r="T1062" s="64"/>
      <c r="U1062" s="64"/>
    </row>
    <row r="1063" spans="1:21" s="71" customFormat="1" hidden="1">
      <c r="A1063" s="64"/>
      <c r="B1063" s="884"/>
      <c r="C1063" s="128"/>
      <c r="D1063" s="128"/>
      <c r="E1063" s="128"/>
      <c r="N1063" s="884"/>
      <c r="P1063" s="885"/>
      <c r="R1063" s="64"/>
      <c r="S1063" s="64"/>
      <c r="T1063" s="64"/>
      <c r="U1063" s="64"/>
    </row>
    <row r="1064" spans="1:21" s="71" customFormat="1" hidden="1">
      <c r="A1064" s="64"/>
      <c r="B1064" s="884"/>
      <c r="C1064" s="128"/>
      <c r="D1064" s="128"/>
      <c r="E1064" s="128"/>
      <c r="N1064" s="884"/>
      <c r="P1064" s="885"/>
      <c r="R1064" s="64"/>
      <c r="S1064" s="64"/>
      <c r="T1064" s="64"/>
      <c r="U1064" s="64"/>
    </row>
    <row r="1065" spans="1:21" s="71" customFormat="1" hidden="1">
      <c r="A1065" s="64"/>
      <c r="B1065" s="884"/>
      <c r="C1065" s="128"/>
      <c r="D1065" s="128"/>
      <c r="E1065" s="128"/>
      <c r="N1065" s="884"/>
      <c r="P1065" s="885"/>
      <c r="R1065" s="64"/>
      <c r="S1065" s="64"/>
      <c r="T1065" s="64"/>
      <c r="U1065" s="64"/>
    </row>
    <row r="1066" spans="1:21" s="71" customFormat="1" hidden="1">
      <c r="A1066" s="64"/>
      <c r="B1066" s="884"/>
      <c r="C1066" s="128"/>
      <c r="D1066" s="128"/>
      <c r="E1066" s="128"/>
      <c r="N1066" s="884"/>
      <c r="P1066" s="885"/>
      <c r="R1066" s="64"/>
      <c r="S1066" s="64"/>
      <c r="T1066" s="64"/>
      <c r="U1066" s="64"/>
    </row>
    <row r="1067" spans="1:21" s="71" customFormat="1" hidden="1">
      <c r="A1067" s="64"/>
      <c r="B1067" s="884"/>
      <c r="C1067" s="128"/>
      <c r="D1067" s="128"/>
      <c r="E1067" s="128"/>
      <c r="N1067" s="884"/>
      <c r="P1067" s="885"/>
      <c r="R1067" s="64"/>
      <c r="S1067" s="64"/>
      <c r="T1067" s="64"/>
      <c r="U1067" s="64"/>
    </row>
    <row r="1068" spans="1:21" s="71" customFormat="1" hidden="1">
      <c r="A1068" s="64"/>
      <c r="B1068" s="884"/>
      <c r="C1068" s="128"/>
      <c r="D1068" s="128"/>
      <c r="E1068" s="128"/>
      <c r="N1068" s="884"/>
      <c r="P1068" s="885"/>
      <c r="R1068" s="64"/>
      <c r="S1068" s="64"/>
      <c r="T1068" s="64"/>
      <c r="U1068" s="64"/>
    </row>
    <row r="1069" spans="1:21" s="71" customFormat="1" hidden="1">
      <c r="A1069" s="64"/>
      <c r="B1069" s="884"/>
      <c r="C1069" s="128"/>
      <c r="D1069" s="128"/>
      <c r="E1069" s="128"/>
      <c r="N1069" s="884"/>
      <c r="P1069" s="885"/>
      <c r="R1069" s="64"/>
      <c r="S1069" s="64"/>
      <c r="T1069" s="64"/>
      <c r="U1069" s="64"/>
    </row>
    <row r="1070" spans="1:21" s="71" customFormat="1" hidden="1">
      <c r="A1070" s="64"/>
      <c r="B1070" s="884"/>
      <c r="C1070" s="128"/>
      <c r="D1070" s="128"/>
      <c r="E1070" s="128"/>
      <c r="N1070" s="884"/>
      <c r="P1070" s="885"/>
      <c r="R1070" s="64"/>
      <c r="S1070" s="64"/>
      <c r="T1070" s="64"/>
      <c r="U1070" s="64"/>
    </row>
    <row r="1071" spans="1:21" s="71" customFormat="1" hidden="1">
      <c r="A1071" s="64"/>
      <c r="B1071" s="884"/>
      <c r="C1071" s="128"/>
      <c r="D1071" s="128"/>
      <c r="E1071" s="128"/>
      <c r="N1071" s="884"/>
      <c r="P1071" s="885"/>
      <c r="R1071" s="64"/>
      <c r="S1071" s="64"/>
      <c r="T1071" s="64"/>
      <c r="U1071" s="64"/>
    </row>
    <row r="1072" spans="1:21" s="71" customFormat="1" hidden="1">
      <c r="A1072" s="64"/>
      <c r="B1072" s="884"/>
      <c r="C1072" s="128"/>
      <c r="D1072" s="128"/>
      <c r="E1072" s="128"/>
      <c r="N1072" s="884"/>
      <c r="P1072" s="885"/>
      <c r="R1072" s="64"/>
      <c r="S1072" s="64"/>
      <c r="T1072" s="64"/>
      <c r="U1072" s="64"/>
    </row>
    <row r="1073" spans="1:21" s="71" customFormat="1" hidden="1">
      <c r="A1073" s="64"/>
      <c r="B1073" s="884"/>
      <c r="C1073" s="128"/>
      <c r="D1073" s="128"/>
      <c r="E1073" s="128"/>
      <c r="N1073" s="884"/>
      <c r="P1073" s="885"/>
      <c r="R1073" s="64"/>
      <c r="S1073" s="64"/>
      <c r="T1073" s="64"/>
      <c r="U1073" s="64"/>
    </row>
    <row r="1074" spans="1:21" s="71" customFormat="1" hidden="1">
      <c r="A1074" s="64"/>
      <c r="B1074" s="884"/>
      <c r="C1074" s="128"/>
      <c r="D1074" s="128"/>
      <c r="E1074" s="128"/>
      <c r="N1074" s="884"/>
      <c r="P1074" s="885"/>
      <c r="R1074" s="64"/>
      <c r="S1074" s="64"/>
      <c r="T1074" s="64"/>
      <c r="U1074" s="64"/>
    </row>
    <row r="1075" spans="1:21" s="71" customFormat="1" hidden="1">
      <c r="A1075" s="64"/>
      <c r="B1075" s="884"/>
      <c r="C1075" s="128"/>
      <c r="D1075" s="128"/>
      <c r="E1075" s="128"/>
      <c r="N1075" s="884"/>
      <c r="P1075" s="885"/>
      <c r="R1075" s="64"/>
      <c r="S1075" s="64"/>
      <c r="T1075" s="64"/>
      <c r="U1075" s="64"/>
    </row>
    <row r="1076" spans="1:21" s="71" customFormat="1" hidden="1">
      <c r="A1076" s="64"/>
      <c r="B1076" s="884"/>
      <c r="C1076" s="128"/>
      <c r="D1076" s="128"/>
      <c r="E1076" s="128"/>
      <c r="N1076" s="884"/>
      <c r="P1076" s="885"/>
      <c r="R1076" s="64"/>
      <c r="S1076" s="64"/>
      <c r="T1076" s="64"/>
      <c r="U1076" s="64"/>
    </row>
    <row r="1077" spans="1:21" s="71" customFormat="1" hidden="1">
      <c r="A1077" s="64"/>
      <c r="B1077" s="884"/>
      <c r="C1077" s="128"/>
      <c r="D1077" s="128"/>
      <c r="E1077" s="128"/>
      <c r="N1077" s="884"/>
      <c r="P1077" s="885"/>
      <c r="R1077" s="64"/>
      <c r="S1077" s="64"/>
      <c r="T1077" s="64"/>
      <c r="U1077" s="64"/>
    </row>
    <row r="1078" spans="1:21" s="71" customFormat="1" hidden="1">
      <c r="A1078" s="64"/>
      <c r="B1078" s="884"/>
      <c r="C1078" s="128"/>
      <c r="D1078" s="128"/>
      <c r="E1078" s="128"/>
      <c r="N1078" s="884"/>
      <c r="P1078" s="885"/>
      <c r="R1078" s="64"/>
      <c r="S1078" s="64"/>
      <c r="T1078" s="64"/>
      <c r="U1078" s="64"/>
    </row>
    <row r="1079" spans="1:21" s="71" customFormat="1" hidden="1">
      <c r="A1079" s="64"/>
      <c r="B1079" s="884"/>
      <c r="C1079" s="128"/>
      <c r="D1079" s="128"/>
      <c r="E1079" s="128"/>
      <c r="N1079" s="884"/>
      <c r="P1079" s="885"/>
      <c r="R1079" s="64"/>
      <c r="S1079" s="64"/>
      <c r="T1079" s="64"/>
      <c r="U1079" s="64"/>
    </row>
    <row r="1080" spans="1:21" s="71" customFormat="1" hidden="1">
      <c r="A1080" s="64"/>
      <c r="B1080" s="884"/>
      <c r="C1080" s="128"/>
      <c r="D1080" s="128"/>
      <c r="E1080" s="128"/>
      <c r="N1080" s="884"/>
      <c r="P1080" s="885"/>
      <c r="R1080" s="64"/>
      <c r="S1080" s="64"/>
      <c r="T1080" s="64"/>
      <c r="U1080" s="64"/>
    </row>
    <row r="1081" spans="1:21" s="71" customFormat="1" hidden="1">
      <c r="A1081" s="64"/>
      <c r="B1081" s="884"/>
      <c r="C1081" s="128"/>
      <c r="D1081" s="128"/>
      <c r="E1081" s="128"/>
      <c r="N1081" s="884"/>
      <c r="P1081" s="885"/>
      <c r="R1081" s="64"/>
      <c r="S1081" s="64"/>
      <c r="T1081" s="64"/>
      <c r="U1081" s="64"/>
    </row>
    <row r="1082" spans="1:21" s="71" customFormat="1" hidden="1">
      <c r="A1082" s="64"/>
      <c r="B1082" s="884"/>
      <c r="C1082" s="128"/>
      <c r="D1082" s="128"/>
      <c r="E1082" s="128"/>
      <c r="N1082" s="884"/>
      <c r="P1082" s="885"/>
      <c r="R1082" s="64"/>
      <c r="S1082" s="64"/>
      <c r="T1082" s="64"/>
      <c r="U1082" s="64"/>
    </row>
    <row r="1083" spans="1:21" s="71" customFormat="1" hidden="1">
      <c r="A1083" s="64"/>
      <c r="B1083" s="884"/>
      <c r="C1083" s="128"/>
      <c r="D1083" s="128"/>
      <c r="E1083" s="128"/>
      <c r="N1083" s="884"/>
      <c r="P1083" s="885"/>
      <c r="R1083" s="64"/>
      <c r="S1083" s="64"/>
      <c r="T1083" s="64"/>
      <c r="U1083" s="64"/>
    </row>
    <row r="1084" spans="1:21" s="71" customFormat="1" hidden="1">
      <c r="A1084" s="64"/>
      <c r="B1084" s="884"/>
      <c r="C1084" s="128"/>
      <c r="D1084" s="128"/>
      <c r="E1084" s="128"/>
      <c r="N1084" s="884"/>
      <c r="P1084" s="885"/>
      <c r="R1084" s="64"/>
      <c r="S1084" s="64"/>
      <c r="T1084" s="64"/>
      <c r="U1084" s="64"/>
    </row>
    <row r="1085" spans="1:21" s="71" customFormat="1" hidden="1">
      <c r="A1085" s="64"/>
      <c r="B1085" s="884"/>
      <c r="C1085" s="128"/>
      <c r="D1085" s="128"/>
      <c r="E1085" s="128"/>
      <c r="N1085" s="884"/>
      <c r="P1085" s="885"/>
      <c r="R1085" s="64"/>
      <c r="S1085" s="64"/>
      <c r="T1085" s="64"/>
      <c r="U1085" s="64"/>
    </row>
    <row r="1086" spans="1:21" s="71" customFormat="1" hidden="1">
      <c r="A1086" s="64"/>
      <c r="B1086" s="884"/>
      <c r="C1086" s="128"/>
      <c r="D1086" s="128"/>
      <c r="E1086" s="128"/>
      <c r="N1086" s="884"/>
      <c r="P1086" s="885"/>
      <c r="R1086" s="64"/>
      <c r="S1086" s="64"/>
      <c r="T1086" s="64"/>
      <c r="U1086" s="64"/>
    </row>
    <row r="1087" spans="1:21" s="71" customFormat="1" hidden="1">
      <c r="A1087" s="64"/>
      <c r="B1087" s="884"/>
      <c r="C1087" s="128"/>
      <c r="D1087" s="128"/>
      <c r="E1087" s="128"/>
      <c r="N1087" s="884"/>
      <c r="P1087" s="885"/>
      <c r="R1087" s="64"/>
      <c r="S1087" s="64"/>
      <c r="T1087" s="64"/>
      <c r="U1087" s="64"/>
    </row>
    <row r="1088" spans="1:21" s="71" customFormat="1" hidden="1">
      <c r="A1088" s="64"/>
      <c r="B1088" s="884"/>
      <c r="C1088" s="128"/>
      <c r="D1088" s="128"/>
      <c r="E1088" s="128"/>
      <c r="N1088" s="884"/>
      <c r="P1088" s="885"/>
      <c r="R1088" s="64"/>
      <c r="S1088" s="64"/>
      <c r="T1088" s="64"/>
      <c r="U1088" s="64"/>
    </row>
    <row r="1089" spans="1:21" s="71" customFormat="1" hidden="1">
      <c r="A1089" s="64"/>
      <c r="B1089" s="884"/>
      <c r="C1089" s="128"/>
      <c r="D1089" s="128"/>
      <c r="E1089" s="128"/>
      <c r="N1089" s="884"/>
      <c r="P1089" s="885"/>
      <c r="R1089" s="64"/>
      <c r="S1089" s="64"/>
      <c r="T1089" s="64"/>
      <c r="U1089" s="64"/>
    </row>
    <row r="1090" spans="1:21" s="71" customFormat="1" hidden="1">
      <c r="A1090" s="64"/>
      <c r="B1090" s="884"/>
      <c r="C1090" s="128"/>
      <c r="D1090" s="128"/>
      <c r="E1090" s="128"/>
      <c r="N1090" s="884"/>
      <c r="P1090" s="885"/>
      <c r="R1090" s="64"/>
      <c r="S1090" s="64"/>
      <c r="T1090" s="64"/>
      <c r="U1090" s="64"/>
    </row>
    <row r="1091" spans="1:21" s="71" customFormat="1" hidden="1">
      <c r="A1091" s="64"/>
      <c r="B1091" s="884"/>
      <c r="C1091" s="128"/>
      <c r="D1091" s="128"/>
      <c r="E1091" s="128"/>
      <c r="N1091" s="884"/>
      <c r="P1091" s="885"/>
      <c r="R1091" s="64"/>
      <c r="S1091" s="64"/>
      <c r="T1091" s="64"/>
      <c r="U1091" s="64"/>
    </row>
    <row r="1092" spans="1:21" s="71" customFormat="1" hidden="1">
      <c r="A1092" s="64"/>
      <c r="B1092" s="884"/>
      <c r="C1092" s="128"/>
      <c r="D1092" s="128"/>
      <c r="E1092" s="128"/>
      <c r="N1092" s="884"/>
      <c r="P1092" s="885"/>
      <c r="R1092" s="64"/>
      <c r="S1092" s="64"/>
      <c r="T1092" s="64"/>
      <c r="U1092" s="64"/>
    </row>
    <row r="1093" spans="1:21" s="71" customFormat="1" hidden="1">
      <c r="A1093" s="64"/>
      <c r="B1093" s="884"/>
      <c r="C1093" s="128"/>
      <c r="D1093" s="128"/>
      <c r="E1093" s="128"/>
      <c r="N1093" s="884"/>
      <c r="P1093" s="885"/>
      <c r="R1093" s="64"/>
      <c r="S1093" s="64"/>
      <c r="T1093" s="64"/>
      <c r="U1093" s="64"/>
    </row>
    <row r="1094" spans="1:21" s="71" customFormat="1" hidden="1">
      <c r="A1094" s="64"/>
      <c r="B1094" s="884"/>
      <c r="C1094" s="128"/>
      <c r="D1094" s="128"/>
      <c r="E1094" s="128"/>
      <c r="N1094" s="884"/>
      <c r="P1094" s="885"/>
      <c r="R1094" s="64"/>
      <c r="S1094" s="64"/>
      <c r="T1094" s="64"/>
      <c r="U1094" s="64"/>
    </row>
    <row r="1095" spans="1:21" s="71" customFormat="1" hidden="1">
      <c r="A1095" s="64"/>
      <c r="B1095" s="884"/>
      <c r="C1095" s="128"/>
      <c r="D1095" s="128"/>
      <c r="E1095" s="128"/>
      <c r="N1095" s="884"/>
      <c r="P1095" s="885"/>
      <c r="R1095" s="64"/>
      <c r="S1095" s="64"/>
      <c r="T1095" s="64"/>
      <c r="U1095" s="64"/>
    </row>
    <row r="1096" spans="1:21" s="71" customFormat="1" hidden="1">
      <c r="A1096" s="64"/>
      <c r="B1096" s="884"/>
      <c r="C1096" s="128"/>
      <c r="D1096" s="128"/>
      <c r="E1096" s="128"/>
      <c r="N1096" s="884"/>
      <c r="P1096" s="885"/>
      <c r="R1096" s="64"/>
      <c r="S1096" s="64"/>
      <c r="T1096" s="64"/>
      <c r="U1096" s="64"/>
    </row>
    <row r="1097" spans="1:21" s="71" customFormat="1" hidden="1">
      <c r="A1097" s="64"/>
      <c r="B1097" s="884"/>
      <c r="C1097" s="128"/>
      <c r="D1097" s="128"/>
      <c r="E1097" s="128"/>
      <c r="N1097" s="884"/>
      <c r="P1097" s="885"/>
      <c r="R1097" s="64"/>
      <c r="S1097" s="64"/>
      <c r="T1097" s="64"/>
      <c r="U1097" s="64"/>
    </row>
    <row r="1098" spans="1:21" s="71" customFormat="1" hidden="1">
      <c r="A1098" s="64"/>
      <c r="B1098" s="884"/>
      <c r="C1098" s="128"/>
      <c r="D1098" s="128"/>
      <c r="E1098" s="128"/>
      <c r="N1098" s="884"/>
      <c r="P1098" s="885"/>
      <c r="R1098" s="64"/>
      <c r="S1098" s="64"/>
      <c r="T1098" s="64"/>
      <c r="U1098" s="64"/>
    </row>
    <row r="1099" spans="1:21" s="71" customFormat="1" hidden="1">
      <c r="A1099" s="64"/>
      <c r="B1099" s="884"/>
      <c r="C1099" s="128"/>
      <c r="D1099" s="128"/>
      <c r="E1099" s="128"/>
      <c r="N1099" s="884"/>
      <c r="P1099" s="885"/>
      <c r="R1099" s="64"/>
      <c r="S1099" s="64"/>
      <c r="T1099" s="64"/>
      <c r="U1099" s="64"/>
    </row>
    <row r="1100" spans="1:21" s="71" customFormat="1" hidden="1">
      <c r="A1100" s="64"/>
      <c r="B1100" s="884"/>
      <c r="C1100" s="128"/>
      <c r="D1100" s="128"/>
      <c r="E1100" s="128"/>
      <c r="N1100" s="884"/>
      <c r="P1100" s="885"/>
      <c r="R1100" s="64"/>
      <c r="S1100" s="64"/>
      <c r="T1100" s="64"/>
      <c r="U1100" s="64"/>
    </row>
    <row r="1101" spans="1:21" s="71" customFormat="1" hidden="1">
      <c r="A1101" s="64"/>
      <c r="B1101" s="884"/>
      <c r="C1101" s="128"/>
      <c r="D1101" s="128"/>
      <c r="E1101" s="128"/>
      <c r="N1101" s="884"/>
      <c r="P1101" s="885"/>
      <c r="R1101" s="64"/>
      <c r="S1101" s="64"/>
      <c r="T1101" s="64"/>
      <c r="U1101" s="64"/>
    </row>
    <row r="1102" spans="1:21" s="71" customFormat="1" hidden="1">
      <c r="A1102" s="64"/>
      <c r="B1102" s="884"/>
      <c r="C1102" s="128"/>
      <c r="D1102" s="128"/>
      <c r="E1102" s="128"/>
      <c r="N1102" s="884"/>
      <c r="P1102" s="885"/>
      <c r="R1102" s="64"/>
      <c r="S1102" s="64"/>
      <c r="T1102" s="64"/>
      <c r="U1102" s="64"/>
    </row>
    <row r="1103" spans="1:21" s="71" customFormat="1" hidden="1">
      <c r="A1103" s="64"/>
      <c r="B1103" s="884"/>
      <c r="C1103" s="128"/>
      <c r="D1103" s="128"/>
      <c r="E1103" s="128"/>
      <c r="N1103" s="884"/>
      <c r="P1103" s="885"/>
      <c r="R1103" s="64"/>
      <c r="S1103" s="64"/>
      <c r="T1103" s="64"/>
      <c r="U1103" s="64"/>
    </row>
    <row r="1104" spans="1:21" s="71" customFormat="1" hidden="1">
      <c r="A1104" s="64"/>
      <c r="B1104" s="884"/>
      <c r="C1104" s="128"/>
      <c r="D1104" s="128"/>
      <c r="E1104" s="128"/>
      <c r="N1104" s="884"/>
      <c r="P1104" s="885"/>
      <c r="R1104" s="64"/>
      <c r="S1104" s="64"/>
      <c r="T1104" s="64"/>
      <c r="U1104" s="64"/>
    </row>
    <row r="1105" spans="1:21" s="71" customFormat="1" hidden="1">
      <c r="A1105" s="64"/>
      <c r="B1105" s="884"/>
      <c r="C1105" s="128"/>
      <c r="D1105" s="128"/>
      <c r="E1105" s="128"/>
      <c r="N1105" s="884"/>
      <c r="P1105" s="885"/>
      <c r="R1105" s="64"/>
      <c r="S1105" s="64"/>
      <c r="T1105" s="64"/>
      <c r="U1105" s="64"/>
    </row>
    <row r="1106" spans="1:21" s="71" customFormat="1" hidden="1">
      <c r="A1106" s="64"/>
      <c r="B1106" s="884"/>
      <c r="C1106" s="128"/>
      <c r="D1106" s="128"/>
      <c r="E1106" s="128"/>
      <c r="N1106" s="884"/>
      <c r="P1106" s="885"/>
      <c r="R1106" s="64"/>
      <c r="S1106" s="64"/>
      <c r="T1106" s="64"/>
      <c r="U1106" s="64"/>
    </row>
    <row r="1107" spans="1:21" s="71" customFormat="1" hidden="1">
      <c r="A1107" s="64"/>
      <c r="B1107" s="884"/>
      <c r="C1107" s="128"/>
      <c r="D1107" s="128"/>
      <c r="E1107" s="128"/>
      <c r="N1107" s="884"/>
      <c r="P1107" s="885"/>
      <c r="R1107" s="64"/>
      <c r="S1107" s="64"/>
      <c r="T1107" s="64"/>
      <c r="U1107" s="64"/>
    </row>
    <row r="1108" spans="1:21" s="71" customFormat="1" hidden="1">
      <c r="A1108" s="64"/>
      <c r="B1108" s="884"/>
      <c r="C1108" s="128"/>
      <c r="D1108" s="128"/>
      <c r="E1108" s="128"/>
      <c r="N1108" s="884"/>
      <c r="P1108" s="885"/>
      <c r="R1108" s="64"/>
      <c r="S1108" s="64"/>
      <c r="T1108" s="64"/>
      <c r="U1108" s="64"/>
    </row>
    <row r="1109" spans="1:21" s="71" customFormat="1" hidden="1">
      <c r="A1109" s="64"/>
      <c r="B1109" s="884"/>
      <c r="C1109" s="128"/>
      <c r="D1109" s="128"/>
      <c r="E1109" s="128"/>
      <c r="N1109" s="884"/>
      <c r="P1109" s="885"/>
      <c r="R1109" s="64"/>
      <c r="S1109" s="64"/>
      <c r="T1109" s="64"/>
      <c r="U1109" s="64"/>
    </row>
    <row r="1110" spans="1:21" s="71" customFormat="1" hidden="1">
      <c r="A1110" s="64"/>
      <c r="B1110" s="884"/>
      <c r="C1110" s="128"/>
      <c r="D1110" s="128"/>
      <c r="E1110" s="128"/>
      <c r="N1110" s="884"/>
      <c r="P1110" s="885"/>
      <c r="R1110" s="64"/>
      <c r="S1110" s="64"/>
      <c r="T1110" s="64"/>
      <c r="U1110" s="64"/>
    </row>
    <row r="1111" spans="1:21" s="71" customFormat="1" hidden="1">
      <c r="A1111" s="64"/>
      <c r="B1111" s="884"/>
      <c r="C1111" s="128"/>
      <c r="D1111" s="128"/>
      <c r="E1111" s="128"/>
      <c r="N1111" s="884"/>
      <c r="P1111" s="885"/>
      <c r="R1111" s="64"/>
      <c r="S1111" s="64"/>
      <c r="T1111" s="64"/>
      <c r="U1111" s="64"/>
    </row>
    <row r="1112" spans="1:21" s="71" customFormat="1" hidden="1">
      <c r="A1112" s="64"/>
      <c r="B1112" s="884"/>
      <c r="C1112" s="128"/>
      <c r="D1112" s="128"/>
      <c r="E1112" s="128"/>
      <c r="N1112" s="884"/>
      <c r="P1112" s="885"/>
      <c r="R1112" s="64"/>
      <c r="S1112" s="64"/>
      <c r="T1112" s="64"/>
      <c r="U1112" s="64"/>
    </row>
    <row r="1113" spans="1:21" s="71" customFormat="1" hidden="1">
      <c r="A1113" s="64"/>
      <c r="B1113" s="884"/>
      <c r="C1113" s="128"/>
      <c r="D1113" s="128"/>
      <c r="E1113" s="128"/>
      <c r="N1113" s="884"/>
      <c r="P1113" s="885"/>
      <c r="R1113" s="64"/>
      <c r="S1113" s="64"/>
      <c r="T1113" s="64"/>
      <c r="U1113" s="64"/>
    </row>
    <row r="1114" spans="1:21" s="71" customFormat="1" hidden="1">
      <c r="A1114" s="64"/>
      <c r="B1114" s="884"/>
      <c r="C1114" s="128"/>
      <c r="D1114" s="128"/>
      <c r="E1114" s="128"/>
      <c r="N1114" s="884"/>
      <c r="P1114" s="885"/>
      <c r="R1114" s="64"/>
      <c r="S1114" s="64"/>
      <c r="T1114" s="64"/>
      <c r="U1114" s="64"/>
    </row>
    <row r="1115" spans="1:21" s="71" customFormat="1" hidden="1">
      <c r="A1115" s="64"/>
      <c r="B1115" s="884"/>
      <c r="C1115" s="128"/>
      <c r="D1115" s="128"/>
      <c r="E1115" s="128"/>
      <c r="N1115" s="884"/>
      <c r="P1115" s="885"/>
      <c r="R1115" s="64"/>
      <c r="S1115" s="64"/>
      <c r="T1115" s="64"/>
      <c r="U1115" s="64"/>
    </row>
    <row r="1116" spans="1:21" s="71" customFormat="1" hidden="1">
      <c r="A1116" s="64"/>
      <c r="B1116" s="884"/>
      <c r="C1116" s="128"/>
      <c r="D1116" s="128"/>
      <c r="E1116" s="128"/>
      <c r="N1116" s="884"/>
      <c r="P1116" s="885"/>
      <c r="R1116" s="64"/>
      <c r="S1116" s="64"/>
      <c r="T1116" s="64"/>
      <c r="U1116" s="64"/>
    </row>
    <row r="1117" spans="1:21" s="71" customFormat="1" hidden="1">
      <c r="A1117" s="64"/>
      <c r="B1117" s="884"/>
      <c r="C1117" s="128"/>
      <c r="D1117" s="128"/>
      <c r="E1117" s="128"/>
      <c r="N1117" s="884"/>
      <c r="P1117" s="885"/>
      <c r="R1117" s="64"/>
      <c r="S1117" s="64"/>
      <c r="T1117" s="64"/>
      <c r="U1117" s="64"/>
    </row>
    <row r="1118" spans="1:21" s="71" customFormat="1" hidden="1">
      <c r="A1118" s="64"/>
      <c r="B1118" s="884"/>
      <c r="C1118" s="128"/>
      <c r="D1118" s="128"/>
      <c r="E1118" s="128"/>
      <c r="N1118" s="884"/>
      <c r="P1118" s="885"/>
      <c r="R1118" s="64"/>
      <c r="S1118" s="64"/>
      <c r="T1118" s="64"/>
      <c r="U1118" s="64"/>
    </row>
    <row r="1119" spans="1:21" s="71" customFormat="1" hidden="1">
      <c r="A1119" s="64"/>
      <c r="B1119" s="884"/>
      <c r="C1119" s="128"/>
      <c r="D1119" s="128"/>
      <c r="E1119" s="128"/>
      <c r="N1119" s="884"/>
      <c r="P1119" s="885"/>
      <c r="R1119" s="64"/>
      <c r="S1119" s="64"/>
      <c r="T1119" s="64"/>
      <c r="U1119" s="64"/>
    </row>
    <row r="1120" spans="1:21" s="71" customFormat="1" hidden="1">
      <c r="A1120" s="64"/>
      <c r="B1120" s="884"/>
      <c r="C1120" s="128"/>
      <c r="D1120" s="128"/>
      <c r="E1120" s="128"/>
      <c r="N1120" s="884"/>
      <c r="P1120" s="885"/>
      <c r="R1120" s="64"/>
      <c r="S1120" s="64"/>
      <c r="T1120" s="64"/>
      <c r="U1120" s="64"/>
    </row>
    <row r="1121" spans="1:21" s="71" customFormat="1" hidden="1">
      <c r="A1121" s="64"/>
      <c r="B1121" s="884"/>
      <c r="C1121" s="128"/>
      <c r="D1121" s="128"/>
      <c r="E1121" s="128"/>
      <c r="N1121" s="884"/>
      <c r="P1121" s="885"/>
      <c r="R1121" s="64"/>
      <c r="S1121" s="64"/>
      <c r="T1121" s="64"/>
      <c r="U1121" s="64"/>
    </row>
    <row r="1122" spans="1:21" s="71" customFormat="1" hidden="1">
      <c r="A1122" s="64"/>
      <c r="B1122" s="884"/>
      <c r="C1122" s="128"/>
      <c r="D1122" s="128"/>
      <c r="E1122" s="128"/>
      <c r="N1122" s="884"/>
      <c r="P1122" s="885"/>
      <c r="R1122" s="64"/>
      <c r="S1122" s="64"/>
      <c r="T1122" s="64"/>
      <c r="U1122" s="64"/>
    </row>
    <row r="1123" spans="1:21" s="71" customFormat="1" hidden="1">
      <c r="A1123" s="64"/>
      <c r="B1123" s="884"/>
      <c r="C1123" s="128"/>
      <c r="D1123" s="128"/>
      <c r="E1123" s="128"/>
      <c r="N1123" s="884"/>
      <c r="P1123" s="885"/>
      <c r="R1123" s="64"/>
      <c r="S1123" s="64"/>
      <c r="T1123" s="64"/>
      <c r="U1123" s="64"/>
    </row>
    <row r="1124" spans="1:21" s="71" customFormat="1" hidden="1">
      <c r="A1124" s="64"/>
      <c r="B1124" s="884"/>
      <c r="C1124" s="128"/>
      <c r="D1124" s="128"/>
      <c r="E1124" s="128"/>
      <c r="N1124" s="884"/>
      <c r="P1124" s="885"/>
      <c r="R1124" s="64"/>
      <c r="S1124" s="64"/>
      <c r="T1124" s="64"/>
      <c r="U1124" s="64"/>
    </row>
    <row r="1125" spans="1:21" s="71" customFormat="1" hidden="1">
      <c r="A1125" s="64"/>
      <c r="B1125" s="884"/>
      <c r="C1125" s="128"/>
      <c r="D1125" s="128"/>
      <c r="E1125" s="128"/>
      <c r="N1125" s="884"/>
      <c r="P1125" s="885"/>
      <c r="R1125" s="64"/>
      <c r="S1125" s="64"/>
      <c r="T1125" s="64"/>
      <c r="U1125" s="64"/>
    </row>
    <row r="1126" spans="1:21" s="71" customFormat="1" hidden="1">
      <c r="A1126" s="64"/>
      <c r="B1126" s="884"/>
      <c r="C1126" s="128"/>
      <c r="D1126" s="128"/>
      <c r="E1126" s="128"/>
      <c r="N1126" s="884"/>
      <c r="P1126" s="885"/>
      <c r="R1126" s="64"/>
      <c r="S1126" s="64"/>
      <c r="T1126" s="64"/>
      <c r="U1126" s="64"/>
    </row>
    <row r="1127" spans="1:21" s="71" customFormat="1" hidden="1">
      <c r="A1127" s="64"/>
      <c r="B1127" s="884"/>
      <c r="C1127" s="128"/>
      <c r="D1127" s="128"/>
      <c r="E1127" s="128"/>
      <c r="N1127" s="884"/>
      <c r="P1127" s="885"/>
      <c r="R1127" s="64"/>
      <c r="S1127" s="64"/>
      <c r="T1127" s="64"/>
      <c r="U1127" s="64"/>
    </row>
    <row r="1128" spans="1:21" s="71" customFormat="1" hidden="1">
      <c r="A1128" s="64"/>
      <c r="B1128" s="884"/>
      <c r="C1128" s="128"/>
      <c r="D1128" s="128"/>
      <c r="E1128" s="128"/>
      <c r="N1128" s="884"/>
      <c r="P1128" s="885"/>
      <c r="R1128" s="64"/>
      <c r="S1128" s="64"/>
      <c r="T1128" s="64"/>
      <c r="U1128" s="64"/>
    </row>
    <row r="1129" spans="1:21" s="71" customFormat="1" hidden="1">
      <c r="A1129" s="64"/>
      <c r="B1129" s="884"/>
      <c r="C1129" s="128"/>
      <c r="D1129" s="128"/>
      <c r="E1129" s="128"/>
      <c r="N1129" s="884"/>
      <c r="P1129" s="885"/>
      <c r="R1129" s="64"/>
      <c r="S1129" s="64"/>
      <c r="T1129" s="64"/>
      <c r="U1129" s="64"/>
    </row>
    <row r="1130" spans="1:21" s="71" customFormat="1" hidden="1">
      <c r="A1130" s="64"/>
      <c r="B1130" s="884"/>
      <c r="C1130" s="128"/>
      <c r="D1130" s="128"/>
      <c r="E1130" s="128"/>
      <c r="N1130" s="884"/>
      <c r="P1130" s="885"/>
      <c r="R1130" s="64"/>
      <c r="S1130" s="64"/>
      <c r="T1130" s="64"/>
      <c r="U1130" s="64"/>
    </row>
    <row r="1131" spans="1:21" s="71" customFormat="1" hidden="1">
      <c r="A1131" s="64"/>
      <c r="B1131" s="884"/>
      <c r="C1131" s="128"/>
      <c r="D1131" s="128"/>
      <c r="E1131" s="128"/>
      <c r="N1131" s="884"/>
      <c r="P1131" s="885"/>
      <c r="R1131" s="64"/>
      <c r="S1131" s="64"/>
      <c r="T1131" s="64"/>
      <c r="U1131" s="64"/>
    </row>
    <row r="1132" spans="1:21" s="71" customFormat="1" hidden="1">
      <c r="A1132" s="64"/>
      <c r="B1132" s="884"/>
      <c r="C1132" s="128"/>
      <c r="D1132" s="128"/>
      <c r="E1132" s="128"/>
      <c r="N1132" s="884"/>
      <c r="P1132" s="885"/>
      <c r="R1132" s="64"/>
      <c r="S1132" s="64"/>
      <c r="T1132" s="64"/>
      <c r="U1132" s="64"/>
    </row>
    <row r="1133" spans="1:21" s="71" customFormat="1" hidden="1">
      <c r="A1133" s="64"/>
      <c r="B1133" s="884"/>
      <c r="C1133" s="128"/>
      <c r="D1133" s="128"/>
      <c r="E1133" s="128"/>
      <c r="N1133" s="884"/>
      <c r="P1133" s="885"/>
      <c r="R1133" s="64"/>
      <c r="S1133" s="64"/>
      <c r="T1133" s="64"/>
      <c r="U1133" s="64"/>
    </row>
    <row r="1134" spans="1:21" s="71" customFormat="1" hidden="1">
      <c r="A1134" s="64"/>
      <c r="B1134" s="884"/>
      <c r="C1134" s="128"/>
      <c r="D1134" s="128"/>
      <c r="E1134" s="128"/>
      <c r="N1134" s="884"/>
      <c r="P1134" s="885"/>
      <c r="R1134" s="64"/>
      <c r="S1134" s="64"/>
      <c r="T1134" s="64"/>
      <c r="U1134" s="64"/>
    </row>
    <row r="1135" spans="1:21" s="71" customFormat="1" hidden="1">
      <c r="A1135" s="64"/>
      <c r="B1135" s="884"/>
      <c r="C1135" s="128"/>
      <c r="D1135" s="128"/>
      <c r="E1135" s="128"/>
      <c r="N1135" s="884"/>
      <c r="P1135" s="885"/>
      <c r="R1135" s="64"/>
      <c r="S1135" s="64"/>
      <c r="T1135" s="64"/>
      <c r="U1135" s="64"/>
    </row>
    <row r="1136" spans="1:21" s="71" customFormat="1" hidden="1">
      <c r="A1136" s="64"/>
      <c r="B1136" s="884"/>
      <c r="C1136" s="128"/>
      <c r="D1136" s="128"/>
      <c r="E1136" s="128"/>
      <c r="N1136" s="884"/>
      <c r="P1136" s="885"/>
      <c r="R1136" s="64"/>
      <c r="S1136" s="64"/>
      <c r="T1136" s="64"/>
      <c r="U1136" s="64"/>
    </row>
    <row r="1137" spans="1:21" s="71" customFormat="1" hidden="1">
      <c r="A1137" s="64"/>
      <c r="B1137" s="884"/>
      <c r="C1137" s="128"/>
      <c r="D1137" s="128"/>
      <c r="E1137" s="128"/>
      <c r="N1137" s="884"/>
      <c r="P1137" s="885"/>
      <c r="R1137" s="64"/>
      <c r="S1137" s="64"/>
      <c r="T1137" s="64"/>
      <c r="U1137" s="64"/>
    </row>
    <row r="1138" spans="1:21" s="71" customFormat="1" hidden="1">
      <c r="A1138" s="64"/>
      <c r="B1138" s="884"/>
      <c r="C1138" s="128"/>
      <c r="D1138" s="128"/>
      <c r="E1138" s="128"/>
      <c r="N1138" s="884"/>
      <c r="P1138" s="885"/>
      <c r="R1138" s="64"/>
      <c r="S1138" s="64"/>
      <c r="T1138" s="64"/>
      <c r="U1138" s="64"/>
    </row>
    <row r="1139" spans="1:21" s="71" customFormat="1" hidden="1">
      <c r="A1139" s="64"/>
      <c r="B1139" s="884"/>
      <c r="C1139" s="128"/>
      <c r="D1139" s="128"/>
      <c r="E1139" s="128"/>
      <c r="N1139" s="884"/>
      <c r="P1139" s="885"/>
      <c r="R1139" s="64"/>
      <c r="S1139" s="64"/>
      <c r="T1139" s="64"/>
      <c r="U1139" s="64"/>
    </row>
    <row r="1140" spans="1:21" s="71" customFormat="1" hidden="1">
      <c r="A1140" s="64"/>
      <c r="B1140" s="884"/>
      <c r="C1140" s="128"/>
      <c r="D1140" s="128"/>
      <c r="E1140" s="128"/>
      <c r="N1140" s="884"/>
      <c r="P1140" s="885"/>
      <c r="R1140" s="64"/>
      <c r="S1140" s="64"/>
      <c r="T1140" s="64"/>
      <c r="U1140" s="64"/>
    </row>
    <row r="1141" spans="1:21" s="71" customFormat="1" hidden="1">
      <c r="A1141" s="64"/>
      <c r="B1141" s="884"/>
      <c r="C1141" s="128"/>
      <c r="D1141" s="128"/>
      <c r="E1141" s="128"/>
      <c r="N1141" s="884"/>
      <c r="P1141" s="885"/>
      <c r="R1141" s="64"/>
      <c r="S1141" s="64"/>
      <c r="T1141" s="64"/>
      <c r="U1141" s="64"/>
    </row>
    <row r="1142" spans="1:21" s="71" customFormat="1" hidden="1">
      <c r="A1142" s="64"/>
      <c r="B1142" s="884"/>
      <c r="C1142" s="128"/>
      <c r="D1142" s="128"/>
      <c r="E1142" s="128"/>
      <c r="N1142" s="884"/>
      <c r="P1142" s="885"/>
      <c r="R1142" s="64"/>
      <c r="S1142" s="64"/>
      <c r="T1142" s="64"/>
      <c r="U1142" s="64"/>
    </row>
    <row r="1143" spans="1:21" s="71" customFormat="1" hidden="1">
      <c r="A1143" s="64"/>
      <c r="B1143" s="884"/>
      <c r="C1143" s="128"/>
      <c r="D1143" s="128"/>
      <c r="E1143" s="128"/>
      <c r="N1143" s="884"/>
      <c r="P1143" s="885"/>
      <c r="R1143" s="64"/>
      <c r="S1143" s="64"/>
      <c r="T1143" s="64"/>
      <c r="U1143" s="64"/>
    </row>
    <row r="1144" spans="1:21" s="71" customFormat="1" hidden="1">
      <c r="A1144" s="64"/>
      <c r="B1144" s="884"/>
      <c r="C1144" s="128"/>
      <c r="D1144" s="128"/>
      <c r="E1144" s="128"/>
      <c r="N1144" s="884"/>
      <c r="P1144" s="885"/>
      <c r="R1144" s="64"/>
      <c r="S1144" s="64"/>
      <c r="T1144" s="64"/>
      <c r="U1144" s="64"/>
    </row>
    <row r="1145" spans="1:21" s="71" customFormat="1" hidden="1">
      <c r="A1145" s="64"/>
      <c r="B1145" s="884"/>
      <c r="C1145" s="128"/>
      <c r="D1145" s="128"/>
      <c r="E1145" s="128"/>
      <c r="N1145" s="884"/>
      <c r="P1145" s="885"/>
      <c r="R1145" s="64"/>
      <c r="S1145" s="64"/>
      <c r="T1145" s="64"/>
      <c r="U1145" s="64"/>
    </row>
    <row r="1146" spans="1:21" s="71" customFormat="1" hidden="1">
      <c r="A1146" s="64"/>
      <c r="B1146" s="884"/>
      <c r="C1146" s="128"/>
      <c r="D1146" s="128"/>
      <c r="E1146" s="128"/>
      <c r="N1146" s="884"/>
      <c r="P1146" s="885"/>
      <c r="R1146" s="64"/>
      <c r="S1146" s="64"/>
      <c r="T1146" s="64"/>
      <c r="U1146" s="64"/>
    </row>
    <row r="1147" spans="1:21" s="71" customFormat="1" hidden="1">
      <c r="A1147" s="64"/>
      <c r="B1147" s="884"/>
      <c r="C1147" s="128"/>
      <c r="D1147" s="128"/>
      <c r="E1147" s="128"/>
      <c r="N1147" s="884"/>
      <c r="P1147" s="885"/>
      <c r="R1147" s="64"/>
      <c r="S1147" s="64"/>
      <c r="T1147" s="64"/>
      <c r="U1147" s="64"/>
    </row>
    <row r="1148" spans="1:21" s="71" customFormat="1" hidden="1">
      <c r="A1148" s="64"/>
      <c r="B1148" s="884"/>
      <c r="C1148" s="128"/>
      <c r="D1148" s="128"/>
      <c r="E1148" s="128"/>
      <c r="N1148" s="884"/>
      <c r="P1148" s="885"/>
      <c r="R1148" s="64"/>
      <c r="S1148" s="64"/>
      <c r="T1148" s="64"/>
      <c r="U1148" s="64"/>
    </row>
    <row r="1149" spans="1:21" s="71" customFormat="1" hidden="1">
      <c r="A1149" s="64"/>
      <c r="B1149" s="884"/>
      <c r="C1149" s="128"/>
      <c r="D1149" s="128"/>
      <c r="E1149" s="128"/>
      <c r="N1149" s="884"/>
      <c r="P1149" s="885"/>
      <c r="R1149" s="64"/>
      <c r="S1149" s="64"/>
      <c r="T1149" s="64"/>
      <c r="U1149" s="64"/>
    </row>
    <row r="1150" spans="1:21" s="71" customFormat="1" hidden="1">
      <c r="A1150" s="64"/>
      <c r="B1150" s="884"/>
      <c r="C1150" s="128"/>
      <c r="D1150" s="128"/>
      <c r="E1150" s="128"/>
      <c r="N1150" s="884"/>
      <c r="P1150" s="885"/>
      <c r="R1150" s="64"/>
      <c r="S1150" s="64"/>
      <c r="T1150" s="64"/>
      <c r="U1150" s="64"/>
    </row>
    <row r="1151" spans="1:21" s="71" customFormat="1" hidden="1">
      <c r="A1151" s="64"/>
      <c r="B1151" s="884"/>
      <c r="C1151" s="128"/>
      <c r="D1151" s="128"/>
      <c r="E1151" s="128"/>
      <c r="N1151" s="884"/>
      <c r="P1151" s="885"/>
      <c r="R1151" s="64"/>
      <c r="S1151" s="64"/>
      <c r="T1151" s="64"/>
      <c r="U1151" s="64"/>
    </row>
    <row r="1152" spans="1:21" s="71" customFormat="1" hidden="1">
      <c r="A1152" s="64"/>
      <c r="B1152" s="884"/>
      <c r="C1152" s="128"/>
      <c r="D1152" s="128"/>
      <c r="E1152" s="128"/>
      <c r="N1152" s="884"/>
      <c r="P1152" s="885"/>
      <c r="R1152" s="64"/>
      <c r="S1152" s="64"/>
      <c r="T1152" s="64"/>
      <c r="U1152" s="64"/>
    </row>
    <row r="1153" spans="1:21" s="71" customFormat="1" hidden="1">
      <c r="A1153" s="64"/>
      <c r="B1153" s="884"/>
      <c r="C1153" s="128"/>
      <c r="D1153" s="128"/>
      <c r="E1153" s="128"/>
      <c r="N1153" s="884"/>
      <c r="P1153" s="885"/>
      <c r="R1153" s="64"/>
      <c r="S1153" s="64"/>
      <c r="T1153" s="64"/>
      <c r="U1153" s="64"/>
    </row>
    <row r="1154" spans="1:21" s="71" customFormat="1" hidden="1">
      <c r="A1154" s="64"/>
      <c r="B1154" s="884"/>
      <c r="C1154" s="128"/>
      <c r="D1154" s="128"/>
      <c r="E1154" s="128"/>
      <c r="N1154" s="884"/>
      <c r="P1154" s="885"/>
      <c r="R1154" s="64"/>
      <c r="S1154" s="64"/>
      <c r="T1154" s="64"/>
      <c r="U1154" s="64"/>
    </row>
    <row r="1155" spans="1:21" s="71" customFormat="1" hidden="1">
      <c r="A1155" s="64"/>
      <c r="B1155" s="884"/>
      <c r="C1155" s="128"/>
      <c r="D1155" s="128"/>
      <c r="E1155" s="128"/>
      <c r="N1155" s="884"/>
      <c r="P1155" s="885"/>
      <c r="R1155" s="64"/>
      <c r="S1155" s="64"/>
      <c r="T1155" s="64"/>
      <c r="U1155" s="64"/>
    </row>
    <row r="1156" spans="1:21" s="71" customFormat="1" hidden="1">
      <c r="A1156" s="64"/>
      <c r="B1156" s="884"/>
      <c r="C1156" s="128"/>
      <c r="D1156" s="128"/>
      <c r="E1156" s="128"/>
      <c r="N1156" s="884"/>
      <c r="P1156" s="885"/>
      <c r="R1156" s="64"/>
      <c r="S1156" s="64"/>
      <c r="T1156" s="64"/>
      <c r="U1156" s="64"/>
    </row>
    <row r="1157" spans="1:21" s="71" customFormat="1" hidden="1">
      <c r="A1157" s="64"/>
      <c r="B1157" s="884"/>
      <c r="C1157" s="128"/>
      <c r="D1157" s="128"/>
      <c r="E1157" s="128"/>
      <c r="N1157" s="884"/>
      <c r="P1157" s="885"/>
      <c r="R1157" s="64"/>
      <c r="S1157" s="64"/>
      <c r="T1157" s="64"/>
      <c r="U1157" s="64"/>
    </row>
    <row r="1158" spans="1:21" s="71" customFormat="1" hidden="1">
      <c r="A1158" s="64"/>
      <c r="B1158" s="884"/>
      <c r="C1158" s="128"/>
      <c r="D1158" s="128"/>
      <c r="E1158" s="128"/>
      <c r="N1158" s="884"/>
      <c r="P1158" s="885"/>
      <c r="R1158" s="64"/>
      <c r="S1158" s="64"/>
      <c r="T1158" s="64"/>
      <c r="U1158" s="64"/>
    </row>
    <row r="1159" spans="1:21" s="71" customFormat="1" hidden="1">
      <c r="A1159" s="64"/>
      <c r="B1159" s="884"/>
      <c r="C1159" s="128"/>
      <c r="D1159" s="128"/>
      <c r="E1159" s="128"/>
      <c r="N1159" s="884"/>
      <c r="P1159" s="885"/>
      <c r="R1159" s="64"/>
      <c r="S1159" s="64"/>
      <c r="T1159" s="64"/>
      <c r="U1159" s="64"/>
    </row>
    <row r="1160" spans="1:21" s="71" customFormat="1" hidden="1">
      <c r="A1160" s="64"/>
      <c r="B1160" s="884"/>
      <c r="C1160" s="128"/>
      <c r="D1160" s="128"/>
      <c r="E1160" s="128"/>
      <c r="N1160" s="884"/>
      <c r="P1160" s="885"/>
      <c r="R1160" s="64"/>
      <c r="S1160" s="64"/>
      <c r="T1160" s="64"/>
      <c r="U1160" s="64"/>
    </row>
    <row r="1161" spans="1:21" s="71" customFormat="1" hidden="1">
      <c r="A1161" s="64"/>
      <c r="B1161" s="884"/>
      <c r="C1161" s="128"/>
      <c r="D1161" s="128"/>
      <c r="E1161" s="128"/>
      <c r="N1161" s="884"/>
      <c r="P1161" s="885"/>
      <c r="R1161" s="64"/>
      <c r="S1161" s="64"/>
      <c r="T1161" s="64"/>
      <c r="U1161" s="64"/>
    </row>
    <row r="1162" spans="1:21" s="71" customFormat="1" hidden="1">
      <c r="A1162" s="64"/>
      <c r="B1162" s="884"/>
      <c r="C1162" s="128"/>
      <c r="D1162" s="128"/>
      <c r="E1162" s="128"/>
      <c r="N1162" s="884"/>
      <c r="P1162" s="885"/>
      <c r="R1162" s="64"/>
      <c r="S1162" s="64"/>
      <c r="T1162" s="64"/>
      <c r="U1162" s="64"/>
    </row>
    <row r="1163" spans="1:21" s="71" customFormat="1" hidden="1">
      <c r="A1163" s="64"/>
      <c r="B1163" s="884"/>
      <c r="C1163" s="128"/>
      <c r="D1163" s="128"/>
      <c r="E1163" s="128"/>
      <c r="N1163" s="884"/>
      <c r="P1163" s="885"/>
      <c r="R1163" s="64"/>
      <c r="S1163" s="64"/>
      <c r="T1163" s="64"/>
      <c r="U1163" s="64"/>
    </row>
    <row r="1164" spans="1:21" s="71" customFormat="1" hidden="1">
      <c r="A1164" s="64"/>
      <c r="B1164" s="884"/>
      <c r="C1164" s="128"/>
      <c r="D1164" s="128"/>
      <c r="E1164" s="128"/>
      <c r="N1164" s="884"/>
      <c r="P1164" s="885"/>
      <c r="R1164" s="64"/>
      <c r="S1164" s="64"/>
      <c r="T1164" s="64"/>
      <c r="U1164" s="64"/>
    </row>
    <row r="1165" spans="1:21" s="71" customFormat="1" hidden="1">
      <c r="A1165" s="64"/>
      <c r="B1165" s="884"/>
      <c r="C1165" s="128"/>
      <c r="D1165" s="128"/>
      <c r="E1165" s="128"/>
      <c r="N1165" s="884"/>
      <c r="P1165" s="885"/>
      <c r="R1165" s="64"/>
      <c r="S1165" s="64"/>
      <c r="T1165" s="64"/>
      <c r="U1165" s="64"/>
    </row>
    <row r="1166" spans="1:21" s="71" customFormat="1" hidden="1">
      <c r="A1166" s="64"/>
      <c r="B1166" s="884"/>
      <c r="C1166" s="128"/>
      <c r="D1166" s="128"/>
      <c r="E1166" s="128"/>
      <c r="N1166" s="884"/>
      <c r="P1166" s="885"/>
      <c r="R1166" s="64"/>
      <c r="S1166" s="64"/>
      <c r="T1166" s="64"/>
      <c r="U1166" s="64"/>
    </row>
    <row r="1167" spans="1:21" s="71" customFormat="1" hidden="1">
      <c r="A1167" s="64"/>
      <c r="B1167" s="884"/>
      <c r="C1167" s="128"/>
      <c r="D1167" s="128"/>
      <c r="E1167" s="128"/>
      <c r="N1167" s="884"/>
      <c r="P1167" s="885"/>
      <c r="R1167" s="64"/>
      <c r="S1167" s="64"/>
      <c r="T1167" s="64"/>
      <c r="U1167" s="64"/>
    </row>
    <row r="1168" spans="1:21" s="71" customFormat="1" hidden="1">
      <c r="A1168" s="64"/>
      <c r="B1168" s="884"/>
      <c r="C1168" s="128"/>
      <c r="D1168" s="128"/>
      <c r="E1168" s="128"/>
      <c r="N1168" s="884"/>
      <c r="P1168" s="885"/>
      <c r="R1168" s="64"/>
      <c r="S1168" s="64"/>
      <c r="T1168" s="64"/>
      <c r="U1168" s="64"/>
    </row>
    <row r="1169" spans="1:21" s="71" customFormat="1" hidden="1">
      <c r="A1169" s="64"/>
      <c r="B1169" s="884"/>
      <c r="C1169" s="128"/>
      <c r="D1169" s="128"/>
      <c r="E1169" s="128"/>
      <c r="N1169" s="884"/>
      <c r="P1169" s="885"/>
      <c r="R1169" s="64"/>
      <c r="S1169" s="64"/>
      <c r="T1169" s="64"/>
      <c r="U1169" s="64"/>
    </row>
    <row r="1170" spans="1:21" s="71" customFormat="1" hidden="1">
      <c r="A1170" s="64"/>
      <c r="B1170" s="884"/>
      <c r="C1170" s="128"/>
      <c r="D1170" s="128"/>
      <c r="E1170" s="128"/>
      <c r="N1170" s="884"/>
      <c r="P1170" s="885"/>
      <c r="R1170" s="64"/>
      <c r="S1170" s="64"/>
      <c r="T1170" s="64"/>
      <c r="U1170" s="64"/>
    </row>
    <row r="1171" spans="1:21" s="71" customFormat="1" hidden="1">
      <c r="A1171" s="64"/>
      <c r="B1171" s="884"/>
      <c r="C1171" s="128"/>
      <c r="D1171" s="128"/>
      <c r="E1171" s="128"/>
      <c r="N1171" s="884"/>
      <c r="P1171" s="885"/>
      <c r="R1171" s="64"/>
      <c r="S1171" s="64"/>
      <c r="T1171" s="64"/>
      <c r="U1171" s="64"/>
    </row>
    <row r="1172" spans="1:21" s="71" customFormat="1" hidden="1">
      <c r="A1172" s="64"/>
      <c r="B1172" s="884"/>
      <c r="C1172" s="128"/>
      <c r="D1172" s="128"/>
      <c r="E1172" s="128"/>
      <c r="N1172" s="884"/>
      <c r="P1172" s="885"/>
      <c r="R1172" s="64"/>
      <c r="S1172" s="64"/>
      <c r="T1172" s="64"/>
      <c r="U1172" s="64"/>
    </row>
    <row r="1173" spans="1:21" s="71" customFormat="1" hidden="1">
      <c r="A1173" s="64"/>
      <c r="B1173" s="884"/>
      <c r="C1173" s="128"/>
      <c r="D1173" s="128"/>
      <c r="E1173" s="128"/>
      <c r="N1173" s="884"/>
      <c r="P1173" s="885"/>
      <c r="R1173" s="64"/>
      <c r="S1173" s="64"/>
      <c r="T1173" s="64"/>
      <c r="U1173" s="64"/>
    </row>
    <row r="1174" spans="1:21" s="71" customFormat="1" hidden="1">
      <c r="A1174" s="64"/>
      <c r="B1174" s="884"/>
      <c r="C1174" s="128"/>
      <c r="D1174" s="128"/>
      <c r="E1174" s="128"/>
      <c r="N1174" s="884"/>
      <c r="P1174" s="885"/>
      <c r="R1174" s="64"/>
      <c r="S1174" s="64"/>
      <c r="T1174" s="64"/>
      <c r="U1174" s="64"/>
    </row>
    <row r="1175" spans="1:21" hidden="1">
      <c r="A1175" s="64"/>
      <c r="B1175" s="884"/>
      <c r="C1175" s="128"/>
      <c r="D1175" s="128"/>
      <c r="E1175" s="128"/>
      <c r="F1175" s="71"/>
      <c r="G1175" s="71"/>
      <c r="H1175" s="71"/>
      <c r="I1175" s="71"/>
      <c r="J1175" s="71"/>
    </row>
  </sheetData>
  <sheetProtection algorithmName="SHA-512" hashValue="ptpr51m6JWpuaA8otqNNM/+UuyNKO6I14kPkllHn9RCUwjcxdXDyKIXrmNtjISRmiOf3kYvXwfTZKUaKz50bcw==" saltValue="YAEohrhHEyYgvOPy1ObtoA==" spinCount="100000" sheet="1" objects="1" scenarios="1" selectLockedCells="1"/>
  <mergeCells count="10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s>
  <phoneticPr fontId="52" type="noConversion"/>
  <conditionalFormatting sqref="D13">
    <cfRule type="expression" dxfId="41" priority="71">
      <formula>$D$13=""</formula>
    </cfRule>
  </conditionalFormatting>
  <conditionalFormatting sqref="D17">
    <cfRule type="expression" dxfId="40" priority="1817">
      <formula>OR($D$19&gt;0,$D$21&gt;0)</formula>
    </cfRule>
  </conditionalFormatting>
  <conditionalFormatting sqref="D19">
    <cfRule type="expression" dxfId="39" priority="1822">
      <formula>OR($D$17&gt;0,$D$21&gt;0)</formula>
    </cfRule>
  </conditionalFormatting>
  <conditionalFormatting sqref="D21">
    <cfRule type="expression" dxfId="38" priority="1823">
      <formula>OR(D19&gt;0,D17&gt;0)</formula>
    </cfRule>
  </conditionalFormatting>
  <conditionalFormatting sqref="D28">
    <cfRule type="expression" dxfId="37" priority="70">
      <formula>$D$28=""</formula>
    </cfRule>
  </conditionalFormatting>
  <conditionalFormatting sqref="D29">
    <cfRule type="expression" dxfId="36" priority="69">
      <formula>$D$29=""</formula>
    </cfRule>
  </conditionalFormatting>
  <conditionalFormatting sqref="D30:D34">
    <cfRule type="expression" dxfId="35" priority="63">
      <formula>D30=""</formula>
    </cfRule>
  </conditionalFormatting>
  <conditionalFormatting sqref="K21">
    <cfRule type="expression" dxfId="34" priority="22">
      <formula>AND($K$21="",$L$21="")</formula>
    </cfRule>
  </conditionalFormatting>
  <conditionalFormatting sqref="K22:K25">
    <cfRule type="expression" dxfId="33" priority="58">
      <formula>K22=""</formula>
    </cfRule>
  </conditionalFormatting>
  <conditionalFormatting sqref="K33:K35">
    <cfRule type="expression" dxfId="32" priority="19">
      <formula>K33=""</formula>
    </cfRule>
  </conditionalFormatting>
  <conditionalFormatting sqref="L21">
    <cfRule type="expression" dxfId="31" priority="23">
      <formula>AND($K$21="",$L$21&gt;0)</formula>
    </cfRule>
  </conditionalFormatting>
  <conditionalFormatting sqref="N36:N37">
    <cfRule type="expression" dxfId="30" priority="31">
      <formula>P36=0</formula>
    </cfRule>
    <cfRule type="expression" dxfId="29" priority="32">
      <formula>ABS(P36)&gt;=5%</formula>
    </cfRule>
    <cfRule type="expression" dxfId="28" priority="35">
      <formula>ABS($P$36)&lt;5%</formula>
    </cfRule>
  </conditionalFormatting>
  <conditionalFormatting sqref="N39">
    <cfRule type="expression" dxfId="27" priority="484">
      <formula>ABS($P$39)&lt;$P$38</formula>
    </cfRule>
    <cfRule type="expression" dxfId="26" priority="483">
      <formula>P39=0</formula>
    </cfRule>
  </conditionalFormatting>
  <conditionalFormatting sqref="N39:O39">
    <cfRule type="expression" dxfId="25" priority="36">
      <formula>ABS($P$39)&gt;=$P$38</formula>
    </cfRule>
  </conditionalFormatting>
  <conditionalFormatting sqref="N40:P40">
    <cfRule type="expression" dxfId="24" priority="476">
      <formula>N40="Abänderung voraussichtlich nicht möglich"</formula>
    </cfRule>
    <cfRule type="expression" dxfId="23" priority="475">
      <formula>N40="Abänderung voraussichtlich möglich"</formula>
    </cfRule>
    <cfRule type="expression" dxfId="22" priority="474">
      <formula>$P$39=0</formula>
    </cfRule>
  </conditionalFormatting>
  <conditionalFormatting sqref="O19">
    <cfRule type="expression" dxfId="21" priority="37">
      <formula>O19=""</formula>
    </cfRule>
  </conditionalFormatting>
  <conditionalFormatting sqref="O22:O23">
    <cfRule type="expression" dxfId="20" priority="40">
      <formula>O22=""</formula>
    </cfRule>
  </conditionalFormatting>
  <conditionalFormatting sqref="O34">
    <cfRule type="expression" dxfId="19" priority="25">
      <formula>O34=""</formula>
    </cfRule>
  </conditionalFormatting>
  <conditionalFormatting sqref="O39">
    <cfRule type="expression" dxfId="18" priority="481">
      <formula>Q40=0</formula>
    </cfRule>
    <cfRule type="expression" dxfId="17" priority="482">
      <formula>ABS($P$39)&lt;$P$38</formula>
    </cfRule>
  </conditionalFormatting>
  <conditionalFormatting sqref="O5:P6">
    <cfRule type="expression" dxfId="16" priority="75">
      <formula>O5=""</formula>
    </cfRule>
  </conditionalFormatting>
  <conditionalFormatting sqref="P27:P28">
    <cfRule type="expression" dxfId="15" priority="50">
      <formula>P27=""</formula>
    </cfRule>
  </conditionalFormatting>
  <conditionalFormatting sqref="R33:T33">
    <cfRule type="expression" dxfId="14" priority="6">
      <formula>AND(S31&gt;0,S32&gt;0)</formula>
    </cfRule>
  </conditionalFormatting>
  <conditionalFormatting sqref="S17">
    <cfRule type="expression" dxfId="13" priority="8">
      <formula>AND($Y$9=3,$S$17="")</formula>
    </cfRule>
  </conditionalFormatting>
  <conditionalFormatting sqref="S21">
    <cfRule type="iconSet" priority="1">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2" priority="14">
      <formula>S4="m"</formula>
    </cfRule>
    <cfRule type="expression" dxfId="11" priority="13">
      <formula>S4="w"</formula>
    </cfRule>
    <cfRule type="expression" dxfId="10" priority="12">
      <formula>S4="d"</formula>
    </cfRule>
  </conditionalFormatting>
  <conditionalFormatting sqref="S4:T10">
    <cfRule type="expression" dxfId="9" priority="9">
      <formula>S4=""</formula>
    </cfRule>
  </conditionalFormatting>
  <conditionalFormatting sqref="S18:T18">
    <cfRule type="expression" dxfId="8" priority="10">
      <formula>S18=1</formula>
    </cfRule>
  </conditionalFormatting>
  <conditionalFormatting sqref="T17">
    <cfRule type="expression" dxfId="7" priority="7">
      <formula>AND(Y9=3,T17="")</formula>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 ref="B1" r:id="rId22" display="https://www.anwaelte-du.de/media/files/nedden-boeger-2024.pdf" xr:uid="{229FD697-8CA4-4093-BFDE-BB0A13F0DA0C}"/>
  </hyperlinks>
  <printOptions horizontalCentered="1" verticalCentered="1"/>
  <pageMargins left="0.11811023622047245" right="0.11811023622047245" top="0.19685039370078741" bottom="0.19685039370078741" header="0.31496062992125984" footer="0.31496062992125984"/>
  <pageSetup paperSize="9" scale="68" orientation="landscape" r:id="rId23"/>
  <drawing r:id="rId24"/>
  <legacyDrawing r:id="rId25"/>
  <mc:AlternateContent xmlns:mc="http://schemas.openxmlformats.org/markup-compatibility/2006">
    <mc:Choice Requires="x14">
      <controls>
        <mc:AlternateContent xmlns:mc="http://schemas.openxmlformats.org/markup-compatibility/2006">
          <mc:Choice Requires="x14">
            <control shapeId="4101" r:id="rId26" name="Kontrollkästchen 5">
              <controlPr defaultSize="0" autoFill="0" autoLine="0" autoPict="0">
                <anchor moveWithCells="1">
                  <from>
                    <xdr:col>1</xdr:col>
                    <xdr:colOff>66675</xdr:colOff>
                    <xdr:row>12</xdr:row>
                    <xdr:rowOff>28575</xdr:rowOff>
                  </from>
                  <to>
                    <xdr:col>2</xdr:col>
                    <xdr:colOff>28575</xdr:colOff>
                    <xdr:row>12</xdr:row>
                    <xdr:rowOff>190500</xdr:rowOff>
                  </to>
                </anchor>
              </controlPr>
            </control>
          </mc:Choice>
        </mc:AlternateContent>
        <mc:AlternateContent xmlns:mc="http://schemas.openxmlformats.org/markup-compatibility/2006">
          <mc:Choice Requires="x14">
            <control shapeId="4105" r:id="rId27" name="Vorversterben">
              <controlPr defaultSize="0" autoFill="0" autoLine="0" autoPict="0">
                <anchor moveWithCells="1">
                  <from>
                    <xdr:col>1</xdr:col>
                    <xdr:colOff>28575</xdr:colOff>
                    <xdr:row>33</xdr:row>
                    <xdr:rowOff>219075</xdr:rowOff>
                  </from>
                  <to>
                    <xdr:col>1</xdr:col>
                    <xdr:colOff>257175</xdr:colOff>
                    <xdr:row>34</xdr:row>
                    <xdr:rowOff>219075</xdr:rowOff>
                  </to>
                </anchor>
              </controlPr>
            </control>
          </mc:Choice>
        </mc:AlternateContent>
        <mc:AlternateContent xmlns:mc="http://schemas.openxmlformats.org/markup-compatibility/2006">
          <mc:Choice Requires="x14">
            <control shapeId="4106" r:id="rId28" name="Check Box 10">
              <controlPr defaultSize="0" autoFill="0" autoLine="0" autoPict="0">
                <anchor moveWithCells="1">
                  <from>
                    <xdr:col>13</xdr:col>
                    <xdr:colOff>523875</xdr:colOff>
                    <xdr:row>11</xdr:row>
                    <xdr:rowOff>28575</xdr:rowOff>
                  </from>
                  <to>
                    <xdr:col>13</xdr:col>
                    <xdr:colOff>866775</xdr:colOff>
                    <xdr:row>12</xdr:row>
                    <xdr:rowOff>0</xdr:rowOff>
                  </to>
                </anchor>
              </controlPr>
            </control>
          </mc:Choice>
        </mc:AlternateContent>
        <mc:AlternateContent xmlns:mc="http://schemas.openxmlformats.org/markup-compatibility/2006">
          <mc:Choice Requires="x14">
            <control shapeId="4107" r:id="rId29" name="Check Box 11">
              <controlPr defaultSize="0" autoFill="0" autoLine="0" autoPict="0">
                <anchor moveWithCells="1">
                  <from>
                    <xdr:col>2</xdr:col>
                    <xdr:colOff>1400175</xdr:colOff>
                    <xdr:row>32</xdr:row>
                    <xdr:rowOff>219075</xdr:rowOff>
                  </from>
                  <to>
                    <xdr:col>2</xdr:col>
                    <xdr:colOff>2314575</xdr:colOff>
                    <xdr:row>33</xdr:row>
                    <xdr:rowOff>219075</xdr:rowOff>
                  </to>
                </anchor>
              </controlPr>
            </control>
          </mc:Choice>
        </mc:AlternateContent>
        <mc:AlternateContent xmlns:mc="http://schemas.openxmlformats.org/markup-compatibility/2006">
          <mc:Choice Requires="x14">
            <control shapeId="4109" r:id="rId30" name="Option Button 13">
              <controlPr defaultSize="0" autoFill="0" autoLine="0" autoPict="0">
                <anchor moveWithCells="1">
                  <from>
                    <xdr:col>4</xdr:col>
                    <xdr:colOff>0</xdr:colOff>
                    <xdr:row>26</xdr:row>
                    <xdr:rowOff>219075</xdr:rowOff>
                  </from>
                  <to>
                    <xdr:col>4</xdr:col>
                    <xdr:colOff>942975</xdr:colOff>
                    <xdr:row>28</xdr:row>
                    <xdr:rowOff>0</xdr:rowOff>
                  </to>
                </anchor>
              </controlPr>
            </control>
          </mc:Choice>
        </mc:AlternateContent>
        <mc:AlternateContent xmlns:mc="http://schemas.openxmlformats.org/markup-compatibility/2006">
          <mc:Choice Requires="x14">
            <control shapeId="4110" r:id="rId31" name="Option Button 14">
              <controlPr defaultSize="0" autoFill="0" autoLine="0" autoPict="0">
                <anchor moveWithCells="1">
                  <from>
                    <xdr:col>4</xdr:col>
                    <xdr:colOff>28575</xdr:colOff>
                    <xdr:row>27</xdr:row>
                    <xdr:rowOff>190500</xdr:rowOff>
                  </from>
                  <to>
                    <xdr:col>4</xdr:col>
                    <xdr:colOff>942975</xdr:colOff>
                    <xdr:row>28</xdr:row>
                    <xdr:rowOff>219075</xdr:rowOff>
                  </to>
                </anchor>
              </controlPr>
            </control>
          </mc:Choice>
        </mc:AlternateContent>
        <mc:AlternateContent xmlns:mc="http://schemas.openxmlformats.org/markup-compatibility/2006">
          <mc:Choice Requires="x14">
            <control shapeId="4117" r:id="rId32" name="Check Box 21">
              <controlPr defaultSize="0" autoFill="0" autoLine="0" autoPict="0">
                <anchor moveWithCells="1">
                  <from>
                    <xdr:col>2</xdr:col>
                    <xdr:colOff>2333625</xdr:colOff>
                    <xdr:row>22</xdr:row>
                    <xdr:rowOff>0</xdr:rowOff>
                  </from>
                  <to>
                    <xdr:col>3</xdr:col>
                    <xdr:colOff>771525</xdr:colOff>
                    <xdr:row>22</xdr:row>
                    <xdr:rowOff>190500</xdr:rowOff>
                  </to>
                </anchor>
              </controlPr>
            </control>
          </mc:Choice>
        </mc:AlternateContent>
        <mc:AlternateContent xmlns:mc="http://schemas.openxmlformats.org/markup-compatibility/2006">
          <mc:Choice Requires="x14">
            <control shapeId="4139" r:id="rId33" name="Check Box 43">
              <controlPr defaultSize="0" autoFill="0" autoLine="0" autoPict="0">
                <anchor moveWithCells="1">
                  <from>
                    <xdr:col>17</xdr:col>
                    <xdr:colOff>142875</xdr:colOff>
                    <xdr:row>16</xdr:row>
                    <xdr:rowOff>200025</xdr:rowOff>
                  </from>
                  <to>
                    <xdr:col>17</xdr:col>
                    <xdr:colOff>1247775</xdr:colOff>
                    <xdr:row>18</xdr:row>
                    <xdr:rowOff>9525</xdr:rowOff>
                  </to>
                </anchor>
              </controlPr>
            </control>
          </mc:Choice>
        </mc:AlternateContent>
        <mc:AlternateContent xmlns:mc="http://schemas.openxmlformats.org/markup-compatibility/2006">
          <mc:Choice Requires="x14">
            <control shapeId="4147" r:id="rId34" name="Drop Down 51">
              <controlPr defaultSize="0" autoLine="0" autoPict="0">
                <anchor moveWithCells="1">
                  <from>
                    <xdr:col>17</xdr:col>
                    <xdr:colOff>2486025</xdr:colOff>
                    <xdr:row>16</xdr:row>
                    <xdr:rowOff>28575</xdr:rowOff>
                  </from>
                  <to>
                    <xdr:col>17</xdr:col>
                    <xdr:colOff>3476625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dimension ref="A1:T51"/>
  <sheetViews>
    <sheetView zoomScale="90" zoomScaleNormal="90" workbookViewId="0">
      <selection activeCell="G19" sqref="G19"/>
    </sheetView>
  </sheetViews>
  <sheetFormatPr baseColWidth="10" defaultColWidth="11" defaultRowHeight="14.25"/>
  <cols>
    <col min="1" max="1" width="4.625" customWidth="1"/>
    <col min="2" max="2" width="49.625" customWidth="1"/>
    <col min="3" max="3" width="12.625" customWidth="1"/>
    <col min="4" max="4" width="7.125" customWidth="1"/>
    <col min="5" max="5" width="12.625" customWidth="1"/>
    <col min="6" max="6" width="7.125" customWidth="1"/>
    <col min="7" max="7" width="12.375" customWidth="1"/>
    <col min="8" max="8" width="13.625" customWidth="1"/>
    <col min="9" max="9" width="12.375" customWidth="1"/>
    <col min="10" max="11" width="11.125" customWidth="1"/>
    <col min="12" max="12" width="14.125" customWidth="1"/>
    <col min="13" max="15" width="11.125" customWidth="1"/>
    <col min="16" max="17" width="11.625" customWidth="1"/>
    <col min="18" max="18" width="13.625" customWidth="1"/>
    <col min="19" max="19" width="11" customWidth="1"/>
  </cols>
  <sheetData>
    <row r="1" spans="1:18" ht="32.25" customHeight="1" thickTop="1" thickBot="1">
      <c r="B1" s="3873" t="s">
        <v>1846</v>
      </c>
      <c r="C1" s="3874"/>
      <c r="D1" s="3874"/>
      <c r="E1" s="3874"/>
      <c r="F1" s="3874"/>
      <c r="G1" s="3874"/>
      <c r="H1" s="3874"/>
      <c r="I1" s="3875"/>
      <c r="J1" s="64"/>
      <c r="K1" s="71"/>
      <c r="L1" s="852"/>
      <c r="M1" t="s">
        <v>219</v>
      </c>
      <c r="N1" s="852"/>
      <c r="O1" s="852"/>
    </row>
    <row r="2" spans="1:18" s="71" customFormat="1" ht="18" customHeight="1">
      <c r="A2" s="3919" t="s">
        <v>2007</v>
      </c>
      <c r="B2" s="3916" t="s">
        <v>1970</v>
      </c>
      <c r="C2" s="3917"/>
      <c r="D2" s="3917"/>
      <c r="E2" s="3917"/>
      <c r="F2" s="3918"/>
      <c r="G2" s="2230" t="str">
        <f>IFERROR(IF(G4&gt;0,"",IF(Dat_GebDat_M&gt;0,TEXT(Dat_GebDat_M,"TT.MM.JJJ")&amp;männlich,"")),"")</f>
        <v/>
      </c>
      <c r="H2" s="2190"/>
      <c r="I2" s="1830" t="str">
        <f>IFERROR(IF(I4&gt;0,"",IF(Dat_GebDat_F&gt;0,TEXT(Dat_GebDat_F,"TT.MM.JJJ")&amp;weiblich,"")),"")</f>
        <v/>
      </c>
      <c r="J2" s="64"/>
      <c r="K2" s="16">
        <f>IF(G3="m",1,IF(G3="w",2,3))</f>
        <v>1</v>
      </c>
      <c r="L2" s="16">
        <f>IF(I3="m",1,IF(I3="w",2,3))</f>
        <v>1</v>
      </c>
      <c r="M2" s="128" t="s">
        <v>265</v>
      </c>
      <c r="N2" s="852"/>
      <c r="O2" s="852"/>
    </row>
    <row r="3" spans="1:18" s="71" customFormat="1" ht="18" customHeight="1">
      <c r="A3" s="3919"/>
      <c r="B3" s="3384" t="s">
        <v>1971</v>
      </c>
      <c r="C3" s="3385"/>
      <c r="D3" s="3385"/>
      <c r="E3" s="3385"/>
      <c r="F3" s="3386"/>
      <c r="G3" s="1822" t="s">
        <v>219</v>
      </c>
      <c r="H3" s="2197"/>
      <c r="I3" s="1832" t="s">
        <v>219</v>
      </c>
      <c r="J3" s="64"/>
      <c r="L3" s="71" t="s">
        <v>190</v>
      </c>
      <c r="M3" s="128" t="s">
        <v>386</v>
      </c>
    </row>
    <row r="4" spans="1:18" s="71" customFormat="1" ht="18" customHeight="1">
      <c r="A4" s="3919"/>
      <c r="B4" s="3384" t="s">
        <v>1972</v>
      </c>
      <c r="C4" s="3385"/>
      <c r="D4" s="3385"/>
      <c r="E4" s="3385"/>
      <c r="F4" s="3386"/>
      <c r="G4" s="888">
        <v>27333</v>
      </c>
      <c r="H4" s="2189"/>
      <c r="I4" s="1833">
        <f>+G4</f>
        <v>27333</v>
      </c>
      <c r="J4" s="64"/>
      <c r="L4" s="1466" t="s">
        <v>1629</v>
      </c>
      <c r="M4" s="1466">
        <v>33238</v>
      </c>
      <c r="O4" s="1475" t="e">
        <f>ROUND(IF(#REF!&gt;M4,VLOOKUP(#REF!,VPI,3),VLOOKUP(#REF!,VPI,2)),2)</f>
        <v>#REF!</v>
      </c>
    </row>
    <row r="5" spans="1:18" s="71" customFormat="1" ht="18" customHeight="1">
      <c r="A5" s="3919"/>
      <c r="B5" s="3384" t="s">
        <v>1973</v>
      </c>
      <c r="C5" s="3385"/>
      <c r="D5" s="3385"/>
      <c r="E5" s="3385"/>
      <c r="F5" s="3386"/>
      <c r="G5" s="888">
        <v>45596</v>
      </c>
      <c r="H5" s="2189"/>
      <c r="I5" s="1833">
        <f>+G5</f>
        <v>45596</v>
      </c>
      <c r="J5" s="64"/>
      <c r="L5" s="1466"/>
      <c r="M5" s="1467" t="e">
        <f>ROUND(VLOOKUP(#REF!,VPI,3),2)</f>
        <v>#REF!</v>
      </c>
      <c r="N5" s="1466"/>
      <c r="O5" s="1475" t="e">
        <f>ROUND(IF(#REF!&gt;M4,VLOOKUP(#REF!,VPI,3),VLOOKUP(#REF!,VPI,2)),2)</f>
        <v>#REF!</v>
      </c>
    </row>
    <row r="6" spans="1:18" s="71" customFormat="1" ht="18" customHeight="1">
      <c r="A6" s="3919"/>
      <c r="B6" s="3384" t="s">
        <v>1974</v>
      </c>
      <c r="C6" s="3385"/>
      <c r="D6" s="3385"/>
      <c r="E6" s="3385"/>
      <c r="F6" s="3386"/>
      <c r="G6" s="321">
        <v>500</v>
      </c>
      <c r="H6" s="2198" t="s">
        <v>1992</v>
      </c>
      <c r="I6" s="2049">
        <v>7821</v>
      </c>
      <c r="J6" s="64"/>
      <c r="L6" s="71" t="s">
        <v>1852</v>
      </c>
      <c r="M6" s="625">
        <f>VLOOKUP(YEAR(G4),Regelaltersgrenze,3)</f>
        <v>67</v>
      </c>
      <c r="N6" s="625">
        <f>IF(DuD_RAltersgr1&lt;G11,0,ROUND(DuD_RAltersgr1-G11,2))</f>
        <v>15</v>
      </c>
      <c r="Q6" s="71">
        <f>VLOOKUP(G5,aktRW,2)</f>
        <v>39.32</v>
      </c>
    </row>
    <row r="7" spans="1:18" s="71" customFormat="1" ht="18" customHeight="1">
      <c r="A7" s="3919"/>
      <c r="B7" s="3384" t="str">
        <f>"6. Renteneintrittsalter (DRV: "&amp;TEXT(DuD_RAltersgr1,"0,00")&amp;" bzw. "&amp;TEXT(DuD_RAltersgr2,"0,00")&amp;" Jahre:"</f>
        <v>6. Renteneintrittsalter (DRV: 65,00 bzw. 65,00 Jahre:</v>
      </c>
      <c r="C7" s="3385"/>
      <c r="D7" s="3385"/>
      <c r="E7" s="3385"/>
      <c r="F7" s="3386"/>
      <c r="G7" s="881">
        <v>67</v>
      </c>
      <c r="H7" s="2199"/>
      <c r="I7" s="1834">
        <v>63</v>
      </c>
      <c r="J7" s="64"/>
      <c r="M7" s="625"/>
      <c r="N7" s="625"/>
      <c r="Q7" s="71">
        <f>VLOOKUP(G5,Umrechnungsfaktoren_BeitraginEP,2)</f>
        <v>1.1853133043832412E-4</v>
      </c>
    </row>
    <row r="8" spans="1:18" s="71" customFormat="1" ht="18" customHeight="1">
      <c r="A8" s="3919"/>
      <c r="B8" s="3384" t="s">
        <v>1975</v>
      </c>
      <c r="C8" s="3385"/>
      <c r="D8" s="3385"/>
      <c r="E8" s="3385"/>
      <c r="F8" s="3386"/>
      <c r="G8" s="432">
        <v>2.5999999999999999E-2</v>
      </c>
      <c r="H8" s="2200"/>
      <c r="I8" s="1835">
        <v>2.5999999999999999E-2</v>
      </c>
      <c r="J8" s="64"/>
      <c r="N8" s="16">
        <v>2</v>
      </c>
      <c r="Q8" s="71">
        <f>VLOOKUP(G5,UmrechnungEP_Kap,2)</f>
        <v>8436.5879999999997</v>
      </c>
    </row>
    <row r="9" spans="1:18" s="71" customFormat="1" ht="18" customHeight="1">
      <c r="A9" s="3919"/>
      <c r="B9" s="3384" t="s">
        <v>1976</v>
      </c>
      <c r="C9" s="3385"/>
      <c r="D9" s="3385"/>
      <c r="E9" s="3385"/>
      <c r="F9" s="3386"/>
      <c r="G9" s="432">
        <v>2.5999999999999999E-2</v>
      </c>
      <c r="H9" s="2200"/>
      <c r="I9" s="1835">
        <v>2.5999999999999999E-2</v>
      </c>
      <c r="J9" s="64"/>
      <c r="L9" s="545" t="s">
        <v>192</v>
      </c>
      <c r="M9" s="1374">
        <f>VLOOKUP(G5,BilmoGZins,16)/100</f>
        <v>1.9299999999999998E-2</v>
      </c>
      <c r="N9" s="545"/>
    </row>
    <row r="10" spans="1:18" s="71" customFormat="1" ht="18" customHeight="1">
      <c r="A10" s="3919"/>
      <c r="B10" s="2226" t="s">
        <v>2005</v>
      </c>
      <c r="C10" s="1716" t="s">
        <v>1994</v>
      </c>
      <c r="D10" s="1681">
        <v>1</v>
      </c>
      <c r="E10" s="1716" t="s">
        <v>1993</v>
      </c>
      <c r="F10" s="1681">
        <v>0.6</v>
      </c>
      <c r="G10" s="432"/>
      <c r="H10" s="2200"/>
      <c r="I10" s="1835"/>
      <c r="J10" s="64"/>
      <c r="L10" s="545"/>
      <c r="M10" s="1374"/>
      <c r="N10" s="545"/>
    </row>
    <row r="11" spans="1:18" s="71" customFormat="1" ht="18" customHeight="1">
      <c r="A11" s="3919"/>
      <c r="B11" s="3384" t="s">
        <v>1977</v>
      </c>
      <c r="C11" s="3385"/>
      <c r="D11" s="3385"/>
      <c r="E11" s="3385"/>
      <c r="F11" s="3386"/>
      <c r="G11" s="2231">
        <f>YEARFRAC(G4,G5,0)</f>
        <v>50</v>
      </c>
      <c r="H11" s="2201"/>
      <c r="I11" s="1836">
        <f>YEARFRAC(I4,I5,0)</f>
        <v>50</v>
      </c>
      <c r="J11" s="64"/>
      <c r="L11" s="985" t="s">
        <v>193</v>
      </c>
      <c r="M11" s="1374">
        <f>VLOOKUP(G5,BilMoG10,16)/100</f>
        <v>1.8799999999999997E-2</v>
      </c>
      <c r="N11" s="545"/>
      <c r="Q11" s="71">
        <f>VLOOKUP(G5,aktRW,2)*(1-(DuD_RAltersgr1-G7)*12*0.003)</f>
        <v>42.151040000000002</v>
      </c>
    </row>
    <row r="12" spans="1:18" s="71" customFormat="1" ht="18" customHeight="1">
      <c r="A12" s="3919"/>
      <c r="B12" s="3384" t="s">
        <v>1981</v>
      </c>
      <c r="C12" s="3385"/>
      <c r="D12" s="3385"/>
      <c r="E12" s="3385"/>
      <c r="F12" s="3386"/>
      <c r="G12" s="2231">
        <f>ROUND(IF(G11&lt;G7,G7-G11,0),2)</f>
        <v>17</v>
      </c>
      <c r="H12" s="2201"/>
      <c r="I12" s="1836">
        <f>IF(I11&lt;I7,I7-I11,0)</f>
        <v>13</v>
      </c>
      <c r="J12" s="64"/>
      <c r="L12" s="985" t="s">
        <v>1854</v>
      </c>
      <c r="M12" s="545"/>
      <c r="N12" s="545"/>
    </row>
    <row r="13" spans="1:18" s="71" customFormat="1" ht="18" customHeight="1">
      <c r="A13" s="3919"/>
      <c r="B13" s="3384" t="s">
        <v>1982</v>
      </c>
      <c r="C13" s="3385"/>
      <c r="D13" s="3385"/>
      <c r="E13" s="3385"/>
      <c r="F13" s="3386"/>
      <c r="G13" s="2231">
        <f>IFERROR(ROUND(VLOOKUP(IF(G7&lt;G11,G11,G7),CHOOSE(K2,Lebenserwartung_M_V2,Lebenserwartung_F_V2,Lebenserwartung_N_V2),YEAR(G4)+IF(MONTH(G4)&gt;6,1,0)-1900+2),2),"")</f>
        <v>20.84</v>
      </c>
      <c r="H13" s="2201"/>
      <c r="I13" s="1836">
        <f>IFERROR(ROUND(VLOOKUP(IF(I7&lt;I11,I11,I7),CHOOSE(L2,Lebenserwartung_M_V2,Lebenserwartung_F_V2,Lebenserwartung_N_V2),YEAR(I4)+IF(MONTH(I4)&gt;6,1,0)-1900+2),3),"")</f>
        <v>23.98</v>
      </c>
      <c r="J13" s="64"/>
      <c r="L13" s="985" t="s">
        <v>619</v>
      </c>
      <c r="M13" s="1374">
        <f>IF(G17&gt;0,G17,CHOOSE(N8,M9,M11,G17))</f>
        <v>1.8700000000000001E-2</v>
      </c>
      <c r="N13" s="1374">
        <f>IF(I17&gt;0,I17,CHOOSE(N8,M9,M11,I17))</f>
        <v>0.06</v>
      </c>
      <c r="Q13" s="71">
        <f>DuD_RAltersgr1</f>
        <v>65</v>
      </c>
    </row>
    <row r="14" spans="1:18" s="71" customFormat="1" ht="18" customHeight="1" thickBot="1">
      <c r="A14" s="3919"/>
      <c r="B14" s="3384" t="s">
        <v>1986</v>
      </c>
      <c r="C14" s="3385"/>
      <c r="D14" s="3385"/>
      <c r="E14" s="3385"/>
      <c r="F14" s="3386"/>
      <c r="G14" s="2232">
        <f>ROUND(G6*(1+G8)^(G12),2)</f>
        <v>773.53</v>
      </c>
      <c r="H14" s="2202"/>
      <c r="I14" s="1838">
        <f>-PMT(I17-I9,I13,I6*(1+I17)^I12)/12</f>
        <v>85.707569773820993</v>
      </c>
      <c r="J14" s="64"/>
      <c r="L14" s="71" t="e">
        <f>+#REF!</f>
        <v>#REF!</v>
      </c>
    </row>
    <row r="15" spans="1:18" s="71" customFormat="1" ht="24" customHeight="1" thickTop="1" thickBot="1">
      <c r="A15" s="3919"/>
      <c r="B15" s="3920" t="s">
        <v>1995</v>
      </c>
      <c r="C15" s="3921"/>
      <c r="D15" s="3921"/>
      <c r="E15" s="3921"/>
      <c r="F15" s="3922"/>
      <c r="G15" s="257">
        <f>-PV(-G9,G13,G14*12,,1)</f>
        <v>254377.84167538924</v>
      </c>
      <c r="H15" s="2203"/>
      <c r="I15" s="1844">
        <f>-PV(-I9,I13,I14*12,,1)</f>
        <v>33938.479196080363</v>
      </c>
      <c r="J15" s="2181"/>
      <c r="K15" s="71">
        <f>+I6*G15/I15</f>
        <v>58620.455213944588</v>
      </c>
      <c r="L15" s="71" t="s">
        <v>932</v>
      </c>
      <c r="M15" s="64" t="e">
        <f>VLOOKUP(EzE_P,aktRW,IF(Dies_und_Das_Ost,3,2))</f>
        <v>#N/A</v>
      </c>
      <c r="O15" s="71" t="s">
        <v>1716</v>
      </c>
      <c r="Q15" s="71">
        <f>+(1-(DuD_RAltersgr1-G7)*12*0.003)</f>
        <v>1.0720000000000001</v>
      </c>
      <c r="R15" s="154">
        <f>(((1+G9)^G13-1)/G9)*G14*12</f>
        <v>252517.51896926365</v>
      </c>
    </row>
    <row r="16" spans="1:18" s="71" customFormat="1" ht="18" customHeight="1">
      <c r="A16" s="3919"/>
      <c r="B16" s="3384" t="s">
        <v>1978</v>
      </c>
      <c r="C16" s="3385"/>
      <c r="D16" s="3385"/>
      <c r="E16" s="3385"/>
      <c r="F16" s="3386"/>
      <c r="G16" s="2233">
        <f>+G15/12/G13</f>
        <v>1017.1858672240453</v>
      </c>
      <c r="H16" s="2204"/>
      <c r="I16" s="1841">
        <f>IFERROR(+I15/I13/12,"")</f>
        <v>117.94022517403518</v>
      </c>
      <c r="J16" s="64"/>
      <c r="L16" s="71" t="s">
        <v>933</v>
      </c>
      <c r="M16" s="64" t="e">
        <f>VLOOKUP(EzE_P,Umrechnungsfaktoren_BeitraginEP,IF(Dies_und_Das_Ost,3,2))</f>
        <v>#N/A</v>
      </c>
      <c r="O16" s="71" t="s">
        <v>1717</v>
      </c>
    </row>
    <row r="17" spans="1:20" s="71" customFormat="1" ht="18" customHeight="1">
      <c r="A17" s="3919"/>
      <c r="B17" s="3295" t="str">
        <f>"15.ReZins f. BW-Berechnung: "&amp;TEXT(M13,"0,00%")</f>
        <v>15.ReZins f. BW-Berechnung: 1,87%</v>
      </c>
      <c r="C17" s="3923"/>
      <c r="D17" s="3923"/>
      <c r="E17" s="3923"/>
      <c r="F17" s="3296"/>
      <c r="G17" s="432">
        <v>1.8700000000000001E-2</v>
      </c>
      <c r="H17" s="2200"/>
      <c r="I17" s="1835">
        <v>0.06</v>
      </c>
      <c r="J17" s="64"/>
      <c r="L17" s="71" t="s">
        <v>1323</v>
      </c>
      <c r="M17" s="16" t="b">
        <v>0</v>
      </c>
      <c r="O17" s="71" t="s">
        <v>230</v>
      </c>
    </row>
    <row r="18" spans="1:20" s="71" customFormat="1" ht="18" customHeight="1">
      <c r="A18" s="3919"/>
      <c r="B18" s="3295" t="s">
        <v>1979</v>
      </c>
      <c r="C18" s="3923"/>
      <c r="D18" s="3923"/>
      <c r="E18" s="3923"/>
      <c r="F18" s="3296"/>
      <c r="G18" s="2234">
        <f>+N29</f>
        <v>0.90229999999999999</v>
      </c>
      <c r="H18" s="2200"/>
      <c r="I18" s="1835"/>
      <c r="J18" s="64"/>
      <c r="M18" s="16"/>
    </row>
    <row r="19" spans="1:20" s="2218" customFormat="1" ht="24" customHeight="1">
      <c r="A19" s="3919"/>
      <c r="B19" s="3924" t="str">
        <f>"17. Barwert der Altersrente der Quellversorgung (AusglWert) berechnet mit "&amp;TEXT(M13,"0,00%")&amp;": "</f>
        <v xml:space="preserve">17. Barwert der Altersrente der Quellversorgung (AusglWert) berechnet mit 1,87%: </v>
      </c>
      <c r="C19" s="3925"/>
      <c r="D19" s="3925"/>
      <c r="E19" s="3925"/>
      <c r="F19" s="3926"/>
      <c r="G19" s="2235">
        <f>IFERROR(ROUND(-PV(G17-G8,G12,,-PV(G17-G9,G13,G14*12)),)*(1+N33)*N29,"")</f>
        <v>277718.98196560005</v>
      </c>
      <c r="H19" s="2215"/>
      <c r="I19" s="2216">
        <f>IFERROR(IF(DuD_VVR1,IF(I11&gt;I7,1,ROUND(VLOOKUP(I7,CHOOSE(L2,G_Kohorte_M,G_Kohorte_F,G_Kohorte_N),YEAR(I4)+IF(MONTH(I4)&gt;6,1,0)-1900+2)/VLOOKUP(I11,CHOOSE(L2,G_Kohorte_M,G_Kohorte_F,G_Kohorte_N),YEAR(I4)+IF(MONTH(I4)&gt;6,1,0)-1900+2),4)),1),"")</f>
        <v>1</v>
      </c>
      <c r="J19" s="2217"/>
      <c r="L19" s="2218" t="s">
        <v>1848</v>
      </c>
      <c r="M19" s="2219" t="b">
        <v>1</v>
      </c>
      <c r="O19" s="2218" t="s">
        <v>271</v>
      </c>
      <c r="Q19" s="2228">
        <f>-PV(G17-G9,G13,G14*12)</f>
        <v>209760.71528190191</v>
      </c>
      <c r="R19" s="319"/>
      <c r="S19" s="71"/>
      <c r="T19" s="71"/>
    </row>
    <row r="20" spans="1:20" s="71" customFormat="1" ht="18" customHeight="1">
      <c r="A20" s="3919"/>
      <c r="B20" s="3913" t="s">
        <v>1980</v>
      </c>
      <c r="C20" s="3337"/>
      <c r="D20" s="3337"/>
      <c r="E20" s="3337"/>
      <c r="F20" s="3338"/>
      <c r="G20" s="2183"/>
      <c r="H20" s="2205"/>
      <c r="I20" s="2179" t="str">
        <f>IFERROR(ROUND(-PV(N13-I8,I12,,-PV(N13-I9,I13,#REF!*12))*(1+N33)*N29,0),"")</f>
        <v/>
      </c>
      <c r="J20" s="2181"/>
      <c r="Q20" s="154"/>
      <c r="R20" s="154"/>
    </row>
    <row r="21" spans="1:20" s="71" customFormat="1" ht="18" customHeight="1">
      <c r="B21" s="3913"/>
      <c r="C21" s="3337"/>
      <c r="D21" s="3337"/>
      <c r="E21" s="3337"/>
      <c r="F21" s="3338"/>
      <c r="G21" s="2245">
        <f>IF(G20=0,+G19,G20)</f>
        <v>277718.98196560005</v>
      </c>
      <c r="H21" s="2210"/>
      <c r="I21" s="2186"/>
      <c r="J21" s="64"/>
      <c r="K21" s="2209">
        <f>+G20/G19</f>
        <v>0</v>
      </c>
      <c r="L21" t="s">
        <v>257</v>
      </c>
      <c r="M21" s="4" t="s">
        <v>219</v>
      </c>
      <c r="N21" s="4">
        <f>IF(M21="m",1,IF(M21="w",2,3))</f>
        <v>1</v>
      </c>
      <c r="O21" s="154">
        <f>+G19*G15/G28</f>
        <v>107281.63487355395</v>
      </c>
      <c r="Q21" s="154"/>
      <c r="R21" s="154"/>
    </row>
    <row r="22" spans="1:20" s="71" customFormat="1" ht="18" customHeight="1">
      <c r="B22" s="3237" t="str">
        <f>"19. DRV-Rente zum Berechnungszeitpunkt "&amp;TEXT(G5,"TT.MM.JJJJ")&amp;IF(G7&lt;DuD_RAltersgr1,", ","")</f>
        <v>19. DRV-Rente zum Berechnungszeitpunkt 31.10.2024</v>
      </c>
      <c r="C22" s="3223"/>
      <c r="D22" s="3223"/>
      <c r="E22" s="3223"/>
      <c r="F22" s="3224"/>
      <c r="G22" s="2236">
        <f>ROUND(G21*VLOOKUP(G5,Umrechnungsfaktoren_BeitraginEP,2)*VLOOKUP(G5,aktRW,2),2)</f>
        <v>1294.3499999999999</v>
      </c>
      <c r="H22" s="2210"/>
      <c r="I22" s="2186"/>
      <c r="J22" s="64"/>
      <c r="K22" s="2209"/>
      <c r="L22" t="s">
        <v>1987</v>
      </c>
      <c r="M22" s="4">
        <f>ROUND(YEARFRAC(G4,G5,3),2)</f>
        <v>50.04</v>
      </c>
      <c r="N22" s="4" t="s">
        <v>219</v>
      </c>
      <c r="O22" s="154"/>
      <c r="Q22" s="154"/>
      <c r="R22" s="154"/>
    </row>
    <row r="23" spans="1:20" s="71" customFormat="1" ht="18" customHeight="1">
      <c r="B23" s="2227" t="str">
        <f>"Regel-Renteneintrittsalter: "</f>
        <v xml:space="preserve">Regel-Renteneintrittsalter: </v>
      </c>
      <c r="C23" s="2243">
        <f>+M6</f>
        <v>67</v>
      </c>
      <c r="D23" s="3223" t="s">
        <v>2008</v>
      </c>
      <c r="E23" s="3223"/>
      <c r="F23" s="2244"/>
      <c r="G23" s="2246">
        <f>IF(F23&gt;0,F23,M6)</f>
        <v>67</v>
      </c>
      <c r="H23" s="2210"/>
      <c r="I23" s="2186"/>
      <c r="J23" s="64"/>
      <c r="K23" s="2209"/>
      <c r="L23"/>
      <c r="M23" s="4"/>
      <c r="N23" s="4"/>
      <c r="O23" s="154"/>
      <c r="Q23" s="154"/>
      <c r="R23" s="154"/>
    </row>
    <row r="24" spans="1:20" s="71" customFormat="1" ht="18" customHeight="1">
      <c r="B24" s="3237" t="str">
        <f>"20. DRV-Rente zum Zeitpunkt des Renteneintritt, Dynamik: "&amp;TEXT(IF(F24&gt;0,F24,RententrendDRV),"0,00%")</f>
        <v>20. DRV-Rente zum Zeitpunkt des Renteneintritt, Dynamik: 2,60%</v>
      </c>
      <c r="C24" s="3223"/>
      <c r="D24" s="3223"/>
      <c r="E24" s="3224"/>
      <c r="F24" s="2222"/>
      <c r="G24" s="2236">
        <f>ROUND(G22*(1+IF(F24&gt;0,F24,K24))^IF(G23&lt;G11,0,G23-G11),2)</f>
        <v>2002.43</v>
      </c>
      <c r="H24" s="2206"/>
      <c r="I24" s="2187" t="e">
        <f>IF(I21&gt;0,I21,I20)*VLOOKUP(I5,Umrechnungsfaktoren_BeitraginEP,2)*VLOOKUP(I5,aktRW,2)*(1-(DuD_RAltersgr1-I7)*12*0.003)*(1+RententrendDRV)^I12</f>
        <v>#VALUE!</v>
      </c>
      <c r="J24" s="2181"/>
      <c r="K24" s="71">
        <f>IF(F24&gt;0,F24,RententrendDRV)</f>
        <v>2.5999999999999999E-2</v>
      </c>
      <c r="L24" t="s">
        <v>1416</v>
      </c>
      <c r="M24" s="4"/>
      <c r="N24" s="4" t="s">
        <v>265</v>
      </c>
      <c r="Q24" s="154"/>
      <c r="R24" s="154"/>
    </row>
    <row r="25" spans="1:20" s="71" customFormat="1" ht="18" customHeight="1">
      <c r="B25" s="3222" t="str">
        <f>IF(G23&lt;G11,"","Verminderung wg.vorzeitigem Renteneintrittsalter ("&amp;TEXT(G24,"0,00")&amp;" x (1 - "&amp;TEXT((M6-G7)*12,"0")&amp;" x 0,3%) - § 77 SGB VI ")</f>
        <v xml:space="preserve">Verminderung wg.vorzeitigem Renteneintrittsalter (2002,43 x (1 - 0 x 0,3%) - § 77 SGB VI </v>
      </c>
      <c r="C25" s="3927"/>
      <c r="D25" s="3927"/>
      <c r="E25" s="3927"/>
      <c r="F25" s="3928"/>
      <c r="G25" s="2237">
        <f>ROUND(+(1-(M6-G7)*12*0.003)*G24,2)</f>
        <v>2002.43</v>
      </c>
      <c r="H25" s="2206"/>
      <c r="I25" s="2187"/>
      <c r="J25" s="2181"/>
      <c r="M25" s="128"/>
      <c r="N25" s="4" t="s">
        <v>1384</v>
      </c>
      <c r="O25" s="2209"/>
      <c r="Q25" s="1765"/>
      <c r="R25" s="154"/>
    </row>
    <row r="26" spans="1:20" s="2218" customFormat="1" ht="24" customHeight="1">
      <c r="B26" s="3378" t="s">
        <v>1985</v>
      </c>
      <c r="C26" s="3379"/>
      <c r="D26" s="3379"/>
      <c r="E26" s="3379"/>
      <c r="F26" s="3380"/>
      <c r="G26" s="2238">
        <f>-PV(G17-K24,G12,,-PV(G17-K24,G13,G22*12))*(1+N33)*N29</f>
        <v>464708.61568525375</v>
      </c>
      <c r="I26" s="2223"/>
      <c r="J26" s="2224"/>
      <c r="O26" s="2225"/>
      <c r="P26" s="2229">
        <f>-PV(G17-K24,G13,G25*12)</f>
        <v>543005.63533662411</v>
      </c>
      <c r="Q26" s="1765"/>
      <c r="S26" s="71"/>
      <c r="T26" s="71"/>
    </row>
    <row r="27" spans="1:20" s="71" customFormat="1" ht="18" customHeight="1">
      <c r="B27" s="3929" t="str">
        <f>"21. KoKa DRV zum "&amp;TEXT(G5,"TT.MM.JJJJ")</f>
        <v>21. KoKa DRV zum 31.10.2024</v>
      </c>
      <c r="C27" s="3930"/>
      <c r="D27" s="3930"/>
      <c r="E27" s="3930"/>
      <c r="F27" s="3931"/>
      <c r="G27" s="2239">
        <f>IFERROR(ROUND(G22/VLOOKUP(G5,aktRW,2),4)*VLOOKUP(G5,UmrechnungEP_Kap,2),"")</f>
        <v>277718.97841919999</v>
      </c>
      <c r="H27" s="2207"/>
      <c r="I27" s="2188" t="e">
        <f>-PV(N13-RententrendDRV,I13,I24*12)</f>
        <v>#VALUE!</v>
      </c>
      <c r="J27" s="2181"/>
      <c r="L27" s="2473" t="s">
        <v>1490</v>
      </c>
      <c r="M27" s="2473" t="s">
        <v>1491</v>
      </c>
      <c r="N27" s="2473" t="s">
        <v>1367</v>
      </c>
      <c r="P27" s="154"/>
    </row>
    <row r="28" spans="1:20" s="805" customFormat="1" ht="24" customHeight="1">
      <c r="B28" s="3378" t="s">
        <v>1996</v>
      </c>
      <c r="C28" s="3379"/>
      <c r="D28" s="3379"/>
      <c r="E28" s="3379"/>
      <c r="F28" s="3380"/>
      <c r="G28" s="2240">
        <f>-PV(-RententrendDRV,G13,G25*12,,1)</f>
        <v>658505.58026973694</v>
      </c>
      <c r="I28" s="2220">
        <f>IFERROR(ROUND(I6/VLOOKUP(I5,aktRW,2),4)*VLOOKUP(I5,UmrechnungEP_Kap,2),"")</f>
        <v>1678091.3473631998</v>
      </c>
      <c r="J28" s="2221"/>
      <c r="L28" s="2474"/>
      <c r="M28" s="2474"/>
      <c r="N28" s="2474"/>
      <c r="S28" s="71"/>
      <c r="T28" s="71"/>
    </row>
    <row r="29" spans="1:20" s="71" customFormat="1" ht="18" customHeight="1">
      <c r="B29" s="3904" t="s">
        <v>1997</v>
      </c>
      <c r="C29" s="3904"/>
      <c r="D29" s="3904"/>
      <c r="E29" s="3904"/>
      <c r="F29" s="3904"/>
      <c r="G29" s="3905"/>
      <c r="H29" s="2206"/>
      <c r="I29" s="3871" t="e">
        <f>-PV(-RententrendDRV,I13,I24*12)</f>
        <v>#VALUE!</v>
      </c>
      <c r="J29" s="2180"/>
      <c r="K29" s="71" t="s">
        <v>2001</v>
      </c>
      <c r="L29" s="1574">
        <f>IFERROR(VLOOKUP(ROUND(G7,0),CHOOSE(N21,G_Kohorte_M,G_Kohorte_F,G_Kohorte_N),YEAR(G4)+IF(MONTH(G4)&gt;6,1,0)-1900+2),0)</f>
        <v>84458</v>
      </c>
      <c r="M29" s="1574">
        <f>IFERROR(VLOOKUP(ROUND(G11,0),CHOOSE(N21,G_Kohorte_M,G_Kohorte_F,G_Kohorte_N),YEAR(G4)+IF(MONTH(G4)&gt;6,1,0)-1900+2),0)</f>
        <v>93607</v>
      </c>
      <c r="N29" s="1573">
        <f t="shared" ref="N29" si="0">+IFERROR(ROUND(IF(L29/M29&gt;1,1,L29/M29),4),0)</f>
        <v>0.90229999999999999</v>
      </c>
      <c r="P29" s="154"/>
    </row>
    <row r="30" spans="1:20" s="71" customFormat="1" ht="18" customHeight="1" thickBot="1">
      <c r="B30" s="3906"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3907"/>
      <c r="D30" s="3907"/>
      <c r="E30" s="3907"/>
      <c r="F30" s="3907"/>
      <c r="G30" s="3908"/>
      <c r="H30" s="2208"/>
      <c r="I30" s="3872"/>
      <c r="J30" s="2181"/>
      <c r="K30" s="71" t="s">
        <v>2003</v>
      </c>
      <c r="L30" s="1574">
        <f>IFERROR(VLOOKUP(ROUND(G7,0),CHOOSE(N21,G_Kohorte_M,G_Kohorte_F,G_Kohorte_N),YEAR(G4)+IF(MONTH(G4)&gt;6,1,0)-1900+2),0)</f>
        <v>84458</v>
      </c>
      <c r="M30" s="1574">
        <f>+M29</f>
        <v>93607</v>
      </c>
      <c r="N30" s="1573">
        <f>IFERROR(+L30/M30,"")</f>
        <v>0.90226158300127124</v>
      </c>
    </row>
    <row r="31" spans="1:20" ht="15" customHeight="1" thickTop="1">
      <c r="B31" s="3906"/>
      <c r="C31" s="3907"/>
      <c r="D31" s="3907"/>
      <c r="E31" s="3907"/>
      <c r="F31" s="3907"/>
      <c r="G31" s="3908"/>
      <c r="H31" s="2196"/>
      <c r="I31" s="2196"/>
      <c r="J31" s="2181"/>
      <c r="K31" s="71"/>
      <c r="L31" s="2473" t="s">
        <v>1988</v>
      </c>
      <c r="M31" s="2473" t="s">
        <v>1989</v>
      </c>
      <c r="N31" s="2473" t="s">
        <v>1990</v>
      </c>
      <c r="O31" s="71"/>
      <c r="S31" s="71"/>
      <c r="T31" s="71"/>
    </row>
    <row r="32" spans="1:20" ht="15" customHeight="1">
      <c r="B32" s="3909" t="s">
        <v>1998</v>
      </c>
      <c r="C32" s="2892" t="s">
        <v>561</v>
      </c>
      <c r="D32" s="2892"/>
      <c r="E32" s="3914"/>
      <c r="F32" s="2892" t="s">
        <v>2000</v>
      </c>
      <c r="G32" s="3911"/>
      <c r="L32" s="2474"/>
      <c r="M32" s="2474"/>
      <c r="N32" s="2474"/>
      <c r="S32" s="71"/>
      <c r="T32" s="71"/>
    </row>
    <row r="33" spans="2:20">
      <c r="B33" s="3909"/>
      <c r="C33" s="3910">
        <f>IF(G26&gt;G21,G26/G21,G21/G26)-1</f>
        <v>0.67330519648388809</v>
      </c>
      <c r="D33" s="3910"/>
      <c r="E33" s="3915"/>
      <c r="F33" s="3910">
        <f>G15/G28</f>
        <v>0.38629565078429712</v>
      </c>
      <c r="G33" s="3912"/>
      <c r="H33" s="1519"/>
      <c r="K33" t="s">
        <v>2001</v>
      </c>
      <c r="L33" s="1572">
        <f>ROUND(VLOOKUP(G11,CHOOSE(IF(G7&lt;60,60,IF(G7&gt;67,67,G7))-59,HRIR60,HRIR61,HRIR62,HRIR63,HRIR64,HRIR,HRIR66,HRIR67),CHOOSE(N21,7,16,25))*D10,4)</f>
        <v>9.4299999999999995E-2</v>
      </c>
      <c r="M33" s="1572">
        <f>ROUND(VLOOKUP(G11,CHOOSE(IF(G7&lt;60,60,IF(G7&gt;67,67,G7))-59,HRIR60,HRIR61,HRIR62,HRIR63,HRIR64,HRIR,HRIR66,HRIR67),CHOOSE(N21,8,17,26))*F10,4)</f>
        <v>0.20119999999999999</v>
      </c>
      <c r="N33" s="1572">
        <f>+M33+L33</f>
        <v>0.29549999999999998</v>
      </c>
      <c r="S33" s="71"/>
      <c r="T33" s="71"/>
    </row>
    <row r="34" spans="2:20" ht="16.5" customHeight="1">
      <c r="B34" s="2241" t="str">
        <f>"Der Ausgleichswert von "&amp;TEXT(G21,"#.##0")&amp;" ist daher zu erhöhen auf:"</f>
        <v>Der Ausgleichswert von 277.719 ist daher zu erhöhen auf:</v>
      </c>
      <c r="C34" s="3901">
        <f>+G21*G19/G26</f>
        <v>165970.30986885729</v>
      </c>
      <c r="D34" s="3901"/>
      <c r="E34" s="2242" t="s">
        <v>1999</v>
      </c>
      <c r="F34" s="3902">
        <f>G21*G15/G28</f>
        <v>107281.63487355395</v>
      </c>
      <c r="G34" s="3903"/>
      <c r="H34" s="58"/>
      <c r="K34" t="s">
        <v>2002</v>
      </c>
      <c r="L34" s="1572">
        <f>ROUND(VLOOKUP(G11,CHOOSE(IF(G7&lt;60,60,IF(G7&gt;67,67,G7))-59,HRIR60,HRIR61,HRIR62,HRIR63,HRIR64,HRIR,HRIR66,HRIR67),CHOOSE(N21,7,16,25)),4)</f>
        <v>9.4299999999999995E-2</v>
      </c>
      <c r="M34" s="1572">
        <f>ROUND(VLOOKUP(G11,CHOOSE(IF(G7&lt;60,60,IF(G7&gt;67,67,G7))-59,HRIR60,HRIR61,HRIR62,HRIR63,HRIR64,HRIR,HRIR66,HRIR67),CHOOSE(N21,8,17,26))*0.55,4)</f>
        <v>0.18440000000000001</v>
      </c>
      <c r="N34" s="1572">
        <f>+M34+L34</f>
        <v>0.2787</v>
      </c>
    </row>
    <row r="35" spans="2:20" ht="15">
      <c r="B35" s="2241" t="s">
        <v>2004</v>
      </c>
      <c r="C35" s="3901">
        <f>+C34-G21</f>
        <v>-111748.67209674275</v>
      </c>
      <c r="D35" s="3901"/>
      <c r="E35" s="2242"/>
      <c r="F35" s="3902">
        <f>+F34-G21</f>
        <v>-170437.34709204611</v>
      </c>
      <c r="G35" s="3903"/>
      <c r="H35" s="58"/>
      <c r="M35" s="149"/>
    </row>
    <row r="36" spans="2:20" ht="15">
      <c r="B36" s="2241" t="s">
        <v>2006</v>
      </c>
      <c r="C36" s="3901">
        <f>+G21</f>
        <v>277718.98196560005</v>
      </c>
      <c r="D36" s="3901"/>
      <c r="E36" s="2242"/>
      <c r="F36" s="3902">
        <f>+G21</f>
        <v>277718.98196560005</v>
      </c>
      <c r="G36" s="3903"/>
      <c r="H36" s="4"/>
      <c r="M36" s="149"/>
    </row>
    <row r="37" spans="2:20">
      <c r="G37" s="1519"/>
      <c r="H37" s="1519"/>
    </row>
    <row r="38" spans="2:20">
      <c r="G38" s="1519"/>
      <c r="H38" s="1519"/>
    </row>
    <row r="39" spans="2:20">
      <c r="G39" s="1519"/>
      <c r="H39" s="1519"/>
    </row>
    <row r="40" spans="2:20">
      <c r="G40" s="1517"/>
      <c r="H40" s="1517"/>
    </row>
    <row r="41" spans="2:20" ht="15">
      <c r="B41" s="409"/>
      <c r="C41" s="409"/>
      <c r="D41" s="409"/>
      <c r="E41" s="409"/>
      <c r="F41" s="409"/>
      <c r="G41" s="2070"/>
      <c r="H41" s="2070"/>
    </row>
    <row r="42" spans="2:20">
      <c r="G42" s="2191"/>
      <c r="H42" s="2191"/>
    </row>
    <row r="43" spans="2:20">
      <c r="G43" s="2191"/>
      <c r="H43" s="2191"/>
      <c r="P43" s="1169" t="s">
        <v>1991</v>
      </c>
      <c r="Q43" s="1169" t="e">
        <f>VLOOKUP(YEAR(#REF!),Regelaltersgrenze,2)</f>
        <v>#REF!</v>
      </c>
      <c r="R43" s="2195" t="e">
        <f>DATE(YEAR(#REF!)+65,MONTH(#REF!+Q43)+1,1)</f>
        <v>#REF!</v>
      </c>
    </row>
    <row r="44" spans="2:20">
      <c r="I44" s="1765"/>
      <c r="P44" s="1169"/>
      <c r="Q44" s="1169"/>
      <c r="R44" s="2192"/>
    </row>
    <row r="45" spans="2:20">
      <c r="I45" s="1765"/>
      <c r="P45" s="2193"/>
      <c r="Q45" s="2193"/>
      <c r="R45" s="2194"/>
    </row>
    <row r="47" spans="2:20">
      <c r="G47" s="1765"/>
      <c r="H47" s="1765"/>
    </row>
    <row r="48" spans="2:20">
      <c r="G48" s="1203"/>
      <c r="H48" s="1203"/>
    </row>
    <row r="49" spans="7:8">
      <c r="G49" s="1765"/>
      <c r="H49" s="1765"/>
    </row>
    <row r="50" spans="7:8">
      <c r="G50" s="1765"/>
      <c r="H50" s="1765"/>
    </row>
    <row r="51" spans="7:8">
      <c r="G51" s="1765"/>
      <c r="H51" s="1765"/>
    </row>
  </sheetData>
  <mergeCells count="49">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B24:E24"/>
    <mergeCell ref="C36:D36"/>
    <mergeCell ref="F36:G36"/>
    <mergeCell ref="B21:F21"/>
    <mergeCell ref="E32:E33"/>
    <mergeCell ref="N27:N28"/>
    <mergeCell ref="C35:D35"/>
    <mergeCell ref="F35:G35"/>
    <mergeCell ref="B29:G29"/>
    <mergeCell ref="C34:D34"/>
    <mergeCell ref="B30:G31"/>
    <mergeCell ref="B32:B33"/>
    <mergeCell ref="C32:D32"/>
    <mergeCell ref="C33:D33"/>
    <mergeCell ref="F32:G32"/>
    <mergeCell ref="F33:G33"/>
    <mergeCell ref="F34:G34"/>
  </mergeCells>
  <conditionalFormatting sqref="G18 I19">
    <cfRule type="expression" dxfId="6" priority="7">
      <formula>G18=1</formula>
    </cfRule>
  </conditionalFormatting>
  <conditionalFormatting sqref="G17:H18">
    <cfRule type="expression" dxfId="5" priority="5">
      <formula>AND($AE$9=3,$Y$19="")</formula>
    </cfRule>
  </conditionalFormatting>
  <conditionalFormatting sqref="G3:I3">
    <cfRule type="expression" dxfId="4" priority="8">
      <formula>G3="d"</formula>
    </cfRule>
    <cfRule type="expression" dxfId="3" priority="9">
      <formula>G3="w"</formula>
    </cfRule>
    <cfRule type="expression" dxfId="2" priority="10">
      <formula>G3="m"</formula>
    </cfRule>
  </conditionalFormatting>
  <conditionalFormatting sqref="G3:I10">
    <cfRule type="expression" dxfId="1" priority="6">
      <formula>G3=""</formula>
    </cfRule>
  </conditionalFormatting>
  <conditionalFormatting sqref="I17:I18">
    <cfRule type="expression" dxfId="0"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2486025</xdr:colOff>
                    <xdr:row>16</xdr:row>
                    <xdr:rowOff>28575</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5857875</xdr:colOff>
                    <xdr:row>16</xdr:row>
                    <xdr:rowOff>28575</xdr:rowOff>
                  </from>
                  <to>
                    <xdr:col>3</xdr:col>
                    <xdr:colOff>28575</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dimension ref="D4:S33"/>
  <sheetViews>
    <sheetView workbookViewId="0">
      <selection activeCell="E10" sqref="E10:E12"/>
    </sheetView>
  </sheetViews>
  <sheetFormatPr baseColWidth="10" defaultColWidth="11" defaultRowHeight="14.25"/>
  <cols>
    <col min="1" max="4" width="11" style="93"/>
    <col min="5" max="5" width="11" style="93" customWidth="1"/>
    <col min="6" max="7" width="11" style="93"/>
    <col min="8" max="8" width="11" style="93" customWidth="1"/>
    <col min="9" max="14" width="11" style="93"/>
    <col min="15" max="15" width="11" style="93" customWidth="1"/>
    <col min="16" max="16384" width="11" style="93"/>
  </cols>
  <sheetData>
    <row r="4" spans="4:7">
      <c r="D4" s="397"/>
      <c r="E4" s="2261"/>
    </row>
    <row r="5" spans="4:7">
      <c r="D5" s="397"/>
      <c r="E5" s="2261"/>
    </row>
    <row r="6" spans="4:7">
      <c r="D6" s="397"/>
      <c r="E6" s="2261"/>
    </row>
    <row r="7" spans="4:7">
      <c r="D7" s="397"/>
      <c r="E7" s="2261"/>
    </row>
    <row r="8" spans="4:7">
      <c r="D8" s="397"/>
      <c r="E8" s="2261"/>
    </row>
    <row r="9" spans="4:7">
      <c r="D9" s="397"/>
      <c r="E9" s="2261"/>
    </row>
    <row r="10" spans="4:7">
      <c r="D10" s="397"/>
      <c r="E10" s="2261"/>
    </row>
    <row r="11" spans="4:7">
      <c r="D11" s="397"/>
      <c r="E11" s="2266"/>
    </row>
    <row r="12" spans="4:7">
      <c r="D12" s="397"/>
      <c r="E12" s="2266"/>
    </row>
    <row r="13" spans="4:7">
      <c r="D13" s="397"/>
      <c r="E13" s="2261"/>
    </row>
    <row r="14" spans="4:7">
      <c r="E14" s="2263"/>
      <c r="F14" s="2262"/>
      <c r="G14" s="2254"/>
    </row>
    <row r="17" spans="5:19" ht="15">
      <c r="O17" s="2255"/>
      <c r="P17" s="2255"/>
      <c r="Q17" s="2255"/>
      <c r="R17" s="2255"/>
      <c r="S17" s="2255"/>
    </row>
    <row r="22" spans="5:19" ht="15">
      <c r="E22" s="2255"/>
      <c r="F22" s="2255"/>
      <c r="G22" s="2255"/>
      <c r="H22" s="2255"/>
      <c r="I22" s="2255"/>
      <c r="J22" s="2255"/>
    </row>
    <row r="23" spans="5:19" ht="15">
      <c r="E23" s="2255"/>
      <c r="F23" s="2255"/>
    </row>
    <row r="25" spans="5:19" ht="15">
      <c r="O25" s="2255"/>
      <c r="P25" s="2255"/>
      <c r="Q25" s="2255"/>
      <c r="R25" s="2255"/>
      <c r="S25" s="2255"/>
    </row>
    <row r="27" spans="5:19" ht="15">
      <c r="E27" s="2255"/>
      <c r="F27" s="2255"/>
      <c r="G27" s="2255"/>
      <c r="H27" s="2255"/>
      <c r="I27" s="2255"/>
      <c r="J27" s="2255"/>
    </row>
    <row r="29" spans="5:19" ht="15">
      <c r="E29" s="2255"/>
      <c r="F29" s="2255"/>
    </row>
    <row r="33" spans="5:10" ht="15">
      <c r="E33" s="2255"/>
      <c r="F33" s="2255"/>
      <c r="G33" s="2255"/>
      <c r="H33" s="2255"/>
      <c r="I33" s="2255"/>
      <c r="J33" s="2255"/>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199"/>
  <sheetViews>
    <sheetView workbookViewId="0">
      <pane ySplit="2655" topLeftCell="A113" activePane="bottomLeft"/>
      <selection activeCell="P1" sqref="P1:P1048576"/>
      <selection pane="bottomLeft" activeCell="A131" sqref="A131:AY131"/>
    </sheetView>
  </sheetViews>
  <sheetFormatPr baseColWidth="10" defaultColWidth="11.125" defaultRowHeight="14.25"/>
  <cols>
    <col min="2" max="15" width="5.625" style="128" customWidth="1"/>
    <col min="16" max="16" width="5.625" style="443" customWidth="1"/>
    <col min="17" max="51" width="5.625" style="128" customWidth="1"/>
  </cols>
  <sheetData>
    <row r="1" spans="1:54" ht="15">
      <c r="A1" s="116"/>
      <c r="B1" s="117"/>
      <c r="C1" s="117"/>
      <c r="D1" s="117"/>
      <c r="E1" s="117"/>
      <c r="F1" s="117"/>
      <c r="G1" s="117"/>
      <c r="H1" s="117"/>
      <c r="I1" s="117"/>
      <c r="J1" s="117"/>
      <c r="K1" s="117"/>
      <c r="L1" s="117"/>
      <c r="M1" s="117"/>
      <c r="N1" s="117"/>
      <c r="O1" s="117"/>
      <c r="P1" s="438"/>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ht="15">
      <c r="A2" s="116"/>
      <c r="B2" s="117"/>
      <c r="C2" s="117"/>
      <c r="D2" s="117"/>
      <c r="E2" s="117"/>
      <c r="F2" s="117"/>
      <c r="G2" s="117"/>
      <c r="H2" s="117"/>
      <c r="I2" s="117"/>
      <c r="J2" s="117"/>
      <c r="K2" s="117"/>
      <c r="L2" s="117"/>
      <c r="M2" s="117"/>
      <c r="N2" s="117"/>
      <c r="O2" s="117"/>
      <c r="P2" s="438"/>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ht="15">
      <c r="A3" s="116"/>
      <c r="B3" s="117"/>
      <c r="C3" s="117"/>
      <c r="D3" s="117"/>
      <c r="E3" s="117"/>
      <c r="F3" s="117"/>
      <c r="G3" s="117"/>
      <c r="H3" s="117"/>
      <c r="I3" s="117"/>
      <c r="J3" s="117"/>
      <c r="K3" s="117"/>
      <c r="L3" s="117"/>
      <c r="M3" s="117"/>
      <c r="N3" s="117"/>
      <c r="O3" s="117"/>
      <c r="P3" s="438"/>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ht="15">
      <c r="A4" s="116"/>
      <c r="B4" s="117"/>
      <c r="C4" s="117"/>
      <c r="D4" s="117"/>
      <c r="E4" s="117"/>
      <c r="F4" s="117"/>
      <c r="G4" s="117"/>
      <c r="H4" s="117"/>
      <c r="I4" s="117"/>
      <c r="J4" s="117"/>
      <c r="K4" s="117"/>
      <c r="L4" s="117"/>
      <c r="M4" s="117"/>
      <c r="N4" s="117"/>
      <c r="O4" s="117"/>
      <c r="P4" s="438"/>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75">
      <c r="A5" s="119"/>
      <c r="B5" s="120"/>
      <c r="C5" s="120"/>
      <c r="D5" s="120"/>
      <c r="E5" s="120"/>
      <c r="F5" s="120"/>
      <c r="G5" s="120"/>
      <c r="H5" s="120"/>
      <c r="I5" s="120"/>
      <c r="J5" s="120"/>
      <c r="K5" s="120"/>
      <c r="L5" s="117"/>
      <c r="M5" s="117"/>
      <c r="N5" s="117"/>
      <c r="O5" s="117"/>
      <c r="P5" s="439"/>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ht="15">
      <c r="A6" s="121">
        <f>MIN(A9:A300)</f>
        <v>42035</v>
      </c>
      <c r="B6" s="122" t="s">
        <v>30</v>
      </c>
      <c r="C6" s="122"/>
      <c r="D6" s="122"/>
      <c r="E6" s="122"/>
      <c r="F6" s="122"/>
      <c r="G6" s="122"/>
      <c r="H6" s="122"/>
      <c r="I6" s="122"/>
      <c r="J6" s="122"/>
      <c r="K6" s="122"/>
      <c r="L6" s="122" t="s">
        <v>30</v>
      </c>
      <c r="M6" s="117"/>
      <c r="N6" s="117"/>
      <c r="O6" s="117"/>
      <c r="P6" s="439"/>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MAX(A9:A300)</f>
        <v>45747</v>
      </c>
      <c r="B7" s="122" t="s">
        <v>127</v>
      </c>
      <c r="C7" s="122"/>
      <c r="D7" s="122"/>
      <c r="E7" s="122"/>
      <c r="F7" s="122"/>
      <c r="G7" s="122"/>
      <c r="H7" s="122"/>
      <c r="I7" s="122"/>
      <c r="J7" s="122"/>
      <c r="K7" s="122"/>
      <c r="L7" s="122" t="s">
        <v>127</v>
      </c>
      <c r="M7" s="122"/>
      <c r="N7" s="122"/>
      <c r="O7" s="122"/>
      <c r="P7" s="440"/>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40">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81">
        <v>3.07</v>
      </c>
      <c r="C9" s="681">
        <v>3.17</v>
      </c>
      <c r="D9" s="681">
        <v>3.31</v>
      </c>
      <c r="E9" s="681">
        <v>3.46</v>
      </c>
      <c r="F9" s="681">
        <v>3.6</v>
      </c>
      <c r="G9" s="681">
        <v>3.74</v>
      </c>
      <c r="H9" s="681">
        <v>3.87</v>
      </c>
      <c r="I9" s="681">
        <v>3.98</v>
      </c>
      <c r="J9" s="681">
        <v>4.09</v>
      </c>
      <c r="K9" s="681">
        <v>4.18</v>
      </c>
      <c r="L9" s="681">
        <v>4.2699999999999996</v>
      </c>
      <c r="M9" s="681">
        <v>4.34</v>
      </c>
      <c r="N9" s="681">
        <v>4.41</v>
      </c>
      <c r="O9" s="681">
        <v>4.46</v>
      </c>
      <c r="P9" s="682">
        <v>4.51</v>
      </c>
      <c r="Q9" s="681">
        <v>4.53</v>
      </c>
      <c r="R9" s="681">
        <v>4.5599999999999996</v>
      </c>
      <c r="S9" s="681">
        <v>4.57</v>
      </c>
      <c r="T9" s="681">
        <v>4.59</v>
      </c>
      <c r="U9" s="681">
        <v>4.6100000000000003</v>
      </c>
      <c r="V9" s="681">
        <v>4.5999999999999996</v>
      </c>
      <c r="W9" s="681">
        <v>4.59</v>
      </c>
      <c r="X9" s="681">
        <v>4.59</v>
      </c>
      <c r="Y9" s="681">
        <v>4.58</v>
      </c>
      <c r="Z9" s="681">
        <v>4.58</v>
      </c>
      <c r="AA9" s="681">
        <v>4.5599999999999996</v>
      </c>
      <c r="AB9" s="681">
        <v>4.55</v>
      </c>
      <c r="AC9" s="681">
        <v>4.54</v>
      </c>
      <c r="AD9" s="681">
        <v>4.53</v>
      </c>
      <c r="AE9" s="681">
        <v>4.5199999999999996</v>
      </c>
      <c r="AF9" s="681">
        <v>4.5</v>
      </c>
      <c r="AG9" s="681">
        <v>4.49</v>
      </c>
      <c r="AH9" s="681">
        <v>4.4800000000000004</v>
      </c>
      <c r="AI9" s="681">
        <v>4.47</v>
      </c>
      <c r="AJ9" s="681">
        <v>4.46</v>
      </c>
      <c r="AK9" s="681">
        <v>4.46</v>
      </c>
      <c r="AL9" s="681">
        <v>4.45</v>
      </c>
      <c r="AM9" s="681">
        <v>4.4400000000000004</v>
      </c>
      <c r="AN9" s="681">
        <v>4.43</v>
      </c>
      <c r="AO9" s="681">
        <v>4.43</v>
      </c>
      <c r="AP9" s="681">
        <v>4.42</v>
      </c>
      <c r="AQ9" s="681">
        <v>4.42</v>
      </c>
      <c r="AR9" s="681">
        <v>4.41</v>
      </c>
      <c r="AS9" s="681">
        <v>4.41</v>
      </c>
      <c r="AT9" s="681">
        <v>4.4000000000000004</v>
      </c>
      <c r="AU9" s="681">
        <v>4.4000000000000004</v>
      </c>
      <c r="AV9" s="681">
        <v>4.4000000000000004</v>
      </c>
      <c r="AW9" s="681">
        <v>4.3899999999999997</v>
      </c>
      <c r="AX9" s="681">
        <v>4.3899999999999997</v>
      </c>
      <c r="AY9" s="681">
        <v>4.38</v>
      </c>
      <c r="BB9" s="353">
        <v>4.4800000000000004</v>
      </c>
    </row>
    <row r="10" spans="1:54">
      <c r="A10" s="111">
        <v>42063</v>
      </c>
      <c r="B10" s="353">
        <v>3.05</v>
      </c>
      <c r="C10" s="353">
        <v>3.15</v>
      </c>
      <c r="D10" s="353">
        <v>3.29</v>
      </c>
      <c r="E10" s="353">
        <v>3.44</v>
      </c>
      <c r="F10" s="353">
        <v>3.58</v>
      </c>
      <c r="G10" s="353">
        <v>3.72</v>
      </c>
      <c r="H10" s="353">
        <v>3.84</v>
      </c>
      <c r="I10" s="353">
        <v>3.96</v>
      </c>
      <c r="J10" s="353">
        <v>4.0599999999999996</v>
      </c>
      <c r="K10" s="353">
        <v>4.16</v>
      </c>
      <c r="L10" s="353">
        <v>4.24</v>
      </c>
      <c r="M10" s="353">
        <v>4.32</v>
      </c>
      <c r="N10" s="353">
        <v>4.38</v>
      </c>
      <c r="O10" s="353">
        <v>4.4400000000000004</v>
      </c>
      <c r="P10" s="442">
        <v>4.4800000000000004</v>
      </c>
      <c r="Q10" s="353">
        <v>4.51</v>
      </c>
      <c r="R10" s="353">
        <v>4.53</v>
      </c>
      <c r="S10" s="353">
        <v>4.55</v>
      </c>
      <c r="T10" s="353">
        <v>4.5599999999999996</v>
      </c>
      <c r="U10" s="353">
        <v>4.58</v>
      </c>
      <c r="V10" s="353">
        <v>4.57</v>
      </c>
      <c r="W10" s="353">
        <v>4.57</v>
      </c>
      <c r="X10" s="353">
        <v>4.5599999999999996</v>
      </c>
      <c r="Y10" s="353">
        <v>4.5599999999999996</v>
      </c>
      <c r="Z10" s="353">
        <v>4.55</v>
      </c>
      <c r="AA10" s="353">
        <v>4.54</v>
      </c>
      <c r="AB10" s="353">
        <v>4.5199999999999996</v>
      </c>
      <c r="AC10" s="353">
        <v>4.51</v>
      </c>
      <c r="AD10" s="353">
        <v>4.5</v>
      </c>
      <c r="AE10" s="353">
        <v>4.49</v>
      </c>
      <c r="AF10" s="353">
        <v>4.4800000000000004</v>
      </c>
      <c r="AG10" s="353">
        <v>4.47</v>
      </c>
      <c r="AH10" s="353">
        <v>4.46</v>
      </c>
      <c r="AI10" s="353">
        <v>4.45</v>
      </c>
      <c r="AJ10" s="353">
        <v>4.4400000000000004</v>
      </c>
      <c r="AK10" s="353">
        <v>4.43</v>
      </c>
      <c r="AL10" s="353">
        <v>4.42</v>
      </c>
      <c r="AM10" s="353">
        <v>4.41</v>
      </c>
      <c r="AN10" s="353">
        <v>4.41</v>
      </c>
      <c r="AO10" s="353">
        <v>4.4000000000000004</v>
      </c>
      <c r="AP10" s="353">
        <v>4.3899999999999997</v>
      </c>
      <c r="AQ10" s="353">
        <v>4.3899999999999997</v>
      </c>
      <c r="AR10" s="353">
        <v>4.3899999999999997</v>
      </c>
      <c r="AS10" s="353">
        <v>4.38</v>
      </c>
      <c r="AT10" s="353">
        <v>4.38</v>
      </c>
      <c r="AU10" s="353">
        <v>4.37</v>
      </c>
      <c r="AV10" s="353">
        <v>4.37</v>
      </c>
      <c r="AW10" s="353">
        <v>4.37</v>
      </c>
      <c r="AX10" s="353">
        <v>4.3600000000000003</v>
      </c>
      <c r="AY10" s="353">
        <v>4.3600000000000003</v>
      </c>
      <c r="BB10" s="353">
        <v>4.43</v>
      </c>
    </row>
    <row r="11" spans="1:54">
      <c r="A11" s="111">
        <v>42094</v>
      </c>
      <c r="B11" s="353">
        <v>3.03</v>
      </c>
      <c r="C11" s="353">
        <v>3.13</v>
      </c>
      <c r="D11" s="353">
        <v>3.26</v>
      </c>
      <c r="E11" s="353">
        <v>3.41</v>
      </c>
      <c r="F11" s="353">
        <v>3.56</v>
      </c>
      <c r="G11" s="353">
        <v>3.69</v>
      </c>
      <c r="H11" s="353">
        <v>3.82</v>
      </c>
      <c r="I11" s="353">
        <v>3.93</v>
      </c>
      <c r="J11" s="353">
        <v>4.04</v>
      </c>
      <c r="K11" s="353">
        <v>4.13</v>
      </c>
      <c r="L11" s="353">
        <v>4.22</v>
      </c>
      <c r="M11" s="353">
        <v>4.29</v>
      </c>
      <c r="N11" s="353">
        <v>4.3499999999999996</v>
      </c>
      <c r="O11" s="353">
        <v>4.41</v>
      </c>
      <c r="P11" s="442">
        <v>4.46</v>
      </c>
      <c r="Q11" s="353">
        <v>4.4800000000000004</v>
      </c>
      <c r="R11" s="353">
        <v>4.5</v>
      </c>
      <c r="S11" s="353">
        <v>4.5199999999999996</v>
      </c>
      <c r="T11" s="353">
        <v>4.54</v>
      </c>
      <c r="U11" s="353">
        <v>4.55</v>
      </c>
      <c r="V11" s="353">
        <v>4.54</v>
      </c>
      <c r="W11" s="353">
        <v>4.54</v>
      </c>
      <c r="X11" s="353">
        <v>4.53</v>
      </c>
      <c r="Y11" s="353">
        <v>4.53</v>
      </c>
      <c r="Z11" s="353">
        <v>4.5199999999999996</v>
      </c>
      <c r="AA11" s="353">
        <v>4.51</v>
      </c>
      <c r="AB11" s="353">
        <v>4.5</v>
      </c>
      <c r="AC11" s="353">
        <v>4.4800000000000004</v>
      </c>
      <c r="AD11" s="353">
        <v>4.47</v>
      </c>
      <c r="AE11" s="353">
        <v>4.46</v>
      </c>
      <c r="AF11" s="353">
        <v>4.45</v>
      </c>
      <c r="AG11" s="353">
        <v>4.4400000000000004</v>
      </c>
      <c r="AH11" s="353">
        <v>4.43</v>
      </c>
      <c r="AI11" s="353">
        <v>4.42</v>
      </c>
      <c r="AJ11" s="353">
        <v>4.41</v>
      </c>
      <c r="AK11" s="353">
        <v>4.4000000000000004</v>
      </c>
      <c r="AL11" s="353">
        <v>4.3899999999999997</v>
      </c>
      <c r="AM11" s="353">
        <v>4.38</v>
      </c>
      <c r="AN11" s="353">
        <v>4.38</v>
      </c>
      <c r="AO11" s="353">
        <v>4.37</v>
      </c>
      <c r="AP11" s="353">
        <v>4.37</v>
      </c>
      <c r="AQ11" s="353">
        <v>4.3600000000000003</v>
      </c>
      <c r="AR11" s="353">
        <v>4.3600000000000003</v>
      </c>
      <c r="AS11" s="353">
        <v>4.3499999999999996</v>
      </c>
      <c r="AT11" s="353">
        <v>4.3499999999999996</v>
      </c>
      <c r="AU11" s="353">
        <v>4.34</v>
      </c>
      <c r="AV11" s="353">
        <v>4.34</v>
      </c>
      <c r="AW11" s="353">
        <v>4.34</v>
      </c>
      <c r="AX11" s="353">
        <v>4.33</v>
      </c>
      <c r="AY11" s="353">
        <v>4.33</v>
      </c>
      <c r="BB11" s="353">
        <v>4.37</v>
      </c>
    </row>
    <row r="12" spans="1:54">
      <c r="A12" s="111">
        <v>42124</v>
      </c>
      <c r="B12" s="353">
        <v>3.02</v>
      </c>
      <c r="C12" s="353">
        <v>3.11</v>
      </c>
      <c r="D12" s="353">
        <v>3.24</v>
      </c>
      <c r="E12" s="353">
        <v>3.39</v>
      </c>
      <c r="F12" s="353">
        <v>3.53</v>
      </c>
      <c r="G12" s="353">
        <v>3.67</v>
      </c>
      <c r="H12" s="353">
        <v>3.8</v>
      </c>
      <c r="I12" s="353">
        <v>3.91</v>
      </c>
      <c r="J12" s="353">
        <v>4.01</v>
      </c>
      <c r="K12" s="353">
        <v>4.0999999999999996</v>
      </c>
      <c r="L12" s="353">
        <v>4.1900000000000004</v>
      </c>
      <c r="M12" s="353">
        <v>4.26</v>
      </c>
      <c r="N12" s="353">
        <v>4.33</v>
      </c>
      <c r="O12" s="353">
        <v>4.38</v>
      </c>
      <c r="P12" s="442">
        <v>4.43</v>
      </c>
      <c r="Q12" s="353">
        <v>4.45</v>
      </c>
      <c r="R12" s="353">
        <v>4.47</v>
      </c>
      <c r="S12" s="353">
        <v>4.49</v>
      </c>
      <c r="T12" s="353">
        <v>4.51</v>
      </c>
      <c r="U12" s="353">
        <v>4.53</v>
      </c>
      <c r="V12" s="353">
        <v>4.5199999999999996</v>
      </c>
      <c r="W12" s="353">
        <v>4.51</v>
      </c>
      <c r="X12" s="353">
        <v>4.51</v>
      </c>
      <c r="Y12" s="353">
        <v>4.5</v>
      </c>
      <c r="Z12" s="353">
        <v>4.5</v>
      </c>
      <c r="AA12" s="353">
        <v>4.4800000000000004</v>
      </c>
      <c r="AB12" s="353">
        <v>4.47</v>
      </c>
      <c r="AC12" s="353">
        <v>4.46</v>
      </c>
      <c r="AD12" s="353">
        <v>4.4400000000000004</v>
      </c>
      <c r="AE12" s="353">
        <v>4.43</v>
      </c>
      <c r="AF12" s="353">
        <v>4.42</v>
      </c>
      <c r="AG12" s="353">
        <v>4.41</v>
      </c>
      <c r="AH12" s="353">
        <v>4.4000000000000004</v>
      </c>
      <c r="AI12" s="353">
        <v>4.3899999999999997</v>
      </c>
      <c r="AJ12" s="353">
        <v>4.38</v>
      </c>
      <c r="AK12" s="353">
        <v>4.37</v>
      </c>
      <c r="AL12" s="353">
        <v>4.37</v>
      </c>
      <c r="AM12" s="353">
        <v>4.3600000000000003</v>
      </c>
      <c r="AN12" s="353">
        <v>4.3499999999999996</v>
      </c>
      <c r="AO12" s="353">
        <v>4.34</v>
      </c>
      <c r="AP12" s="353">
        <v>4.34</v>
      </c>
      <c r="AQ12" s="353">
        <v>4.33</v>
      </c>
      <c r="AR12" s="353">
        <v>4.33</v>
      </c>
      <c r="AS12" s="353">
        <v>4.32</v>
      </c>
      <c r="AT12" s="353">
        <v>4.32</v>
      </c>
      <c r="AU12" s="353">
        <v>4.32</v>
      </c>
      <c r="AV12" s="353">
        <v>4.3099999999999996</v>
      </c>
      <c r="AW12" s="353">
        <v>4.3099999999999996</v>
      </c>
      <c r="AX12" s="353">
        <v>4.3</v>
      </c>
      <c r="AY12" s="353">
        <v>4.3</v>
      </c>
      <c r="BB12" s="353">
        <v>4.3099999999999996</v>
      </c>
    </row>
    <row r="13" spans="1:54">
      <c r="A13" s="111">
        <v>42155</v>
      </c>
      <c r="B13" s="353">
        <v>3</v>
      </c>
      <c r="C13" s="353">
        <v>3.09</v>
      </c>
      <c r="D13" s="353">
        <v>3.23</v>
      </c>
      <c r="E13" s="353">
        <v>3.37</v>
      </c>
      <c r="F13" s="353">
        <v>3.51</v>
      </c>
      <c r="G13" s="353">
        <v>3.65</v>
      </c>
      <c r="H13" s="353">
        <v>3.78</v>
      </c>
      <c r="I13" s="353">
        <v>3.89</v>
      </c>
      <c r="J13" s="353">
        <v>3.99</v>
      </c>
      <c r="K13" s="353">
        <v>4.08</v>
      </c>
      <c r="L13" s="353">
        <v>4.17</v>
      </c>
      <c r="M13" s="353">
        <v>4.24</v>
      </c>
      <c r="N13" s="353">
        <v>4.3099999999999996</v>
      </c>
      <c r="O13" s="353">
        <v>4.3600000000000003</v>
      </c>
      <c r="P13" s="442">
        <v>4.41</v>
      </c>
      <c r="Q13" s="353">
        <v>4.43</v>
      </c>
      <c r="R13" s="353">
        <v>4.45</v>
      </c>
      <c r="S13" s="353">
        <v>4.47</v>
      </c>
      <c r="T13" s="353">
        <v>4.49</v>
      </c>
      <c r="U13" s="353">
        <v>4.5</v>
      </c>
      <c r="V13" s="353">
        <v>4.5</v>
      </c>
      <c r="W13" s="353">
        <v>4.49</v>
      </c>
      <c r="X13" s="353">
        <v>4.4800000000000004</v>
      </c>
      <c r="Y13" s="353">
        <v>4.4800000000000004</v>
      </c>
      <c r="Z13" s="353">
        <v>4.47</v>
      </c>
      <c r="AA13" s="353">
        <v>4.46</v>
      </c>
      <c r="AB13" s="353">
        <v>4.45</v>
      </c>
      <c r="AC13" s="353">
        <v>4.43</v>
      </c>
      <c r="AD13" s="353">
        <v>4.42</v>
      </c>
      <c r="AE13" s="353">
        <v>4.41</v>
      </c>
      <c r="AF13" s="353">
        <v>4.4000000000000004</v>
      </c>
      <c r="AG13" s="353">
        <v>4.3899999999999997</v>
      </c>
      <c r="AH13" s="353">
        <v>4.38</v>
      </c>
      <c r="AI13" s="353">
        <v>4.37</v>
      </c>
      <c r="AJ13" s="353">
        <v>4.3600000000000003</v>
      </c>
      <c r="AK13" s="353">
        <v>4.3499999999999996</v>
      </c>
      <c r="AL13" s="353">
        <v>4.34</v>
      </c>
      <c r="AM13" s="353">
        <v>4.34</v>
      </c>
      <c r="AN13" s="353">
        <v>4.33</v>
      </c>
      <c r="AO13" s="353">
        <v>4.32</v>
      </c>
      <c r="AP13" s="353">
        <v>4.32</v>
      </c>
      <c r="AQ13" s="353">
        <v>4.3099999999999996</v>
      </c>
      <c r="AR13" s="353">
        <v>4.3099999999999996</v>
      </c>
      <c r="AS13" s="353">
        <v>4.3</v>
      </c>
      <c r="AT13" s="353">
        <v>4.3</v>
      </c>
      <c r="AU13" s="353">
        <v>4.29</v>
      </c>
      <c r="AV13" s="353">
        <v>4.29</v>
      </c>
      <c r="AW13" s="353">
        <v>4.29</v>
      </c>
      <c r="AX13" s="353">
        <v>4.28</v>
      </c>
      <c r="AY13" s="353">
        <v>4.28</v>
      </c>
      <c r="BB13" s="353">
        <v>4.26</v>
      </c>
    </row>
    <row r="14" spans="1:54">
      <c r="A14" s="111">
        <v>42185</v>
      </c>
      <c r="B14" s="353">
        <v>2.99</v>
      </c>
      <c r="C14" s="353">
        <v>3.08</v>
      </c>
      <c r="D14" s="353">
        <v>3.21</v>
      </c>
      <c r="E14" s="353">
        <v>3.36</v>
      </c>
      <c r="F14" s="353">
        <v>3.5</v>
      </c>
      <c r="G14" s="353">
        <v>3.64</v>
      </c>
      <c r="H14" s="353">
        <v>3.76</v>
      </c>
      <c r="I14" s="353">
        <v>3.87</v>
      </c>
      <c r="J14" s="353">
        <v>3.98</v>
      </c>
      <c r="K14" s="353">
        <v>4.07</v>
      </c>
      <c r="L14" s="353">
        <v>4.16</v>
      </c>
      <c r="M14" s="353">
        <v>4.2300000000000004</v>
      </c>
      <c r="N14" s="353">
        <v>4.29</v>
      </c>
      <c r="O14" s="353">
        <v>4.3499999999999996</v>
      </c>
      <c r="P14" s="442">
        <v>4.3899999999999997</v>
      </c>
      <c r="Q14" s="353">
        <v>4.42</v>
      </c>
      <c r="R14" s="353">
        <v>4.4400000000000004</v>
      </c>
      <c r="S14" s="353">
        <v>4.46</v>
      </c>
      <c r="T14" s="353">
        <v>4.47</v>
      </c>
      <c r="U14" s="353">
        <v>4.49</v>
      </c>
      <c r="V14" s="353">
        <v>4.4800000000000004</v>
      </c>
      <c r="W14" s="353">
        <v>4.4800000000000004</v>
      </c>
      <c r="X14" s="353">
        <v>4.47</v>
      </c>
      <c r="Y14" s="353">
        <v>4.46</v>
      </c>
      <c r="Z14" s="353">
        <v>4.46</v>
      </c>
      <c r="AA14" s="353">
        <v>4.4400000000000004</v>
      </c>
      <c r="AB14" s="353">
        <v>4.43</v>
      </c>
      <c r="AC14" s="353">
        <v>4.42</v>
      </c>
      <c r="AD14" s="353">
        <v>4.41</v>
      </c>
      <c r="AE14" s="353">
        <v>4.3899999999999997</v>
      </c>
      <c r="AF14" s="353">
        <v>4.38</v>
      </c>
      <c r="AG14" s="353">
        <v>4.37</v>
      </c>
      <c r="AH14" s="353">
        <v>4.3600000000000003</v>
      </c>
      <c r="AI14" s="353">
        <v>4.3499999999999996</v>
      </c>
      <c r="AJ14" s="353">
        <v>4.34</v>
      </c>
      <c r="AK14" s="353">
        <v>4.34</v>
      </c>
      <c r="AL14" s="353">
        <v>4.33</v>
      </c>
      <c r="AM14" s="353">
        <v>4.32</v>
      </c>
      <c r="AN14" s="353">
        <v>4.3099999999999996</v>
      </c>
      <c r="AO14" s="353">
        <v>4.3099999999999996</v>
      </c>
      <c r="AP14" s="353">
        <v>4.3</v>
      </c>
      <c r="AQ14" s="353">
        <v>4.3</v>
      </c>
      <c r="AR14" s="353">
        <v>4.29</v>
      </c>
      <c r="AS14" s="353">
        <v>4.29</v>
      </c>
      <c r="AT14" s="353">
        <v>4.28</v>
      </c>
      <c r="AU14" s="353">
        <v>4.28</v>
      </c>
      <c r="AV14" s="353">
        <v>4.2699999999999996</v>
      </c>
      <c r="AW14" s="353">
        <v>4.2699999999999996</v>
      </c>
      <c r="AX14" s="353">
        <v>4.2699999999999996</v>
      </c>
      <c r="AY14" s="353">
        <v>4.26</v>
      </c>
      <c r="BB14" s="353">
        <v>4.21</v>
      </c>
    </row>
    <row r="15" spans="1:54">
      <c r="A15" s="111">
        <v>42216</v>
      </c>
      <c r="B15" s="353">
        <v>2.97</v>
      </c>
      <c r="C15" s="353">
        <v>3.06</v>
      </c>
      <c r="D15" s="353">
        <v>3.19</v>
      </c>
      <c r="E15" s="353">
        <v>3.34</v>
      </c>
      <c r="F15" s="353">
        <v>3.48</v>
      </c>
      <c r="G15" s="353">
        <v>3.62</v>
      </c>
      <c r="H15" s="353">
        <v>3.74</v>
      </c>
      <c r="I15" s="353">
        <v>3.86</v>
      </c>
      <c r="J15" s="353">
        <v>3.96</v>
      </c>
      <c r="K15" s="353">
        <v>4.05</v>
      </c>
      <c r="L15" s="353">
        <v>4.1399999999999997</v>
      </c>
      <c r="M15" s="353">
        <v>4.21</v>
      </c>
      <c r="N15" s="353">
        <v>4.28</v>
      </c>
      <c r="O15" s="353">
        <v>4.33</v>
      </c>
      <c r="P15" s="442">
        <v>4.38</v>
      </c>
      <c r="Q15" s="353">
        <v>4.4000000000000004</v>
      </c>
      <c r="R15" s="353">
        <v>4.42</v>
      </c>
      <c r="S15" s="353">
        <v>4.4400000000000004</v>
      </c>
      <c r="T15" s="353">
        <v>4.46</v>
      </c>
      <c r="U15" s="353">
        <v>4.47</v>
      </c>
      <c r="V15" s="353">
        <v>4.46</v>
      </c>
      <c r="W15" s="353">
        <v>4.46</v>
      </c>
      <c r="X15" s="353">
        <v>4.45</v>
      </c>
      <c r="Y15" s="353">
        <v>4.45</v>
      </c>
      <c r="Z15" s="353">
        <v>4.4400000000000004</v>
      </c>
      <c r="AA15" s="353">
        <v>4.43</v>
      </c>
      <c r="AB15" s="353">
        <v>4.41</v>
      </c>
      <c r="AC15" s="353">
        <v>4.4000000000000004</v>
      </c>
      <c r="AD15" s="353">
        <v>4.3899999999999997</v>
      </c>
      <c r="AE15" s="353">
        <v>4.38</v>
      </c>
      <c r="AF15" s="353">
        <v>4.37</v>
      </c>
      <c r="AG15" s="353">
        <v>4.3499999999999996</v>
      </c>
      <c r="AH15" s="353">
        <v>4.34</v>
      </c>
      <c r="AI15" s="353">
        <v>4.33</v>
      </c>
      <c r="AJ15" s="353">
        <v>4.33</v>
      </c>
      <c r="AK15" s="353">
        <v>4.32</v>
      </c>
      <c r="AL15" s="353">
        <v>4.3099999999999996</v>
      </c>
      <c r="AM15" s="353">
        <v>4.3</v>
      </c>
      <c r="AN15" s="353">
        <v>4.29</v>
      </c>
      <c r="AO15" s="353">
        <v>4.29</v>
      </c>
      <c r="AP15" s="353">
        <v>4.28</v>
      </c>
      <c r="AQ15" s="353">
        <v>4.28</v>
      </c>
      <c r="AR15" s="353">
        <v>4.2699999999999996</v>
      </c>
      <c r="AS15" s="353">
        <v>4.2699999999999996</v>
      </c>
      <c r="AT15" s="353">
        <v>4.26</v>
      </c>
      <c r="AU15" s="353">
        <v>4.26</v>
      </c>
      <c r="AV15" s="353">
        <v>4.25</v>
      </c>
      <c r="AW15" s="353">
        <v>4.25</v>
      </c>
      <c r="AX15" s="353">
        <v>4.25</v>
      </c>
      <c r="AY15" s="353">
        <v>4.24</v>
      </c>
      <c r="BB15" s="353">
        <v>4.17</v>
      </c>
    </row>
    <row r="16" spans="1:54">
      <c r="A16" s="111">
        <v>42247</v>
      </c>
      <c r="B16" s="353">
        <v>2.95</v>
      </c>
      <c r="C16" s="353">
        <v>3.05</v>
      </c>
      <c r="D16" s="353">
        <v>3.18</v>
      </c>
      <c r="E16" s="353">
        <v>3.33</v>
      </c>
      <c r="F16" s="353">
        <v>3.47</v>
      </c>
      <c r="G16" s="353">
        <v>3.61</v>
      </c>
      <c r="H16" s="353">
        <v>3.73</v>
      </c>
      <c r="I16" s="353">
        <v>3.84</v>
      </c>
      <c r="J16" s="353">
        <v>3.94</v>
      </c>
      <c r="K16" s="353">
        <v>4.04</v>
      </c>
      <c r="L16" s="353">
        <v>4.13</v>
      </c>
      <c r="M16" s="353">
        <v>4.2</v>
      </c>
      <c r="N16" s="353">
        <v>4.26</v>
      </c>
      <c r="O16" s="353">
        <v>4.32</v>
      </c>
      <c r="P16" s="442">
        <v>4.3600000000000003</v>
      </c>
      <c r="Q16" s="353">
        <v>4.3899999999999997</v>
      </c>
      <c r="R16" s="353">
        <v>4.41</v>
      </c>
      <c r="S16" s="353">
        <v>4.43</v>
      </c>
      <c r="T16" s="353">
        <v>4.4400000000000004</v>
      </c>
      <c r="U16" s="353">
        <v>4.46</v>
      </c>
      <c r="V16" s="353">
        <v>4.45</v>
      </c>
      <c r="W16" s="353">
        <v>4.4400000000000004</v>
      </c>
      <c r="X16" s="353">
        <v>4.4400000000000004</v>
      </c>
      <c r="Y16" s="353">
        <v>4.43</v>
      </c>
      <c r="Z16" s="353">
        <v>4.43</v>
      </c>
      <c r="AA16" s="353">
        <v>4.41</v>
      </c>
      <c r="AB16" s="353">
        <v>4.4000000000000004</v>
      </c>
      <c r="AC16" s="353">
        <v>4.3899999999999997</v>
      </c>
      <c r="AD16" s="353">
        <v>4.37</v>
      </c>
      <c r="AE16" s="353">
        <v>4.3600000000000003</v>
      </c>
      <c r="AF16" s="353">
        <v>4.3499999999999996</v>
      </c>
      <c r="AG16" s="353">
        <v>4.34</v>
      </c>
      <c r="AH16" s="353">
        <v>4.33</v>
      </c>
      <c r="AI16" s="353">
        <v>4.32</v>
      </c>
      <c r="AJ16" s="353">
        <v>4.3099999999999996</v>
      </c>
      <c r="AK16" s="353">
        <v>4.3</v>
      </c>
      <c r="AL16" s="353">
        <v>4.29</v>
      </c>
      <c r="AM16" s="353">
        <v>4.29</v>
      </c>
      <c r="AN16" s="353">
        <v>4.28</v>
      </c>
      <c r="AO16" s="353">
        <v>4.2699999999999996</v>
      </c>
      <c r="AP16" s="353">
        <v>4.2699999999999996</v>
      </c>
      <c r="AQ16" s="353">
        <v>4.26</v>
      </c>
      <c r="AR16" s="353">
        <v>4.26</v>
      </c>
      <c r="AS16" s="353">
        <v>4.25</v>
      </c>
      <c r="AT16" s="353">
        <v>4.25</v>
      </c>
      <c r="AU16" s="353">
        <v>4.24</v>
      </c>
      <c r="AV16" s="353">
        <v>4.24</v>
      </c>
      <c r="AW16" s="353">
        <v>4.24</v>
      </c>
      <c r="AX16" s="353">
        <v>4.2300000000000004</v>
      </c>
      <c r="AY16" s="353">
        <v>4.2300000000000004</v>
      </c>
      <c r="BB16" s="353">
        <v>4.12</v>
      </c>
    </row>
    <row r="17" spans="1:54">
      <c r="A17" s="111">
        <v>42277</v>
      </c>
      <c r="B17" s="353">
        <v>2.94</v>
      </c>
      <c r="C17" s="353">
        <v>3.03</v>
      </c>
      <c r="D17" s="353">
        <v>3.16</v>
      </c>
      <c r="E17" s="353">
        <v>3.31</v>
      </c>
      <c r="F17" s="353">
        <v>3.45</v>
      </c>
      <c r="G17" s="353">
        <v>3.59</v>
      </c>
      <c r="H17" s="353">
        <v>3.71</v>
      </c>
      <c r="I17" s="353">
        <v>3.83</v>
      </c>
      <c r="J17" s="353">
        <v>3.93</v>
      </c>
      <c r="K17" s="353">
        <v>4.0199999999999996</v>
      </c>
      <c r="L17" s="353">
        <v>4.1100000000000003</v>
      </c>
      <c r="M17" s="353">
        <v>4.1900000000000004</v>
      </c>
      <c r="N17" s="353">
        <v>4.25</v>
      </c>
      <c r="O17" s="353">
        <v>4.3</v>
      </c>
      <c r="P17" s="442">
        <v>4.3499999999999996</v>
      </c>
      <c r="Q17" s="353">
        <v>4.37</v>
      </c>
      <c r="R17" s="353">
        <v>4.3899999999999997</v>
      </c>
      <c r="S17" s="353">
        <v>4.41</v>
      </c>
      <c r="T17" s="353">
        <v>4.43</v>
      </c>
      <c r="U17" s="353">
        <v>4.4400000000000004</v>
      </c>
      <c r="V17" s="353">
        <v>4.4400000000000004</v>
      </c>
      <c r="W17" s="353">
        <v>4.43</v>
      </c>
      <c r="X17" s="353">
        <v>4.42</v>
      </c>
      <c r="Y17" s="353">
        <v>4.42</v>
      </c>
      <c r="Z17" s="353">
        <v>4.41</v>
      </c>
      <c r="AA17" s="353">
        <v>4.4000000000000004</v>
      </c>
      <c r="AB17" s="353">
        <v>4.38</v>
      </c>
      <c r="AC17" s="353">
        <v>4.37</v>
      </c>
      <c r="AD17" s="353">
        <v>4.3600000000000003</v>
      </c>
      <c r="AE17" s="353">
        <v>4.3499999999999996</v>
      </c>
      <c r="AF17" s="353">
        <v>4.34</v>
      </c>
      <c r="AG17" s="353">
        <v>4.33</v>
      </c>
      <c r="AH17" s="353">
        <v>4.32</v>
      </c>
      <c r="AI17" s="353">
        <v>4.3099999999999996</v>
      </c>
      <c r="AJ17" s="353">
        <v>4.3</v>
      </c>
      <c r="AK17" s="353">
        <v>4.29</v>
      </c>
      <c r="AL17" s="353">
        <v>4.28</v>
      </c>
      <c r="AM17" s="353">
        <v>4.2699999999999996</v>
      </c>
      <c r="AN17" s="353">
        <v>4.2699999999999996</v>
      </c>
      <c r="AO17" s="353">
        <v>4.26</v>
      </c>
      <c r="AP17" s="353">
        <v>4.25</v>
      </c>
      <c r="AQ17" s="353">
        <v>4.25</v>
      </c>
      <c r="AR17" s="353">
        <v>4.24</v>
      </c>
      <c r="AS17" s="353">
        <v>4.24</v>
      </c>
      <c r="AT17" s="353">
        <v>4.2300000000000004</v>
      </c>
      <c r="AU17" s="353">
        <v>4.2300000000000004</v>
      </c>
      <c r="AV17" s="353">
        <v>4.2300000000000004</v>
      </c>
      <c r="AW17" s="353">
        <v>4.22</v>
      </c>
      <c r="AX17" s="353">
        <v>4.22</v>
      </c>
      <c r="AY17" s="353">
        <v>4.21</v>
      </c>
      <c r="BB17" s="353">
        <v>4.07</v>
      </c>
    </row>
    <row r="18" spans="1:54">
      <c r="A18" s="111">
        <v>42308</v>
      </c>
      <c r="B18" s="353">
        <v>2.92</v>
      </c>
      <c r="C18" s="353">
        <v>3.01</v>
      </c>
      <c r="D18" s="353">
        <v>3.14</v>
      </c>
      <c r="E18" s="353">
        <v>3.29</v>
      </c>
      <c r="F18" s="353">
        <v>3.43</v>
      </c>
      <c r="G18" s="353">
        <v>3.57</v>
      </c>
      <c r="H18" s="353">
        <v>3.7</v>
      </c>
      <c r="I18" s="353">
        <v>3.81</v>
      </c>
      <c r="J18" s="353">
        <v>3.91</v>
      </c>
      <c r="K18" s="353">
        <v>4.01</v>
      </c>
      <c r="L18" s="353">
        <v>4.0999999999999996</v>
      </c>
      <c r="M18" s="353">
        <v>4.17</v>
      </c>
      <c r="N18" s="353">
        <v>4.2300000000000004</v>
      </c>
      <c r="O18" s="353">
        <v>4.29</v>
      </c>
      <c r="P18" s="442">
        <v>4.33</v>
      </c>
      <c r="Q18" s="353">
        <v>4.3600000000000003</v>
      </c>
      <c r="R18" s="353">
        <v>4.38</v>
      </c>
      <c r="S18" s="353">
        <v>4.4000000000000004</v>
      </c>
      <c r="T18" s="353">
        <v>4.41</v>
      </c>
      <c r="U18" s="353">
        <v>4.43</v>
      </c>
      <c r="V18" s="353">
        <v>4.42</v>
      </c>
      <c r="W18" s="353">
        <v>4.41</v>
      </c>
      <c r="X18" s="353">
        <v>4.41</v>
      </c>
      <c r="Y18" s="353">
        <v>4.4000000000000004</v>
      </c>
      <c r="Z18" s="353">
        <v>4.4000000000000004</v>
      </c>
      <c r="AA18" s="353">
        <v>4.38</v>
      </c>
      <c r="AB18" s="353">
        <v>4.37</v>
      </c>
      <c r="AC18" s="353">
        <v>4.3600000000000003</v>
      </c>
      <c r="AD18" s="353">
        <v>4.34</v>
      </c>
      <c r="AE18" s="353">
        <v>4.33</v>
      </c>
      <c r="AF18" s="353">
        <v>4.32</v>
      </c>
      <c r="AG18" s="353">
        <v>4.3099999999999996</v>
      </c>
      <c r="AH18" s="353">
        <v>4.3</v>
      </c>
      <c r="AI18" s="353">
        <v>4.29</v>
      </c>
      <c r="AJ18" s="353">
        <v>4.28</v>
      </c>
      <c r="AK18" s="353">
        <v>4.2699999999999996</v>
      </c>
      <c r="AL18" s="353">
        <v>4.26</v>
      </c>
      <c r="AM18" s="353">
        <v>4.26</v>
      </c>
      <c r="AN18" s="353">
        <v>4.25</v>
      </c>
      <c r="AO18" s="353">
        <v>4.24</v>
      </c>
      <c r="AP18" s="353">
        <v>4.24</v>
      </c>
      <c r="AQ18" s="353">
        <v>4.2300000000000004</v>
      </c>
      <c r="AR18" s="353">
        <v>4.2300000000000004</v>
      </c>
      <c r="AS18" s="353">
        <v>4.22</v>
      </c>
      <c r="AT18" s="353">
        <v>4.22</v>
      </c>
      <c r="AU18" s="353">
        <v>4.21</v>
      </c>
      <c r="AV18" s="353">
        <v>4.21</v>
      </c>
      <c r="AW18" s="353">
        <v>4.21</v>
      </c>
      <c r="AX18" s="353">
        <v>4.2</v>
      </c>
      <c r="AY18" s="353">
        <v>4.2</v>
      </c>
      <c r="BB18" s="353">
        <v>4</v>
      </c>
    </row>
    <row r="19" spans="1:54">
      <c r="A19" s="111">
        <v>42338</v>
      </c>
      <c r="B19" s="353">
        <v>2.9</v>
      </c>
      <c r="C19" s="353">
        <v>2.99</v>
      </c>
      <c r="D19" s="353">
        <v>3.12</v>
      </c>
      <c r="E19" s="353">
        <v>3.27</v>
      </c>
      <c r="F19" s="353">
        <v>3.41</v>
      </c>
      <c r="G19" s="353">
        <v>3.55</v>
      </c>
      <c r="H19" s="353">
        <v>3.68</v>
      </c>
      <c r="I19" s="353">
        <v>3.79</v>
      </c>
      <c r="J19" s="353">
        <v>3.89</v>
      </c>
      <c r="K19" s="353">
        <v>3.99</v>
      </c>
      <c r="L19" s="353">
        <v>4.08</v>
      </c>
      <c r="M19" s="353">
        <v>4.1500000000000004</v>
      </c>
      <c r="N19" s="353">
        <v>4.22</v>
      </c>
      <c r="O19" s="353">
        <v>4.2699999999999996</v>
      </c>
      <c r="P19" s="442">
        <v>4.32</v>
      </c>
      <c r="Q19" s="353">
        <v>4.34</v>
      </c>
      <c r="R19" s="353">
        <v>4.3600000000000003</v>
      </c>
      <c r="S19" s="353">
        <v>4.38</v>
      </c>
      <c r="T19" s="353">
        <v>4.4000000000000004</v>
      </c>
      <c r="U19" s="353">
        <v>4.41</v>
      </c>
      <c r="V19" s="353">
        <v>4.41</v>
      </c>
      <c r="W19" s="353">
        <v>4.4000000000000004</v>
      </c>
      <c r="X19" s="353">
        <v>4.3899999999999997</v>
      </c>
      <c r="Y19" s="353">
        <v>4.3899999999999997</v>
      </c>
      <c r="Z19" s="353">
        <v>4.38</v>
      </c>
      <c r="AA19" s="353">
        <v>4.37</v>
      </c>
      <c r="AB19" s="353">
        <v>4.3499999999999996</v>
      </c>
      <c r="AC19" s="353">
        <v>4.34</v>
      </c>
      <c r="AD19" s="353">
        <v>4.33</v>
      </c>
      <c r="AE19" s="353">
        <v>4.32</v>
      </c>
      <c r="AF19" s="353">
        <v>4.3</v>
      </c>
      <c r="AG19" s="353">
        <v>4.29</v>
      </c>
      <c r="AH19" s="353">
        <v>4.28</v>
      </c>
      <c r="AI19" s="353">
        <v>4.2699999999999996</v>
      </c>
      <c r="AJ19" s="353">
        <v>4.2699999999999996</v>
      </c>
      <c r="AK19" s="353">
        <v>4.26</v>
      </c>
      <c r="AL19" s="353">
        <v>4.25</v>
      </c>
      <c r="AM19" s="353">
        <v>4.24</v>
      </c>
      <c r="AN19" s="353">
        <v>4.2300000000000004</v>
      </c>
      <c r="AO19" s="353">
        <v>4.2300000000000004</v>
      </c>
      <c r="AP19" s="353">
        <v>4.22</v>
      </c>
      <c r="AQ19" s="353">
        <v>4.22</v>
      </c>
      <c r="AR19" s="353">
        <v>4.21</v>
      </c>
      <c r="AS19" s="353">
        <v>4.21</v>
      </c>
      <c r="AT19" s="353">
        <v>4.2</v>
      </c>
      <c r="AU19" s="353">
        <v>4.2</v>
      </c>
      <c r="AV19" s="353">
        <v>4.1900000000000004</v>
      </c>
      <c r="AW19" s="353">
        <v>4.1900000000000004</v>
      </c>
      <c r="AX19" s="353">
        <v>4.1900000000000004</v>
      </c>
      <c r="AY19" s="353">
        <v>4.18</v>
      </c>
      <c r="BB19" s="353">
        <v>3.94</v>
      </c>
    </row>
    <row r="20" spans="1:54">
      <c r="A20" s="111">
        <v>42369</v>
      </c>
      <c r="B20" s="353">
        <v>2.89</v>
      </c>
      <c r="C20" s="353">
        <v>2.97</v>
      </c>
      <c r="D20" s="353">
        <v>3.1</v>
      </c>
      <c r="E20" s="353">
        <v>3.25</v>
      </c>
      <c r="F20" s="353">
        <v>3.39</v>
      </c>
      <c r="G20" s="353">
        <v>3.53</v>
      </c>
      <c r="H20" s="353">
        <v>3.66</v>
      </c>
      <c r="I20" s="353">
        <v>3.78</v>
      </c>
      <c r="J20" s="353">
        <v>3.88</v>
      </c>
      <c r="K20" s="353">
        <v>3.97</v>
      </c>
      <c r="L20" s="353">
        <v>4.0599999999999996</v>
      </c>
      <c r="M20" s="353">
        <v>4.1399999999999997</v>
      </c>
      <c r="N20" s="353">
        <v>4.2</v>
      </c>
      <c r="O20" s="353">
        <v>4.26</v>
      </c>
      <c r="P20" s="442">
        <v>4.3099999999999996</v>
      </c>
      <c r="Q20" s="353">
        <v>4.33</v>
      </c>
      <c r="R20" s="353">
        <v>4.3499999999999996</v>
      </c>
      <c r="S20" s="353">
        <v>4.37</v>
      </c>
      <c r="T20" s="353">
        <v>4.3899999999999997</v>
      </c>
      <c r="U20" s="353">
        <v>4.4000000000000004</v>
      </c>
      <c r="V20" s="353">
        <v>4.3899999999999997</v>
      </c>
      <c r="W20" s="353">
        <v>4.3899999999999997</v>
      </c>
      <c r="X20" s="353">
        <v>4.38</v>
      </c>
      <c r="Y20" s="353">
        <v>4.37</v>
      </c>
      <c r="Z20" s="353">
        <v>4.37</v>
      </c>
      <c r="AA20" s="353">
        <v>4.3499999999999996</v>
      </c>
      <c r="AB20" s="353">
        <v>4.34</v>
      </c>
      <c r="AC20" s="353">
        <v>4.33</v>
      </c>
      <c r="AD20" s="353">
        <v>4.32</v>
      </c>
      <c r="AE20" s="353">
        <v>4.3</v>
      </c>
      <c r="AF20" s="353">
        <v>4.29</v>
      </c>
      <c r="AG20" s="353">
        <v>4.28</v>
      </c>
      <c r="AH20" s="353">
        <v>4.2699999999999996</v>
      </c>
      <c r="AI20" s="353">
        <v>4.26</v>
      </c>
      <c r="AJ20" s="353">
        <v>4.25</v>
      </c>
      <c r="AK20" s="353">
        <v>4.24</v>
      </c>
      <c r="AL20" s="353">
        <v>4.24</v>
      </c>
      <c r="AM20" s="353">
        <v>4.2300000000000004</v>
      </c>
      <c r="AN20" s="353">
        <v>4.22</v>
      </c>
      <c r="AO20" s="353">
        <v>4.21</v>
      </c>
      <c r="AP20" s="353">
        <v>4.21</v>
      </c>
      <c r="AQ20" s="353">
        <v>4.2</v>
      </c>
      <c r="AR20" s="353">
        <v>4.2</v>
      </c>
      <c r="AS20" s="353">
        <v>4.1900000000000004</v>
      </c>
      <c r="AT20" s="353">
        <v>4.1900000000000004</v>
      </c>
      <c r="AU20" s="353">
        <v>4.18</v>
      </c>
      <c r="AV20" s="353">
        <v>4.18</v>
      </c>
      <c r="AW20" s="353">
        <v>4.18</v>
      </c>
      <c r="AX20" s="353">
        <v>4.17</v>
      </c>
      <c r="AY20" s="353">
        <v>4.17</v>
      </c>
      <c r="BB20" s="353">
        <v>3.89</v>
      </c>
    </row>
    <row r="21" spans="1:54">
      <c r="A21" s="111">
        <v>42400</v>
      </c>
      <c r="B21" s="353">
        <v>2.87</v>
      </c>
      <c r="C21" s="353">
        <v>2.95</v>
      </c>
      <c r="D21" s="353">
        <v>3.08</v>
      </c>
      <c r="E21" s="353">
        <v>3.23</v>
      </c>
      <c r="F21" s="353">
        <v>3.37</v>
      </c>
      <c r="G21" s="353">
        <v>3.51</v>
      </c>
      <c r="H21" s="353">
        <v>3.64</v>
      </c>
      <c r="I21" s="353">
        <v>3.75</v>
      </c>
      <c r="J21" s="353">
        <v>3.86</v>
      </c>
      <c r="K21" s="353">
        <v>3.96</v>
      </c>
      <c r="L21" s="353">
        <v>4.04</v>
      </c>
      <c r="M21" s="353">
        <v>4.12</v>
      </c>
      <c r="N21" s="353">
        <v>4.18</v>
      </c>
      <c r="O21" s="353">
        <v>4.24</v>
      </c>
      <c r="P21" s="442">
        <v>4.29</v>
      </c>
      <c r="Q21" s="353">
        <v>4.3099999999999996</v>
      </c>
      <c r="R21" s="353">
        <v>4.33</v>
      </c>
      <c r="S21" s="353">
        <v>4.3499999999999996</v>
      </c>
      <c r="T21" s="353">
        <v>4.37</v>
      </c>
      <c r="U21" s="353">
        <v>4.38</v>
      </c>
      <c r="V21" s="353">
        <v>4.38</v>
      </c>
      <c r="W21" s="353">
        <v>4.37</v>
      </c>
      <c r="X21" s="353">
        <v>4.3600000000000003</v>
      </c>
      <c r="Y21" s="353">
        <v>4.3600000000000003</v>
      </c>
      <c r="Z21" s="353">
        <v>4.3499999999999996</v>
      </c>
      <c r="AA21" s="353">
        <v>4.34</v>
      </c>
      <c r="AB21" s="353">
        <v>4.32</v>
      </c>
      <c r="AC21" s="353">
        <v>4.3099999999999996</v>
      </c>
      <c r="AD21" s="353">
        <v>4.3</v>
      </c>
      <c r="AE21" s="353">
        <v>4.29</v>
      </c>
      <c r="AF21" s="353">
        <v>4.28</v>
      </c>
      <c r="AG21" s="353">
        <v>4.26</v>
      </c>
      <c r="AH21" s="353">
        <v>4.25</v>
      </c>
      <c r="AI21" s="353">
        <v>4.24</v>
      </c>
      <c r="AJ21" s="353">
        <v>4.24</v>
      </c>
      <c r="AK21" s="353">
        <v>4.2300000000000004</v>
      </c>
      <c r="AL21" s="353">
        <v>4.22</v>
      </c>
      <c r="AM21" s="353">
        <v>4.21</v>
      </c>
      <c r="AN21" s="353">
        <v>4.2</v>
      </c>
      <c r="AO21" s="353">
        <v>4.2</v>
      </c>
      <c r="AP21" s="353">
        <v>4.1900000000000004</v>
      </c>
      <c r="AQ21" s="353">
        <v>4.1900000000000004</v>
      </c>
      <c r="AR21" s="353">
        <v>4.18</v>
      </c>
      <c r="AS21" s="353">
        <v>4.18</v>
      </c>
      <c r="AT21" s="353">
        <v>4.17</v>
      </c>
      <c r="AU21" s="353">
        <v>4.17</v>
      </c>
      <c r="AV21" s="353">
        <v>4.16</v>
      </c>
      <c r="AW21" s="353">
        <v>4.16</v>
      </c>
      <c r="AX21" s="353">
        <v>4.16</v>
      </c>
      <c r="AY21" s="353">
        <v>4.1500000000000004</v>
      </c>
      <c r="BB21" s="353">
        <v>3.83</v>
      </c>
    </row>
    <row r="22" spans="1:54">
      <c r="A22" s="111">
        <v>42429</v>
      </c>
      <c r="B22" s="353">
        <v>2.84</v>
      </c>
      <c r="C22" s="353">
        <v>2.93</v>
      </c>
      <c r="D22" s="353">
        <v>3.06</v>
      </c>
      <c r="E22" s="353">
        <v>3.2</v>
      </c>
      <c r="F22" s="353">
        <v>3.35</v>
      </c>
      <c r="G22" s="353">
        <v>3.49</v>
      </c>
      <c r="H22" s="353">
        <v>3.62</v>
      </c>
      <c r="I22" s="353">
        <v>3.73</v>
      </c>
      <c r="J22" s="353">
        <v>3.84</v>
      </c>
      <c r="K22" s="353">
        <v>3.93</v>
      </c>
      <c r="L22" s="353">
        <v>4.0199999999999996</v>
      </c>
      <c r="M22" s="353">
        <v>4.0999999999999996</v>
      </c>
      <c r="N22" s="353">
        <v>4.16</v>
      </c>
      <c r="O22" s="353">
        <v>4.22</v>
      </c>
      <c r="P22" s="442">
        <v>4.2699999999999996</v>
      </c>
      <c r="Q22" s="353">
        <v>4.29</v>
      </c>
      <c r="R22" s="353">
        <v>4.3099999999999996</v>
      </c>
      <c r="S22" s="353">
        <v>4.33</v>
      </c>
      <c r="T22" s="353">
        <v>4.3499999999999996</v>
      </c>
      <c r="U22" s="353">
        <v>4.3600000000000003</v>
      </c>
      <c r="V22" s="353">
        <v>4.3600000000000003</v>
      </c>
      <c r="W22" s="353">
        <v>4.3499999999999996</v>
      </c>
      <c r="X22" s="353">
        <v>4.34</v>
      </c>
      <c r="Y22" s="353">
        <v>4.34</v>
      </c>
      <c r="Z22" s="353">
        <v>4.33</v>
      </c>
      <c r="AA22" s="353">
        <v>4.32</v>
      </c>
      <c r="AB22" s="353">
        <v>4.3</v>
      </c>
      <c r="AC22" s="353">
        <v>4.29</v>
      </c>
      <c r="AD22" s="353">
        <v>4.28</v>
      </c>
      <c r="AE22" s="353">
        <v>4.2699999999999996</v>
      </c>
      <c r="AF22" s="353">
        <v>4.26</v>
      </c>
      <c r="AG22" s="353">
        <v>4.24</v>
      </c>
      <c r="AH22" s="353">
        <v>4.2300000000000004</v>
      </c>
      <c r="AI22" s="353">
        <v>4.2300000000000004</v>
      </c>
      <c r="AJ22" s="353">
        <v>4.22</v>
      </c>
      <c r="AK22" s="353">
        <v>4.21</v>
      </c>
      <c r="AL22" s="353">
        <v>4.2</v>
      </c>
      <c r="AM22" s="353">
        <v>4.1900000000000004</v>
      </c>
      <c r="AN22" s="353">
        <v>4.18</v>
      </c>
      <c r="AO22" s="353">
        <v>4.18</v>
      </c>
      <c r="AP22" s="353">
        <v>4.17</v>
      </c>
      <c r="AQ22" s="353">
        <v>4.17</v>
      </c>
      <c r="AR22" s="353">
        <v>4.16</v>
      </c>
      <c r="AS22" s="353">
        <v>4.16</v>
      </c>
      <c r="AT22" s="353">
        <v>4.1500000000000004</v>
      </c>
      <c r="AU22" s="353">
        <v>4.1500000000000004</v>
      </c>
      <c r="AV22" s="353">
        <v>4.1399999999999997</v>
      </c>
      <c r="AW22" s="353">
        <v>4.1399999999999997</v>
      </c>
      <c r="AX22" s="353">
        <v>4.1399999999999997</v>
      </c>
      <c r="AY22" s="353">
        <v>4.13</v>
      </c>
      <c r="BB22" s="353">
        <v>3.76</v>
      </c>
    </row>
    <row r="23" spans="1:54">
      <c r="A23" s="111">
        <v>42460</v>
      </c>
      <c r="B23" s="353">
        <v>2.82</v>
      </c>
      <c r="C23" s="353">
        <v>2.9</v>
      </c>
      <c r="D23" s="353">
        <v>3.03</v>
      </c>
      <c r="E23" s="353">
        <v>3.18</v>
      </c>
      <c r="F23" s="353">
        <v>3.32</v>
      </c>
      <c r="G23" s="353">
        <v>3.46</v>
      </c>
      <c r="H23" s="353">
        <v>3.59</v>
      </c>
      <c r="I23" s="353">
        <v>3.71</v>
      </c>
      <c r="J23" s="353">
        <v>3.81</v>
      </c>
      <c r="K23" s="353">
        <v>3.91</v>
      </c>
      <c r="L23" s="353">
        <v>4</v>
      </c>
      <c r="M23" s="353">
        <v>4.08</v>
      </c>
      <c r="N23" s="353">
        <v>4.1399999999999997</v>
      </c>
      <c r="O23" s="353">
        <v>4.2</v>
      </c>
      <c r="P23" s="442">
        <v>4.24</v>
      </c>
      <c r="Q23" s="353">
        <v>4.2699999999999996</v>
      </c>
      <c r="R23" s="353">
        <v>4.29</v>
      </c>
      <c r="S23" s="353">
        <v>4.3099999999999996</v>
      </c>
      <c r="T23" s="353">
        <v>4.33</v>
      </c>
      <c r="U23" s="353">
        <v>4.34</v>
      </c>
      <c r="V23" s="353">
        <v>4.33</v>
      </c>
      <c r="W23" s="353">
        <v>4.33</v>
      </c>
      <c r="X23" s="353">
        <v>4.32</v>
      </c>
      <c r="Y23" s="353">
        <v>4.32</v>
      </c>
      <c r="Z23" s="353">
        <v>4.3099999999999996</v>
      </c>
      <c r="AA23" s="353">
        <v>4.3</v>
      </c>
      <c r="AB23" s="353">
        <v>4.28</v>
      </c>
      <c r="AC23" s="353">
        <v>4.2699999999999996</v>
      </c>
      <c r="AD23" s="353">
        <v>4.26</v>
      </c>
      <c r="AE23" s="353">
        <v>4.24</v>
      </c>
      <c r="AF23" s="353">
        <v>4.2300000000000004</v>
      </c>
      <c r="AG23" s="353">
        <v>4.22</v>
      </c>
      <c r="AH23" s="353">
        <v>4.21</v>
      </c>
      <c r="AI23" s="353">
        <v>4.2</v>
      </c>
      <c r="AJ23" s="353">
        <v>4.1900000000000004</v>
      </c>
      <c r="AK23" s="353">
        <v>4.18</v>
      </c>
      <c r="AL23" s="353">
        <v>4.18</v>
      </c>
      <c r="AM23" s="353">
        <v>4.17</v>
      </c>
      <c r="AN23" s="353">
        <v>4.16</v>
      </c>
      <c r="AO23" s="353">
        <v>4.1500000000000004</v>
      </c>
      <c r="AP23" s="353">
        <v>4.1500000000000004</v>
      </c>
      <c r="AQ23" s="353">
        <v>4.1399999999999997</v>
      </c>
      <c r="AR23" s="353">
        <v>4.1399999999999997</v>
      </c>
      <c r="AS23" s="353">
        <v>4.13</v>
      </c>
      <c r="AT23" s="353">
        <v>4.13</v>
      </c>
      <c r="AU23" s="353">
        <v>4.12</v>
      </c>
      <c r="AV23" s="353">
        <v>4.12</v>
      </c>
      <c r="AW23" s="353">
        <v>4.12</v>
      </c>
      <c r="AX23" s="353">
        <v>4.1100000000000003</v>
      </c>
      <c r="AY23" s="353">
        <v>4.1100000000000003</v>
      </c>
      <c r="BB23" s="353">
        <v>3.7</v>
      </c>
    </row>
    <row r="24" spans="1:54">
      <c r="A24" s="111">
        <v>42490</v>
      </c>
      <c r="B24" s="353">
        <v>2.79</v>
      </c>
      <c r="C24" s="353">
        <v>2.87</v>
      </c>
      <c r="D24" s="353">
        <v>3</v>
      </c>
      <c r="E24" s="353">
        <v>3.15</v>
      </c>
      <c r="F24" s="353">
        <v>3.29</v>
      </c>
      <c r="G24" s="353">
        <v>3.44</v>
      </c>
      <c r="H24" s="353">
        <v>3.56</v>
      </c>
      <c r="I24" s="353">
        <v>3.68</v>
      </c>
      <c r="J24" s="353">
        <v>3.79</v>
      </c>
      <c r="K24" s="353">
        <v>3.88</v>
      </c>
      <c r="L24" s="353">
        <v>3.97</v>
      </c>
      <c r="M24" s="353">
        <v>4.05</v>
      </c>
      <c r="N24" s="353">
        <v>4.12</v>
      </c>
      <c r="O24" s="353">
        <v>4.17</v>
      </c>
      <c r="P24" s="442">
        <v>4.22</v>
      </c>
      <c r="Q24" s="353">
        <v>4.24</v>
      </c>
      <c r="R24" s="353">
        <v>4.2699999999999996</v>
      </c>
      <c r="S24" s="353">
        <v>4.29</v>
      </c>
      <c r="T24" s="353">
        <v>4.3</v>
      </c>
      <c r="U24" s="353">
        <v>4.32</v>
      </c>
      <c r="V24" s="353">
        <v>4.3099999999999996</v>
      </c>
      <c r="W24" s="353">
        <v>4.3</v>
      </c>
      <c r="X24" s="353">
        <v>4.3</v>
      </c>
      <c r="Y24" s="353">
        <v>4.29</v>
      </c>
      <c r="Z24" s="353">
        <v>4.29</v>
      </c>
      <c r="AA24" s="353">
        <v>4.2699999999999996</v>
      </c>
      <c r="AB24" s="353">
        <v>4.26</v>
      </c>
      <c r="AC24" s="353">
        <v>4.24</v>
      </c>
      <c r="AD24" s="353">
        <v>4.2300000000000004</v>
      </c>
      <c r="AE24" s="353">
        <v>4.22</v>
      </c>
      <c r="AF24" s="353">
        <v>4.21</v>
      </c>
      <c r="AG24" s="353">
        <v>4.2</v>
      </c>
      <c r="AH24" s="353">
        <v>4.1900000000000004</v>
      </c>
      <c r="AI24" s="353">
        <v>4.18</v>
      </c>
      <c r="AJ24" s="353">
        <v>4.17</v>
      </c>
      <c r="AK24" s="353">
        <v>4.16</v>
      </c>
      <c r="AL24" s="353">
        <v>4.1500000000000004</v>
      </c>
      <c r="AM24" s="353">
        <v>4.1500000000000004</v>
      </c>
      <c r="AN24" s="353">
        <v>4.1399999999999997</v>
      </c>
      <c r="AO24" s="353">
        <v>4.13</v>
      </c>
      <c r="AP24" s="353">
        <v>4.13</v>
      </c>
      <c r="AQ24" s="353">
        <v>4.12</v>
      </c>
      <c r="AR24" s="353">
        <v>4.12</v>
      </c>
      <c r="AS24" s="353">
        <v>4.1100000000000003</v>
      </c>
      <c r="AT24" s="353">
        <v>4.1100000000000003</v>
      </c>
      <c r="AU24" s="353">
        <v>4.0999999999999996</v>
      </c>
      <c r="AV24" s="353">
        <v>4.0999999999999996</v>
      </c>
      <c r="AW24" s="353">
        <v>4.09</v>
      </c>
      <c r="AX24" s="353">
        <v>4.09</v>
      </c>
      <c r="AY24" s="353">
        <v>4.09</v>
      </c>
      <c r="BB24" s="353">
        <v>3.64</v>
      </c>
    </row>
    <row r="25" spans="1:54">
      <c r="A25" s="111">
        <v>42521</v>
      </c>
      <c r="B25" s="353">
        <v>2.77</v>
      </c>
      <c r="C25" s="353">
        <v>2.84</v>
      </c>
      <c r="D25" s="353">
        <v>2.97</v>
      </c>
      <c r="E25" s="353">
        <v>3.12</v>
      </c>
      <c r="F25" s="353">
        <v>3.26</v>
      </c>
      <c r="G25" s="353">
        <v>3.41</v>
      </c>
      <c r="H25" s="353">
        <v>3.53</v>
      </c>
      <c r="I25" s="353">
        <v>3.65</v>
      </c>
      <c r="J25" s="353">
        <v>3.76</v>
      </c>
      <c r="K25" s="353">
        <v>3.86</v>
      </c>
      <c r="L25" s="353">
        <v>3.95</v>
      </c>
      <c r="M25" s="353">
        <v>4.0199999999999996</v>
      </c>
      <c r="N25" s="353">
        <v>4.09</v>
      </c>
      <c r="O25" s="353">
        <v>4.1500000000000004</v>
      </c>
      <c r="P25" s="442">
        <v>4.2</v>
      </c>
      <c r="Q25" s="353">
        <v>4.22</v>
      </c>
      <c r="R25" s="353">
        <v>4.24</v>
      </c>
      <c r="S25" s="353">
        <v>4.26</v>
      </c>
      <c r="T25" s="353">
        <v>4.28</v>
      </c>
      <c r="U25" s="353">
        <v>4.29</v>
      </c>
      <c r="V25" s="353">
        <v>4.28</v>
      </c>
      <c r="W25" s="353">
        <v>4.28</v>
      </c>
      <c r="X25" s="353">
        <v>4.2699999999999996</v>
      </c>
      <c r="Y25" s="353">
        <v>4.2699999999999996</v>
      </c>
      <c r="Z25" s="353">
        <v>4.26</v>
      </c>
      <c r="AA25" s="353">
        <v>4.25</v>
      </c>
      <c r="AB25" s="353">
        <v>4.2300000000000004</v>
      </c>
      <c r="AC25" s="353">
        <v>4.22</v>
      </c>
      <c r="AD25" s="353">
        <v>4.21</v>
      </c>
      <c r="AE25" s="353">
        <v>4.2</v>
      </c>
      <c r="AF25" s="353">
        <v>4.18</v>
      </c>
      <c r="AG25" s="353">
        <v>4.17</v>
      </c>
      <c r="AH25" s="353">
        <v>4.16</v>
      </c>
      <c r="AI25" s="353">
        <v>4.1500000000000004</v>
      </c>
      <c r="AJ25" s="353">
        <v>4.1399999999999997</v>
      </c>
      <c r="AK25" s="353">
        <v>4.1399999999999997</v>
      </c>
      <c r="AL25" s="353">
        <v>4.13</v>
      </c>
      <c r="AM25" s="353">
        <v>4.12</v>
      </c>
      <c r="AN25" s="353">
        <v>4.1100000000000003</v>
      </c>
      <c r="AO25" s="353">
        <v>4.1100000000000003</v>
      </c>
      <c r="AP25" s="353">
        <v>4.0999999999999996</v>
      </c>
      <c r="AQ25" s="353">
        <v>4.09</v>
      </c>
      <c r="AR25" s="353">
        <v>4.09</v>
      </c>
      <c r="AS25" s="353">
        <v>4.08</v>
      </c>
      <c r="AT25" s="353">
        <v>4.08</v>
      </c>
      <c r="AU25" s="353">
        <v>4.08</v>
      </c>
      <c r="AV25" s="353">
        <v>4.07</v>
      </c>
      <c r="AW25" s="353">
        <v>4.07</v>
      </c>
      <c r="AX25" s="353">
        <v>4.0599999999999996</v>
      </c>
      <c r="AY25" s="353">
        <v>4.0599999999999996</v>
      </c>
      <c r="BB25" s="353">
        <v>3.58</v>
      </c>
    </row>
    <row r="26" spans="1:54">
      <c r="A26" s="111">
        <v>42551</v>
      </c>
      <c r="B26" s="353">
        <v>2.74</v>
      </c>
      <c r="C26" s="353">
        <v>2.81</v>
      </c>
      <c r="D26" s="353">
        <v>2.94</v>
      </c>
      <c r="E26" s="353">
        <v>3.09</v>
      </c>
      <c r="F26" s="353">
        <v>3.23</v>
      </c>
      <c r="G26" s="353">
        <v>3.37</v>
      </c>
      <c r="H26" s="353">
        <v>3.5</v>
      </c>
      <c r="I26" s="353">
        <v>3.62</v>
      </c>
      <c r="J26" s="353">
        <v>3.73</v>
      </c>
      <c r="K26" s="353">
        <v>3.83</v>
      </c>
      <c r="L26" s="353">
        <v>3.92</v>
      </c>
      <c r="M26" s="353">
        <v>3.99</v>
      </c>
      <c r="N26" s="353">
        <v>4.0599999999999996</v>
      </c>
      <c r="O26" s="353">
        <v>4.12</v>
      </c>
      <c r="P26" s="442">
        <v>4.17</v>
      </c>
      <c r="Q26" s="353">
        <v>4.1900000000000004</v>
      </c>
      <c r="R26" s="353">
        <v>4.21</v>
      </c>
      <c r="S26" s="353">
        <v>4.2300000000000004</v>
      </c>
      <c r="T26" s="353">
        <v>4.25</v>
      </c>
      <c r="U26" s="353">
        <v>4.26</v>
      </c>
      <c r="V26" s="353">
        <v>4.26</v>
      </c>
      <c r="W26" s="353">
        <v>4.25</v>
      </c>
      <c r="X26" s="353">
        <v>4.24</v>
      </c>
      <c r="Y26" s="353">
        <v>4.24</v>
      </c>
      <c r="Z26" s="353">
        <v>4.2300000000000004</v>
      </c>
      <c r="AA26" s="353">
        <v>4.22</v>
      </c>
      <c r="AB26" s="353">
        <v>4.2</v>
      </c>
      <c r="AC26" s="353">
        <v>4.1900000000000004</v>
      </c>
      <c r="AD26" s="353">
        <v>4.18</v>
      </c>
      <c r="AE26" s="353">
        <v>4.17</v>
      </c>
      <c r="AF26" s="353">
        <v>4.16</v>
      </c>
      <c r="AG26" s="353">
        <v>4.1399999999999997</v>
      </c>
      <c r="AH26" s="353">
        <v>4.13</v>
      </c>
      <c r="AI26" s="353">
        <v>4.12</v>
      </c>
      <c r="AJ26" s="353">
        <v>4.12</v>
      </c>
      <c r="AK26" s="353">
        <v>4.1100000000000003</v>
      </c>
      <c r="AL26" s="353">
        <v>4.0999999999999996</v>
      </c>
      <c r="AM26" s="353">
        <v>4.09</v>
      </c>
      <c r="AN26" s="353">
        <v>4.08</v>
      </c>
      <c r="AO26" s="353">
        <v>4.08</v>
      </c>
      <c r="AP26" s="353">
        <v>4.07</v>
      </c>
      <c r="AQ26" s="353">
        <v>4.07</v>
      </c>
      <c r="AR26" s="353">
        <v>4.0599999999999996</v>
      </c>
      <c r="AS26" s="353">
        <v>4.0599999999999996</v>
      </c>
      <c r="AT26" s="353">
        <v>4.05</v>
      </c>
      <c r="AU26" s="353">
        <v>4.05</v>
      </c>
      <c r="AV26" s="353">
        <v>4.04</v>
      </c>
      <c r="AW26" s="353">
        <v>4.04</v>
      </c>
      <c r="AX26" s="353">
        <v>4.04</v>
      </c>
      <c r="AY26" s="353">
        <v>4.03</v>
      </c>
      <c r="BB26" s="353">
        <v>3.52</v>
      </c>
    </row>
    <row r="27" spans="1:54">
      <c r="A27" s="111">
        <v>42582</v>
      </c>
      <c r="B27" s="353">
        <v>2.71</v>
      </c>
      <c r="C27" s="353">
        <v>2.78</v>
      </c>
      <c r="D27" s="353">
        <v>2.91</v>
      </c>
      <c r="E27" s="353">
        <v>3.06</v>
      </c>
      <c r="F27" s="353">
        <v>3.2</v>
      </c>
      <c r="G27" s="353">
        <v>3.34</v>
      </c>
      <c r="H27" s="353">
        <v>3.47</v>
      </c>
      <c r="I27" s="353">
        <v>3.59</v>
      </c>
      <c r="J27" s="353">
        <v>3.7</v>
      </c>
      <c r="K27" s="353">
        <v>3.8</v>
      </c>
      <c r="L27" s="353">
        <v>3.89</v>
      </c>
      <c r="M27" s="353">
        <v>3.96</v>
      </c>
      <c r="N27" s="353">
        <v>4.03</v>
      </c>
      <c r="O27" s="353">
        <v>4.09</v>
      </c>
      <c r="P27" s="442">
        <v>4.1399999999999997</v>
      </c>
      <c r="Q27" s="353">
        <v>4.16</v>
      </c>
      <c r="R27" s="353">
        <v>4.18</v>
      </c>
      <c r="S27" s="353">
        <v>4.2</v>
      </c>
      <c r="T27" s="353">
        <v>4.22</v>
      </c>
      <c r="U27" s="353">
        <v>4.2300000000000004</v>
      </c>
      <c r="V27" s="353">
        <v>4.2300000000000004</v>
      </c>
      <c r="W27" s="353">
        <v>4.22</v>
      </c>
      <c r="X27" s="353">
        <v>4.21</v>
      </c>
      <c r="Y27" s="353">
        <v>4.21</v>
      </c>
      <c r="Z27" s="353">
        <v>4.2</v>
      </c>
      <c r="AA27" s="353">
        <v>4.1900000000000004</v>
      </c>
      <c r="AB27" s="353">
        <v>4.17</v>
      </c>
      <c r="AC27" s="353">
        <v>4.16</v>
      </c>
      <c r="AD27" s="353">
        <v>4.1500000000000004</v>
      </c>
      <c r="AE27" s="353">
        <v>4.1399999999999997</v>
      </c>
      <c r="AF27" s="353">
        <v>4.12</v>
      </c>
      <c r="AG27" s="353">
        <v>4.1100000000000003</v>
      </c>
      <c r="AH27" s="353">
        <v>4.0999999999999996</v>
      </c>
      <c r="AI27" s="353">
        <v>4.09</v>
      </c>
      <c r="AJ27" s="353">
        <v>4.08</v>
      </c>
      <c r="AK27" s="353">
        <v>4.08</v>
      </c>
      <c r="AL27" s="353">
        <v>4.07</v>
      </c>
      <c r="AM27" s="353">
        <v>4.0599999999999996</v>
      </c>
      <c r="AN27" s="353">
        <v>4.05</v>
      </c>
      <c r="AO27" s="353">
        <v>4.05</v>
      </c>
      <c r="AP27" s="353">
        <v>4.04</v>
      </c>
      <c r="AQ27" s="353">
        <v>4.04</v>
      </c>
      <c r="AR27" s="353">
        <v>4.03</v>
      </c>
      <c r="AS27" s="353">
        <v>4.03</v>
      </c>
      <c r="AT27" s="353">
        <v>4.0199999999999996</v>
      </c>
      <c r="AU27" s="353">
        <v>4.0199999999999996</v>
      </c>
      <c r="AV27" s="353">
        <v>4.01</v>
      </c>
      <c r="AW27" s="353">
        <v>4.01</v>
      </c>
      <c r="AX27" s="353">
        <v>4</v>
      </c>
      <c r="AY27" s="353">
        <v>4</v>
      </c>
      <c r="BB27" s="353">
        <v>3.47</v>
      </c>
    </row>
    <row r="28" spans="1:54">
      <c r="A28" s="111">
        <v>42613</v>
      </c>
      <c r="B28" s="353">
        <v>2.68</v>
      </c>
      <c r="C28" s="353">
        <v>2.75</v>
      </c>
      <c r="D28" s="353">
        <v>2.88</v>
      </c>
      <c r="E28" s="353">
        <v>3.02</v>
      </c>
      <c r="F28" s="353">
        <v>3.17</v>
      </c>
      <c r="G28" s="353">
        <v>3.31</v>
      </c>
      <c r="H28" s="353">
        <v>3.44</v>
      </c>
      <c r="I28" s="353">
        <v>3.56</v>
      </c>
      <c r="J28" s="353">
        <v>3.67</v>
      </c>
      <c r="K28" s="353">
        <v>3.77</v>
      </c>
      <c r="L28" s="353">
        <v>3.86</v>
      </c>
      <c r="M28" s="353">
        <v>3.93</v>
      </c>
      <c r="N28" s="353">
        <v>4</v>
      </c>
      <c r="O28" s="353">
        <v>4.0599999999999996</v>
      </c>
      <c r="P28" s="442">
        <v>4.1100000000000003</v>
      </c>
      <c r="Q28" s="353">
        <v>4.13</v>
      </c>
      <c r="R28" s="353">
        <v>4.1500000000000004</v>
      </c>
      <c r="S28" s="353">
        <v>4.17</v>
      </c>
      <c r="T28" s="353">
        <v>4.1900000000000004</v>
      </c>
      <c r="U28" s="353">
        <v>4.2</v>
      </c>
      <c r="V28" s="353">
        <v>4.2</v>
      </c>
      <c r="W28" s="353">
        <v>4.1900000000000004</v>
      </c>
      <c r="X28" s="353">
        <v>4.18</v>
      </c>
      <c r="Y28" s="353">
        <v>4.18</v>
      </c>
      <c r="Z28" s="353">
        <v>4.17</v>
      </c>
      <c r="AA28" s="353">
        <v>4.16</v>
      </c>
      <c r="AB28" s="353">
        <v>4.1399999999999997</v>
      </c>
      <c r="AC28" s="353">
        <v>4.13</v>
      </c>
      <c r="AD28" s="353">
        <v>4.12</v>
      </c>
      <c r="AE28" s="353">
        <v>4.1100000000000003</v>
      </c>
      <c r="AF28" s="353">
        <v>4.0999999999999996</v>
      </c>
      <c r="AG28" s="353">
        <v>4.09</v>
      </c>
      <c r="AH28" s="353">
        <v>4.08</v>
      </c>
      <c r="AI28" s="353">
        <v>4.07</v>
      </c>
      <c r="AJ28" s="353">
        <v>4.0599999999999996</v>
      </c>
      <c r="AK28" s="353">
        <v>4.05</v>
      </c>
      <c r="AL28" s="353">
        <v>4.04</v>
      </c>
      <c r="AM28" s="353">
        <v>4.03</v>
      </c>
      <c r="AN28" s="353">
        <v>4.0199999999999996</v>
      </c>
      <c r="AO28" s="353">
        <v>4.0199999999999996</v>
      </c>
      <c r="AP28" s="353">
        <v>4.01</v>
      </c>
      <c r="AQ28" s="353">
        <v>4.01</v>
      </c>
      <c r="AR28" s="353">
        <v>4</v>
      </c>
      <c r="AS28" s="353">
        <v>4</v>
      </c>
      <c r="AT28" s="353">
        <v>3.99</v>
      </c>
      <c r="AU28" s="353">
        <v>3.99</v>
      </c>
      <c r="AV28" s="353">
        <v>3.98</v>
      </c>
      <c r="AW28" s="353">
        <v>3.98</v>
      </c>
      <c r="AX28" s="353">
        <v>3.98</v>
      </c>
      <c r="AY28" s="353">
        <v>3.97</v>
      </c>
      <c r="BB28" s="353">
        <v>3.42</v>
      </c>
    </row>
    <row r="29" spans="1:54">
      <c r="A29" s="111">
        <v>42643</v>
      </c>
      <c r="B29" s="353">
        <v>2.65</v>
      </c>
      <c r="C29" s="353">
        <v>2.72</v>
      </c>
      <c r="D29" s="353">
        <v>2.85</v>
      </c>
      <c r="E29" s="353">
        <v>2.99</v>
      </c>
      <c r="F29" s="353">
        <v>3.14</v>
      </c>
      <c r="G29" s="353">
        <v>3.28</v>
      </c>
      <c r="H29" s="353">
        <v>3.41</v>
      </c>
      <c r="I29" s="353">
        <v>3.53</v>
      </c>
      <c r="J29" s="353">
        <v>3.64</v>
      </c>
      <c r="K29" s="353">
        <v>3.74</v>
      </c>
      <c r="L29" s="353">
        <v>3.83</v>
      </c>
      <c r="M29" s="353">
        <v>3.91</v>
      </c>
      <c r="N29" s="353">
        <v>3.97</v>
      </c>
      <c r="O29" s="353">
        <v>4.03</v>
      </c>
      <c r="P29" s="442">
        <v>4.08</v>
      </c>
      <c r="Q29" s="353">
        <v>4.0999999999999996</v>
      </c>
      <c r="R29" s="353">
        <v>4.13</v>
      </c>
      <c r="S29" s="353">
        <v>4.1399999999999997</v>
      </c>
      <c r="T29" s="353">
        <v>4.16</v>
      </c>
      <c r="U29" s="353">
        <v>4.18</v>
      </c>
      <c r="V29" s="353">
        <v>4.17</v>
      </c>
      <c r="W29" s="353">
        <v>4.16</v>
      </c>
      <c r="X29" s="353">
        <v>4.16</v>
      </c>
      <c r="Y29" s="353">
        <v>4.1500000000000004</v>
      </c>
      <c r="Z29" s="353">
        <v>4.1500000000000004</v>
      </c>
      <c r="AA29" s="353">
        <v>4.13</v>
      </c>
      <c r="AB29" s="353">
        <v>4.12</v>
      </c>
      <c r="AC29" s="353">
        <v>4.1100000000000003</v>
      </c>
      <c r="AD29" s="353">
        <v>4.09</v>
      </c>
      <c r="AE29" s="353">
        <v>4.08</v>
      </c>
      <c r="AF29" s="353">
        <v>4.07</v>
      </c>
      <c r="AG29" s="353">
        <v>4.0599999999999996</v>
      </c>
      <c r="AH29" s="353">
        <v>4.05</v>
      </c>
      <c r="AI29" s="353">
        <v>4.04</v>
      </c>
      <c r="AJ29" s="353">
        <v>4.03</v>
      </c>
      <c r="AK29" s="353">
        <v>4.0199999999999996</v>
      </c>
      <c r="AL29" s="353">
        <v>4.01</v>
      </c>
      <c r="AM29" s="353">
        <v>4.01</v>
      </c>
      <c r="AN29" s="353">
        <v>4</v>
      </c>
      <c r="AO29" s="353">
        <v>3.99</v>
      </c>
      <c r="AP29" s="353">
        <v>3.99</v>
      </c>
      <c r="AQ29" s="353">
        <v>3.98</v>
      </c>
      <c r="AR29" s="353">
        <v>3.98</v>
      </c>
      <c r="AS29" s="353">
        <v>3.97</v>
      </c>
      <c r="AT29" s="353">
        <v>3.97</v>
      </c>
      <c r="AU29" s="353">
        <v>3.96</v>
      </c>
      <c r="AV29" s="353">
        <v>3.96</v>
      </c>
      <c r="AW29" s="353">
        <v>3.95</v>
      </c>
      <c r="AX29" s="353">
        <v>3.95</v>
      </c>
      <c r="AY29" s="353">
        <v>3.95</v>
      </c>
      <c r="BB29" s="353">
        <v>3.37</v>
      </c>
    </row>
    <row r="30" spans="1:54">
      <c r="A30" s="111">
        <v>42674</v>
      </c>
      <c r="B30" s="353">
        <v>2.61</v>
      </c>
      <c r="C30" s="353">
        <v>2.69</v>
      </c>
      <c r="D30" s="353">
        <v>2.82</v>
      </c>
      <c r="E30" s="353">
        <v>2.96</v>
      </c>
      <c r="F30" s="353">
        <v>3.11</v>
      </c>
      <c r="G30" s="353">
        <v>3.25</v>
      </c>
      <c r="H30" s="353">
        <v>3.38</v>
      </c>
      <c r="I30" s="353">
        <v>3.5</v>
      </c>
      <c r="J30" s="353">
        <v>3.61</v>
      </c>
      <c r="K30" s="353">
        <v>3.71</v>
      </c>
      <c r="L30" s="353">
        <v>3.8</v>
      </c>
      <c r="M30" s="353">
        <v>3.88</v>
      </c>
      <c r="N30" s="353">
        <v>3.95</v>
      </c>
      <c r="O30" s="353">
        <v>4.01</v>
      </c>
      <c r="P30" s="442">
        <v>4.0599999999999996</v>
      </c>
      <c r="Q30" s="353">
        <v>4.08</v>
      </c>
      <c r="R30" s="353">
        <v>4.0999999999999996</v>
      </c>
      <c r="S30" s="353">
        <v>4.12</v>
      </c>
      <c r="T30" s="353">
        <v>4.1399999999999997</v>
      </c>
      <c r="U30" s="353">
        <v>4.1500000000000004</v>
      </c>
      <c r="V30" s="353">
        <v>4.1500000000000004</v>
      </c>
      <c r="W30" s="353">
        <v>4.1399999999999997</v>
      </c>
      <c r="X30" s="353">
        <v>4.13</v>
      </c>
      <c r="Y30" s="353">
        <v>4.13</v>
      </c>
      <c r="Z30" s="353">
        <v>4.12</v>
      </c>
      <c r="AA30" s="353">
        <v>4.1100000000000003</v>
      </c>
      <c r="AB30" s="353">
        <v>4.09</v>
      </c>
      <c r="AC30" s="353">
        <v>4.08</v>
      </c>
      <c r="AD30" s="353">
        <v>4.07</v>
      </c>
      <c r="AE30" s="353">
        <v>4.0599999999999996</v>
      </c>
      <c r="AF30" s="353">
        <v>4.05</v>
      </c>
      <c r="AG30" s="353">
        <v>4.04</v>
      </c>
      <c r="AH30" s="353">
        <v>4.03</v>
      </c>
      <c r="AI30" s="353">
        <v>4.0199999999999996</v>
      </c>
      <c r="AJ30" s="353">
        <v>4.01</v>
      </c>
      <c r="AK30" s="353">
        <v>4</v>
      </c>
      <c r="AL30" s="353">
        <v>3.99</v>
      </c>
      <c r="AM30" s="353">
        <v>3.98</v>
      </c>
      <c r="AN30" s="353">
        <v>3.98</v>
      </c>
      <c r="AO30" s="353">
        <v>3.97</v>
      </c>
      <c r="AP30" s="353">
        <v>3.96</v>
      </c>
      <c r="AQ30" s="353">
        <v>3.96</v>
      </c>
      <c r="AR30" s="353">
        <v>3.95</v>
      </c>
      <c r="AS30" s="353">
        <v>3.95</v>
      </c>
      <c r="AT30" s="353">
        <v>3.94</v>
      </c>
      <c r="AU30" s="353">
        <v>3.94</v>
      </c>
      <c r="AV30" s="353">
        <v>3.93</v>
      </c>
      <c r="AW30" s="353">
        <v>3.93</v>
      </c>
      <c r="AX30" s="353">
        <v>3.93</v>
      </c>
      <c r="AY30" s="353">
        <v>3.92</v>
      </c>
      <c r="BB30" s="353">
        <v>3.32</v>
      </c>
    </row>
    <row r="31" spans="1:54">
      <c r="A31" s="111">
        <v>42704</v>
      </c>
      <c r="B31" s="353">
        <v>2.58</v>
      </c>
      <c r="C31" s="353">
        <v>2.66</v>
      </c>
      <c r="D31" s="353">
        <v>2.79</v>
      </c>
      <c r="E31" s="353">
        <v>2.93</v>
      </c>
      <c r="F31" s="353">
        <v>3.08</v>
      </c>
      <c r="G31" s="353">
        <v>3.22</v>
      </c>
      <c r="H31" s="353">
        <v>3.35</v>
      </c>
      <c r="I31" s="353">
        <v>3.48</v>
      </c>
      <c r="J31" s="353">
        <v>3.59</v>
      </c>
      <c r="K31" s="353">
        <v>3.69</v>
      </c>
      <c r="L31" s="353">
        <v>3.78</v>
      </c>
      <c r="M31" s="353">
        <v>3.86</v>
      </c>
      <c r="N31" s="353">
        <v>3.93</v>
      </c>
      <c r="O31" s="353">
        <v>3.98</v>
      </c>
      <c r="P31" s="442">
        <v>4.03</v>
      </c>
      <c r="Q31" s="353">
        <v>4.0599999999999996</v>
      </c>
      <c r="R31" s="353">
        <v>4.08</v>
      </c>
      <c r="S31" s="353">
        <v>4.0999999999999996</v>
      </c>
      <c r="T31" s="353">
        <v>4.12</v>
      </c>
      <c r="U31" s="353">
        <v>4.13</v>
      </c>
      <c r="V31" s="353">
        <v>4.13</v>
      </c>
      <c r="W31" s="353">
        <v>4.12</v>
      </c>
      <c r="X31" s="353">
        <v>4.1100000000000003</v>
      </c>
      <c r="Y31" s="353">
        <v>4.1100000000000003</v>
      </c>
      <c r="Z31" s="353">
        <v>4.0999999999999996</v>
      </c>
      <c r="AA31" s="353">
        <v>4.09</v>
      </c>
      <c r="AB31" s="353">
        <v>4.07</v>
      </c>
      <c r="AC31" s="353">
        <v>4.0599999999999996</v>
      </c>
      <c r="AD31" s="353">
        <v>4.05</v>
      </c>
      <c r="AE31" s="353">
        <v>4.04</v>
      </c>
      <c r="AF31" s="353">
        <v>4.03</v>
      </c>
      <c r="AG31" s="353">
        <v>4.0199999999999996</v>
      </c>
      <c r="AH31" s="353">
        <v>4.01</v>
      </c>
      <c r="AI31" s="353">
        <v>4</v>
      </c>
      <c r="AJ31" s="353">
        <v>3.99</v>
      </c>
      <c r="AK31" s="353">
        <v>3.98</v>
      </c>
      <c r="AL31" s="353">
        <v>3.97</v>
      </c>
      <c r="AM31" s="353">
        <v>3.96</v>
      </c>
      <c r="AN31" s="353">
        <v>3.96</v>
      </c>
      <c r="AO31" s="353">
        <v>3.95</v>
      </c>
      <c r="AP31" s="353">
        <v>3.94</v>
      </c>
      <c r="AQ31" s="353">
        <v>3.94</v>
      </c>
      <c r="AR31" s="353">
        <v>3.93</v>
      </c>
      <c r="AS31" s="353">
        <v>3.93</v>
      </c>
      <c r="AT31" s="353">
        <v>3.92</v>
      </c>
      <c r="AU31" s="353">
        <v>3.92</v>
      </c>
      <c r="AV31" s="353">
        <v>3.92</v>
      </c>
      <c r="AW31" s="353">
        <v>3.91</v>
      </c>
      <c r="AX31" s="353">
        <v>3.91</v>
      </c>
      <c r="AY31" s="353">
        <v>3.9</v>
      </c>
      <c r="BB31" s="353">
        <v>3.28</v>
      </c>
    </row>
    <row r="32" spans="1:54">
      <c r="A32" s="111">
        <v>42735</v>
      </c>
      <c r="B32" s="353">
        <v>2.5499999999999998</v>
      </c>
      <c r="C32" s="353">
        <v>2.62</v>
      </c>
      <c r="D32" s="353">
        <v>2.75</v>
      </c>
      <c r="E32" s="353">
        <v>2.9</v>
      </c>
      <c r="F32" s="353">
        <v>3.05</v>
      </c>
      <c r="G32" s="353">
        <v>3.19</v>
      </c>
      <c r="H32" s="353">
        <v>3.33</v>
      </c>
      <c r="I32" s="353">
        <v>3.45</v>
      </c>
      <c r="J32" s="353">
        <v>3.56</v>
      </c>
      <c r="K32" s="353">
        <v>3.66</v>
      </c>
      <c r="L32" s="353">
        <v>3.75</v>
      </c>
      <c r="M32" s="353">
        <v>3.83</v>
      </c>
      <c r="N32" s="353">
        <v>3.9</v>
      </c>
      <c r="O32" s="353">
        <v>3.96</v>
      </c>
      <c r="P32" s="442">
        <v>4.01</v>
      </c>
      <c r="Q32" s="353">
        <v>4.04</v>
      </c>
      <c r="R32" s="353">
        <v>4.0599999999999996</v>
      </c>
      <c r="S32" s="353">
        <v>4.08</v>
      </c>
      <c r="T32" s="353">
        <v>4.09</v>
      </c>
      <c r="U32" s="353">
        <v>4.1100000000000003</v>
      </c>
      <c r="V32" s="353">
        <v>4.0999999999999996</v>
      </c>
      <c r="W32" s="353">
        <v>4.0999999999999996</v>
      </c>
      <c r="X32" s="353">
        <v>4.09</v>
      </c>
      <c r="Y32" s="353">
        <v>4.09</v>
      </c>
      <c r="Z32" s="353">
        <v>4.08</v>
      </c>
      <c r="AA32" s="353">
        <v>4.07</v>
      </c>
      <c r="AB32" s="353">
        <v>4.05</v>
      </c>
      <c r="AC32" s="353">
        <v>4.04</v>
      </c>
      <c r="AD32" s="353">
        <v>4.03</v>
      </c>
      <c r="AE32" s="353">
        <v>4.0199999999999996</v>
      </c>
      <c r="AF32" s="353">
        <v>4</v>
      </c>
      <c r="AG32" s="353">
        <v>3.99</v>
      </c>
      <c r="AH32" s="353">
        <v>3.98</v>
      </c>
      <c r="AI32" s="353">
        <v>3.97</v>
      </c>
      <c r="AJ32" s="353">
        <v>3.97</v>
      </c>
      <c r="AK32" s="353">
        <v>3.96</v>
      </c>
      <c r="AL32" s="353">
        <v>3.95</v>
      </c>
      <c r="AM32" s="353">
        <v>3.94</v>
      </c>
      <c r="AN32" s="353">
        <v>3.93</v>
      </c>
      <c r="AO32" s="353">
        <v>3.93</v>
      </c>
      <c r="AP32" s="353">
        <v>3.92</v>
      </c>
      <c r="AQ32" s="353">
        <v>3.92</v>
      </c>
      <c r="AR32" s="353">
        <v>3.91</v>
      </c>
      <c r="AS32" s="353">
        <v>3.91</v>
      </c>
      <c r="AT32" s="353">
        <v>3.9</v>
      </c>
      <c r="AU32" s="353">
        <v>3.9</v>
      </c>
      <c r="AV32" s="353">
        <v>3.89</v>
      </c>
      <c r="AW32" s="353">
        <v>3.89</v>
      </c>
      <c r="AX32" s="353">
        <v>3.89</v>
      </c>
      <c r="AY32" s="353">
        <v>3.88</v>
      </c>
      <c r="BB32" s="353">
        <v>3.24</v>
      </c>
    </row>
    <row r="33" spans="1:54">
      <c r="A33" s="111">
        <v>42766</v>
      </c>
      <c r="B33" s="353">
        <v>2.52</v>
      </c>
      <c r="C33" s="353">
        <v>2.59</v>
      </c>
      <c r="D33" s="353">
        <v>2.72</v>
      </c>
      <c r="E33" s="353">
        <v>2.87</v>
      </c>
      <c r="F33" s="353">
        <v>3.02</v>
      </c>
      <c r="G33" s="353">
        <v>3.16</v>
      </c>
      <c r="H33" s="353">
        <v>3.3</v>
      </c>
      <c r="I33" s="353">
        <v>3.42</v>
      </c>
      <c r="J33" s="353">
        <v>3.53</v>
      </c>
      <c r="K33" s="353">
        <v>3.63</v>
      </c>
      <c r="L33" s="353">
        <v>3.73</v>
      </c>
      <c r="M33" s="353">
        <v>3.81</v>
      </c>
      <c r="N33" s="353">
        <v>3.88</v>
      </c>
      <c r="O33" s="353">
        <v>3.94</v>
      </c>
      <c r="P33" s="442">
        <v>3.99</v>
      </c>
      <c r="Q33" s="353">
        <v>4.01</v>
      </c>
      <c r="R33" s="353">
        <v>4.03</v>
      </c>
      <c r="S33" s="353">
        <v>4.05</v>
      </c>
      <c r="T33" s="353">
        <v>4.07</v>
      </c>
      <c r="U33" s="353">
        <v>4.09</v>
      </c>
      <c r="V33" s="353">
        <v>4.08</v>
      </c>
      <c r="W33" s="353">
        <v>4.07</v>
      </c>
      <c r="X33" s="353">
        <v>4.07</v>
      </c>
      <c r="Y33" s="353">
        <v>4.0599999999999996</v>
      </c>
      <c r="Z33" s="353">
        <v>4.0599999999999996</v>
      </c>
      <c r="AA33" s="353">
        <v>4.04</v>
      </c>
      <c r="AB33" s="353">
        <v>4.03</v>
      </c>
      <c r="AC33" s="353">
        <v>4.0199999999999996</v>
      </c>
      <c r="AD33" s="353">
        <v>4.01</v>
      </c>
      <c r="AE33" s="353">
        <v>4</v>
      </c>
      <c r="AF33" s="353">
        <v>3.98</v>
      </c>
      <c r="AG33" s="353">
        <v>3.97</v>
      </c>
      <c r="AH33" s="353">
        <v>3.96</v>
      </c>
      <c r="AI33" s="353">
        <v>3.95</v>
      </c>
      <c r="AJ33" s="353">
        <v>3.94</v>
      </c>
      <c r="AK33" s="353">
        <v>3.94</v>
      </c>
      <c r="AL33" s="353">
        <v>3.93</v>
      </c>
      <c r="AM33" s="353">
        <v>3.92</v>
      </c>
      <c r="AN33" s="353">
        <v>3.91</v>
      </c>
      <c r="AO33" s="353">
        <v>3.91</v>
      </c>
      <c r="AP33" s="353">
        <v>3.9</v>
      </c>
      <c r="AQ33" s="353">
        <v>3.9</v>
      </c>
      <c r="AR33" s="353">
        <v>3.89</v>
      </c>
      <c r="AS33" s="353">
        <v>3.89</v>
      </c>
      <c r="AT33" s="353">
        <v>3.88</v>
      </c>
      <c r="AU33" s="353">
        <v>3.88</v>
      </c>
      <c r="AV33" s="353">
        <v>3.87</v>
      </c>
      <c r="AW33" s="353">
        <v>3.87</v>
      </c>
      <c r="AX33" s="353">
        <v>3.87</v>
      </c>
      <c r="AY33" s="353">
        <v>3.86</v>
      </c>
      <c r="BB33" s="353">
        <v>3.2</v>
      </c>
    </row>
    <row r="34" spans="1:54" s="127" customFormat="1" ht="12.75">
      <c r="A34" s="109">
        <v>42794</v>
      </c>
      <c r="B34" s="353">
        <v>2.48</v>
      </c>
      <c r="C34" s="353">
        <v>2.56</v>
      </c>
      <c r="D34" s="353">
        <v>2.69</v>
      </c>
      <c r="E34" s="353">
        <v>2.84</v>
      </c>
      <c r="F34" s="353">
        <v>2.99</v>
      </c>
      <c r="G34" s="353">
        <v>3.13</v>
      </c>
      <c r="H34" s="353">
        <v>3.27</v>
      </c>
      <c r="I34" s="353">
        <v>3.39</v>
      </c>
      <c r="J34" s="353">
        <v>3.5</v>
      </c>
      <c r="K34" s="353">
        <v>3.61</v>
      </c>
      <c r="L34" s="353">
        <v>3.7</v>
      </c>
      <c r="M34" s="353">
        <v>3.78</v>
      </c>
      <c r="N34" s="353">
        <v>3.85</v>
      </c>
      <c r="O34" s="353">
        <v>3.91</v>
      </c>
      <c r="P34" s="442">
        <v>3.96</v>
      </c>
      <c r="Q34" s="353">
        <v>3.99</v>
      </c>
      <c r="R34" s="353">
        <v>4.01</v>
      </c>
      <c r="S34" s="353">
        <v>4.03</v>
      </c>
      <c r="T34" s="353">
        <v>4.05</v>
      </c>
      <c r="U34" s="353">
        <v>4.0599999999999996</v>
      </c>
      <c r="V34" s="353">
        <v>4.0599999999999996</v>
      </c>
      <c r="W34" s="353">
        <v>4.05</v>
      </c>
      <c r="X34" s="353">
        <v>4.05</v>
      </c>
      <c r="Y34" s="353">
        <v>4.04</v>
      </c>
      <c r="Z34" s="353">
        <v>4.04</v>
      </c>
      <c r="AA34" s="353">
        <v>4.0199999999999996</v>
      </c>
      <c r="AB34" s="353">
        <v>4.01</v>
      </c>
      <c r="AC34" s="353">
        <v>4</v>
      </c>
      <c r="AD34" s="353">
        <v>3.98</v>
      </c>
      <c r="AE34" s="353">
        <v>3.97</v>
      </c>
      <c r="AF34" s="353">
        <v>3.96</v>
      </c>
      <c r="AG34" s="353">
        <v>3.95</v>
      </c>
      <c r="AH34" s="353">
        <v>3.94</v>
      </c>
      <c r="AI34" s="353">
        <v>3.93</v>
      </c>
      <c r="AJ34" s="353">
        <v>3.92</v>
      </c>
      <c r="AK34" s="353">
        <v>3.91</v>
      </c>
      <c r="AL34" s="353">
        <v>3.91</v>
      </c>
      <c r="AM34" s="353">
        <v>3.9</v>
      </c>
      <c r="AN34" s="353">
        <v>3.89</v>
      </c>
      <c r="AO34" s="353">
        <v>3.89</v>
      </c>
      <c r="AP34" s="353">
        <v>3.88</v>
      </c>
      <c r="AQ34" s="353">
        <v>3.87</v>
      </c>
      <c r="AR34" s="353">
        <v>3.87</v>
      </c>
      <c r="AS34" s="353">
        <v>3.86</v>
      </c>
      <c r="AT34" s="353">
        <v>3.86</v>
      </c>
      <c r="AU34" s="353">
        <v>3.86</v>
      </c>
      <c r="AV34" s="353">
        <v>3.85</v>
      </c>
      <c r="AW34" s="353">
        <v>3.85</v>
      </c>
      <c r="AX34" s="353">
        <v>3.84</v>
      </c>
      <c r="AY34" s="353">
        <v>3.84</v>
      </c>
      <c r="BB34" s="353">
        <v>3.16</v>
      </c>
    </row>
    <row r="35" spans="1:54">
      <c r="A35" s="111">
        <v>42825</v>
      </c>
      <c r="B35" s="353">
        <v>2.4500000000000002</v>
      </c>
      <c r="C35" s="353">
        <v>2.52</v>
      </c>
      <c r="D35" s="353">
        <v>2.65</v>
      </c>
      <c r="E35" s="353">
        <v>2.81</v>
      </c>
      <c r="F35" s="353">
        <v>2.96</v>
      </c>
      <c r="G35" s="353">
        <v>3.1</v>
      </c>
      <c r="H35" s="353">
        <v>3.24</v>
      </c>
      <c r="I35" s="353">
        <v>3.36</v>
      </c>
      <c r="J35" s="353">
        <v>3.48</v>
      </c>
      <c r="K35" s="353">
        <v>3.58</v>
      </c>
      <c r="L35" s="353">
        <v>3.68</v>
      </c>
      <c r="M35" s="353">
        <v>3.76</v>
      </c>
      <c r="N35" s="353">
        <v>3.83</v>
      </c>
      <c r="O35" s="353">
        <v>3.89</v>
      </c>
      <c r="P35" s="442">
        <v>3.94</v>
      </c>
      <c r="Q35" s="353">
        <v>3.96</v>
      </c>
      <c r="R35" s="353">
        <v>3.99</v>
      </c>
      <c r="S35" s="353">
        <v>4.01</v>
      </c>
      <c r="T35" s="353">
        <v>4.0199999999999996</v>
      </c>
      <c r="U35" s="353">
        <v>4.04</v>
      </c>
      <c r="V35" s="353">
        <v>4.03</v>
      </c>
      <c r="W35" s="353">
        <v>4.03</v>
      </c>
      <c r="X35" s="353">
        <v>4.0199999999999996</v>
      </c>
      <c r="Y35" s="353">
        <v>4.0199999999999996</v>
      </c>
      <c r="Z35" s="353">
        <v>4.01</v>
      </c>
      <c r="AA35" s="353">
        <v>4</v>
      </c>
      <c r="AB35" s="353">
        <v>3.98</v>
      </c>
      <c r="AC35" s="353">
        <v>3.97</v>
      </c>
      <c r="AD35" s="353">
        <v>3.96</v>
      </c>
      <c r="AE35" s="353">
        <v>3.95</v>
      </c>
      <c r="AF35" s="353">
        <v>3.94</v>
      </c>
      <c r="AG35" s="353">
        <v>3.93</v>
      </c>
      <c r="AH35" s="353">
        <v>3.92</v>
      </c>
      <c r="AI35" s="353">
        <v>3.91</v>
      </c>
      <c r="AJ35" s="353">
        <v>3.9</v>
      </c>
      <c r="AK35" s="353">
        <v>3.89</v>
      </c>
      <c r="AL35" s="353">
        <v>3.88</v>
      </c>
      <c r="AM35" s="353">
        <v>3.88</v>
      </c>
      <c r="AN35" s="353">
        <v>3.87</v>
      </c>
      <c r="AO35" s="353">
        <v>3.86</v>
      </c>
      <c r="AP35" s="353">
        <v>3.86</v>
      </c>
      <c r="AQ35" s="353">
        <v>3.85</v>
      </c>
      <c r="AR35" s="353">
        <v>3.85</v>
      </c>
      <c r="AS35" s="353">
        <v>3.84</v>
      </c>
      <c r="AT35" s="353">
        <v>3.84</v>
      </c>
      <c r="AU35" s="353">
        <v>3.83</v>
      </c>
      <c r="AV35" s="353">
        <v>3.83</v>
      </c>
      <c r="AW35" s="353">
        <v>3.83</v>
      </c>
      <c r="AX35" s="353">
        <v>3.82</v>
      </c>
      <c r="AY35" s="353">
        <v>3.82</v>
      </c>
      <c r="BB35" s="353">
        <v>3.12</v>
      </c>
    </row>
    <row r="36" spans="1:54">
      <c r="A36" s="111">
        <v>42855</v>
      </c>
      <c r="B36" s="353">
        <v>2.41</v>
      </c>
      <c r="C36" s="353">
        <v>2.4900000000000002</v>
      </c>
      <c r="D36" s="353">
        <v>2.62</v>
      </c>
      <c r="E36" s="353">
        <v>2.77</v>
      </c>
      <c r="F36" s="353">
        <v>2.92</v>
      </c>
      <c r="G36" s="353">
        <v>3.07</v>
      </c>
      <c r="H36" s="353">
        <v>3.21</v>
      </c>
      <c r="I36" s="353">
        <v>3.33</v>
      </c>
      <c r="J36" s="353">
        <v>3.45</v>
      </c>
      <c r="K36" s="353">
        <v>3.55</v>
      </c>
      <c r="L36" s="353">
        <v>3.65</v>
      </c>
      <c r="M36" s="353">
        <v>3.73</v>
      </c>
      <c r="N36" s="353">
        <v>3.8</v>
      </c>
      <c r="O36" s="353">
        <v>3.86</v>
      </c>
      <c r="P36" s="442">
        <v>3.91</v>
      </c>
      <c r="Q36" s="353">
        <v>3.94</v>
      </c>
      <c r="R36" s="353">
        <v>3.96</v>
      </c>
      <c r="S36" s="353">
        <v>3.98</v>
      </c>
      <c r="T36" s="353">
        <v>4</v>
      </c>
      <c r="U36" s="353">
        <v>4.0199999999999996</v>
      </c>
      <c r="V36" s="353">
        <v>4.01</v>
      </c>
      <c r="W36" s="353">
        <v>4</v>
      </c>
      <c r="X36" s="353">
        <v>4</v>
      </c>
      <c r="Y36" s="353">
        <v>3.99</v>
      </c>
      <c r="Z36" s="353">
        <v>3.99</v>
      </c>
      <c r="AA36" s="353">
        <v>3.97</v>
      </c>
      <c r="AB36" s="353">
        <v>3.96</v>
      </c>
      <c r="AC36" s="353">
        <v>3.95</v>
      </c>
      <c r="AD36" s="353">
        <v>3.94</v>
      </c>
      <c r="AE36" s="353">
        <v>3.93</v>
      </c>
      <c r="AF36" s="353">
        <v>3.91</v>
      </c>
      <c r="AG36" s="353">
        <v>3.9</v>
      </c>
      <c r="AH36" s="353">
        <v>3.89</v>
      </c>
      <c r="AI36" s="353">
        <v>3.89</v>
      </c>
      <c r="AJ36" s="353">
        <v>3.88</v>
      </c>
      <c r="AK36" s="353">
        <v>3.87</v>
      </c>
      <c r="AL36" s="353">
        <v>3.86</v>
      </c>
      <c r="AM36" s="353">
        <v>3.85</v>
      </c>
      <c r="AN36" s="353">
        <v>3.85</v>
      </c>
      <c r="AO36" s="353">
        <v>3.84</v>
      </c>
      <c r="AP36" s="353">
        <v>3.83</v>
      </c>
      <c r="AQ36" s="353">
        <v>3.83</v>
      </c>
      <c r="AR36" s="353">
        <v>3.82</v>
      </c>
      <c r="AS36" s="353">
        <v>3.82</v>
      </c>
      <c r="AT36" s="353">
        <v>3.82</v>
      </c>
      <c r="AU36" s="353">
        <v>3.81</v>
      </c>
      <c r="AV36" s="353">
        <v>3.81</v>
      </c>
      <c r="AW36" s="353">
        <v>3.8</v>
      </c>
      <c r="AX36" s="353">
        <v>3.8</v>
      </c>
      <c r="AY36" s="353">
        <v>3.8</v>
      </c>
      <c r="BB36" s="353">
        <v>3.08</v>
      </c>
    </row>
    <row r="37" spans="1:54" s="127" customFormat="1" ht="12.75">
      <c r="A37" s="109">
        <v>42886</v>
      </c>
      <c r="B37" s="353">
        <v>2.38</v>
      </c>
      <c r="C37" s="353">
        <v>2.4500000000000002</v>
      </c>
      <c r="D37" s="353">
        <v>2.58</v>
      </c>
      <c r="E37" s="353">
        <v>2.74</v>
      </c>
      <c r="F37" s="353">
        <v>2.89</v>
      </c>
      <c r="G37" s="353">
        <v>3.04</v>
      </c>
      <c r="H37" s="353">
        <v>3.18</v>
      </c>
      <c r="I37" s="353">
        <v>3.3</v>
      </c>
      <c r="J37" s="353">
        <v>3.42</v>
      </c>
      <c r="K37" s="353">
        <v>3.52</v>
      </c>
      <c r="L37" s="353">
        <v>3.62</v>
      </c>
      <c r="M37" s="353">
        <v>3.7</v>
      </c>
      <c r="N37" s="353">
        <v>3.77</v>
      </c>
      <c r="O37" s="353">
        <v>3.83</v>
      </c>
      <c r="P37" s="442">
        <v>3.88</v>
      </c>
      <c r="Q37" s="353">
        <v>3.91</v>
      </c>
      <c r="R37" s="353">
        <v>3.93</v>
      </c>
      <c r="S37" s="353">
        <v>3.95</v>
      </c>
      <c r="T37" s="353">
        <v>3.97</v>
      </c>
      <c r="U37" s="353">
        <v>3.99</v>
      </c>
      <c r="V37" s="353">
        <v>3.98</v>
      </c>
      <c r="W37" s="353">
        <v>3.98</v>
      </c>
      <c r="X37" s="353">
        <v>3.97</v>
      </c>
      <c r="Y37" s="353">
        <v>3.97</v>
      </c>
      <c r="Z37" s="353">
        <v>3.96</v>
      </c>
      <c r="AA37" s="353">
        <v>3.95</v>
      </c>
      <c r="AB37" s="353">
        <v>3.94</v>
      </c>
      <c r="AC37" s="353">
        <v>3.92</v>
      </c>
      <c r="AD37" s="353">
        <v>3.91</v>
      </c>
      <c r="AE37" s="353">
        <v>3.9</v>
      </c>
      <c r="AF37" s="353">
        <v>3.89</v>
      </c>
      <c r="AG37" s="353">
        <v>3.88</v>
      </c>
      <c r="AH37" s="353">
        <v>3.87</v>
      </c>
      <c r="AI37" s="353">
        <v>3.86</v>
      </c>
      <c r="AJ37" s="353">
        <v>3.85</v>
      </c>
      <c r="AK37" s="353">
        <v>3.84</v>
      </c>
      <c r="AL37" s="353">
        <v>3.84</v>
      </c>
      <c r="AM37" s="353">
        <v>3.83</v>
      </c>
      <c r="AN37" s="353">
        <v>3.82</v>
      </c>
      <c r="AO37" s="353">
        <v>3.82</v>
      </c>
      <c r="AP37" s="353">
        <v>3.81</v>
      </c>
      <c r="AQ37" s="353">
        <v>3.81</v>
      </c>
      <c r="AR37" s="353">
        <v>3.8</v>
      </c>
      <c r="AS37" s="353">
        <v>3.8</v>
      </c>
      <c r="AT37" s="353">
        <v>3.79</v>
      </c>
      <c r="AU37" s="353">
        <v>3.79</v>
      </c>
      <c r="AV37" s="353">
        <v>3.78</v>
      </c>
      <c r="AW37" s="353">
        <v>3.78</v>
      </c>
      <c r="AX37" s="353">
        <v>3.78</v>
      </c>
      <c r="AY37" s="353">
        <v>3.77</v>
      </c>
      <c r="BB37" s="353">
        <v>3.04</v>
      </c>
    </row>
    <row r="38" spans="1:54" s="127" customFormat="1" ht="12.75">
      <c r="A38" s="109">
        <v>42916</v>
      </c>
      <c r="B38" s="353">
        <v>2.34</v>
      </c>
      <c r="C38" s="353">
        <v>2.41</v>
      </c>
      <c r="D38" s="353">
        <v>2.5499999999999998</v>
      </c>
      <c r="E38" s="353">
        <v>2.7</v>
      </c>
      <c r="F38" s="353">
        <v>2.85</v>
      </c>
      <c r="G38" s="353">
        <v>3</v>
      </c>
      <c r="H38" s="353">
        <v>3.14</v>
      </c>
      <c r="I38" s="353">
        <v>3.27</v>
      </c>
      <c r="J38" s="353">
        <v>3.39</v>
      </c>
      <c r="K38" s="353">
        <v>3.49</v>
      </c>
      <c r="L38" s="353">
        <v>3.59</v>
      </c>
      <c r="M38" s="353">
        <v>3.67</v>
      </c>
      <c r="N38" s="353">
        <v>3.74</v>
      </c>
      <c r="O38" s="353">
        <v>3.8</v>
      </c>
      <c r="P38" s="442">
        <v>3.86</v>
      </c>
      <c r="Q38" s="353">
        <v>3.88</v>
      </c>
      <c r="R38" s="353">
        <v>3.91</v>
      </c>
      <c r="S38" s="353">
        <v>3.93</v>
      </c>
      <c r="T38" s="353">
        <v>3.95</v>
      </c>
      <c r="U38" s="353">
        <v>3.96</v>
      </c>
      <c r="V38" s="353">
        <v>3.96</v>
      </c>
      <c r="W38" s="353">
        <v>3.95</v>
      </c>
      <c r="X38" s="353">
        <v>3.95</v>
      </c>
      <c r="Y38" s="353">
        <v>3.94</v>
      </c>
      <c r="Z38" s="353">
        <v>3.94</v>
      </c>
      <c r="AA38" s="353">
        <v>3.92</v>
      </c>
      <c r="AB38" s="353">
        <v>3.91</v>
      </c>
      <c r="AC38" s="353">
        <v>3.9</v>
      </c>
      <c r="AD38" s="353">
        <v>3.89</v>
      </c>
      <c r="AE38" s="353">
        <v>3.88</v>
      </c>
      <c r="AF38" s="353">
        <v>3.87</v>
      </c>
      <c r="AG38" s="353">
        <v>3.86</v>
      </c>
      <c r="AH38" s="353">
        <v>3.85</v>
      </c>
      <c r="AI38" s="353">
        <v>3.84</v>
      </c>
      <c r="AJ38" s="353">
        <v>3.83</v>
      </c>
      <c r="AK38" s="353">
        <v>3.82</v>
      </c>
      <c r="AL38" s="353">
        <v>3.81</v>
      </c>
      <c r="AM38" s="353">
        <v>3.81</v>
      </c>
      <c r="AN38" s="353">
        <v>3.8</v>
      </c>
      <c r="AO38" s="353">
        <v>3.79</v>
      </c>
      <c r="AP38" s="353">
        <v>3.79</v>
      </c>
      <c r="AQ38" s="353">
        <v>3.78</v>
      </c>
      <c r="AR38" s="353">
        <v>3.78</v>
      </c>
      <c r="AS38" s="353">
        <v>3.77</v>
      </c>
      <c r="AT38" s="353">
        <v>3.77</v>
      </c>
      <c r="AU38" s="353">
        <v>3.76</v>
      </c>
      <c r="AV38" s="353">
        <v>3.76</v>
      </c>
      <c r="AW38" s="353">
        <v>3.76</v>
      </c>
      <c r="AX38" s="353">
        <v>3.75</v>
      </c>
      <c r="AY38" s="353">
        <v>3.75</v>
      </c>
      <c r="BB38" s="353">
        <v>3</v>
      </c>
    </row>
    <row r="39" spans="1:54">
      <c r="A39" s="111">
        <v>42947</v>
      </c>
      <c r="B39" s="353">
        <v>2.2999999999999998</v>
      </c>
      <c r="C39" s="353">
        <v>2.38</v>
      </c>
      <c r="D39" s="353">
        <v>2.5099999999999998</v>
      </c>
      <c r="E39" s="353">
        <v>2.67</v>
      </c>
      <c r="F39" s="353">
        <v>2.82</v>
      </c>
      <c r="G39" s="353">
        <v>2.97</v>
      </c>
      <c r="H39" s="353">
        <v>3.11</v>
      </c>
      <c r="I39" s="353">
        <v>3.24</v>
      </c>
      <c r="J39" s="353">
        <v>3.36</v>
      </c>
      <c r="K39" s="353">
        <v>3.46</v>
      </c>
      <c r="L39" s="353">
        <v>3.56</v>
      </c>
      <c r="M39" s="353">
        <v>3.64</v>
      </c>
      <c r="N39" s="353">
        <v>3.72</v>
      </c>
      <c r="O39" s="353">
        <v>3.78</v>
      </c>
      <c r="P39" s="442">
        <v>3.83</v>
      </c>
      <c r="Q39" s="353">
        <v>3.86</v>
      </c>
      <c r="R39" s="353">
        <v>3.88</v>
      </c>
      <c r="S39" s="353">
        <v>3.9</v>
      </c>
      <c r="T39" s="353">
        <v>3.92</v>
      </c>
      <c r="U39" s="353">
        <v>3.94</v>
      </c>
      <c r="V39" s="353">
        <v>3.93</v>
      </c>
      <c r="W39" s="353">
        <v>3.93</v>
      </c>
      <c r="X39" s="353">
        <v>3.92</v>
      </c>
      <c r="Y39" s="353">
        <v>3.92</v>
      </c>
      <c r="Z39" s="353">
        <v>3.91</v>
      </c>
      <c r="AA39" s="353">
        <v>3.9</v>
      </c>
      <c r="AB39" s="353">
        <v>3.89</v>
      </c>
      <c r="AC39" s="353">
        <v>3.87</v>
      </c>
      <c r="AD39" s="353">
        <v>3.86</v>
      </c>
      <c r="AE39" s="353">
        <v>3.85</v>
      </c>
      <c r="AF39" s="353">
        <v>3.84</v>
      </c>
      <c r="AG39" s="353">
        <v>3.83</v>
      </c>
      <c r="AH39" s="353">
        <v>3.82</v>
      </c>
      <c r="AI39" s="353">
        <v>3.81</v>
      </c>
      <c r="AJ39" s="353">
        <v>3.8</v>
      </c>
      <c r="AK39" s="353">
        <v>3.8</v>
      </c>
      <c r="AL39" s="353">
        <v>3.79</v>
      </c>
      <c r="AM39" s="353">
        <v>3.78</v>
      </c>
      <c r="AN39" s="353">
        <v>3.77</v>
      </c>
      <c r="AO39" s="353">
        <v>3.77</v>
      </c>
      <c r="AP39" s="353">
        <v>3.76</v>
      </c>
      <c r="AQ39" s="353">
        <v>3.76</v>
      </c>
      <c r="AR39" s="353">
        <v>3.75</v>
      </c>
      <c r="AS39" s="353">
        <v>3.75</v>
      </c>
      <c r="AT39" s="353">
        <v>3.74</v>
      </c>
      <c r="AU39" s="353">
        <v>3.74</v>
      </c>
      <c r="AV39" s="353">
        <v>3.74</v>
      </c>
      <c r="AW39" s="353">
        <v>3.73</v>
      </c>
      <c r="AX39" s="353">
        <v>3.73</v>
      </c>
      <c r="AY39" s="353">
        <v>3.72</v>
      </c>
      <c r="BB39" s="353">
        <v>2.97</v>
      </c>
    </row>
    <row r="40" spans="1:54">
      <c r="A40" s="111">
        <v>42978</v>
      </c>
      <c r="B40" s="353">
        <v>2.2599999999999998</v>
      </c>
      <c r="C40" s="353">
        <v>2.34</v>
      </c>
      <c r="D40" s="353">
        <v>2.4700000000000002</v>
      </c>
      <c r="E40" s="353">
        <v>2.63</v>
      </c>
      <c r="F40" s="353">
        <v>2.78</v>
      </c>
      <c r="G40" s="353">
        <v>2.94</v>
      </c>
      <c r="H40" s="353">
        <v>3.08</v>
      </c>
      <c r="I40" s="353">
        <v>3.21</v>
      </c>
      <c r="J40" s="353">
        <v>3.32</v>
      </c>
      <c r="K40" s="353">
        <v>3.43</v>
      </c>
      <c r="L40" s="353">
        <v>3.53</v>
      </c>
      <c r="M40" s="353">
        <v>3.61</v>
      </c>
      <c r="N40" s="353">
        <v>3.69</v>
      </c>
      <c r="O40" s="353">
        <v>3.75</v>
      </c>
      <c r="P40" s="442">
        <v>3.8</v>
      </c>
      <c r="Q40" s="353">
        <v>3.83</v>
      </c>
      <c r="R40" s="353">
        <v>3.85</v>
      </c>
      <c r="S40" s="353">
        <v>3.87</v>
      </c>
      <c r="T40" s="353">
        <v>3.89</v>
      </c>
      <c r="U40" s="353">
        <v>3.91</v>
      </c>
      <c r="V40" s="353">
        <v>3.9</v>
      </c>
      <c r="W40" s="353">
        <v>3.9</v>
      </c>
      <c r="X40" s="353">
        <v>3.89</v>
      </c>
      <c r="Y40" s="353">
        <v>3.89</v>
      </c>
      <c r="Z40" s="353">
        <v>3.89</v>
      </c>
      <c r="AA40" s="353">
        <v>3.87</v>
      </c>
      <c r="AB40" s="353">
        <v>3.86</v>
      </c>
      <c r="AC40" s="353">
        <v>3.85</v>
      </c>
      <c r="AD40" s="353">
        <v>3.84</v>
      </c>
      <c r="AE40" s="353">
        <v>3.82</v>
      </c>
      <c r="AF40" s="353">
        <v>3.81</v>
      </c>
      <c r="AG40" s="353">
        <v>3.8</v>
      </c>
      <c r="AH40" s="353">
        <v>3.79</v>
      </c>
      <c r="AI40" s="353">
        <v>3.79</v>
      </c>
      <c r="AJ40" s="353">
        <v>3.78</v>
      </c>
      <c r="AK40" s="353">
        <v>3.77</v>
      </c>
      <c r="AL40" s="353">
        <v>3.76</v>
      </c>
      <c r="AM40" s="353">
        <v>3.76</v>
      </c>
      <c r="AN40" s="353">
        <v>3.75</v>
      </c>
      <c r="AO40" s="353">
        <v>3.74</v>
      </c>
      <c r="AP40" s="353">
        <v>3.74</v>
      </c>
      <c r="AQ40" s="353">
        <v>3.73</v>
      </c>
      <c r="AR40" s="353">
        <v>3.73</v>
      </c>
      <c r="AS40" s="353">
        <v>3.72</v>
      </c>
      <c r="AT40" s="353">
        <v>3.72</v>
      </c>
      <c r="AU40" s="353">
        <v>3.71</v>
      </c>
      <c r="AV40" s="353">
        <v>3.71</v>
      </c>
      <c r="AW40" s="353">
        <v>3.71</v>
      </c>
      <c r="AX40" s="353">
        <v>3.7</v>
      </c>
      <c r="AY40" s="353">
        <v>3.7</v>
      </c>
      <c r="BB40" s="353">
        <v>2.94</v>
      </c>
    </row>
    <row r="41" spans="1:54">
      <c r="A41" s="111">
        <v>43008</v>
      </c>
      <c r="B41" s="353">
        <v>2.2200000000000002</v>
      </c>
      <c r="C41" s="353">
        <v>2.2999999999999998</v>
      </c>
      <c r="D41" s="353">
        <v>2.4300000000000002</v>
      </c>
      <c r="E41" s="353">
        <v>2.59</v>
      </c>
      <c r="F41" s="353">
        <v>2.75</v>
      </c>
      <c r="G41" s="353">
        <v>2.9</v>
      </c>
      <c r="H41" s="353">
        <v>3.04</v>
      </c>
      <c r="I41" s="353">
        <v>3.17</v>
      </c>
      <c r="J41" s="353">
        <v>3.29</v>
      </c>
      <c r="K41" s="353">
        <v>3.4</v>
      </c>
      <c r="L41" s="353">
        <v>3.5</v>
      </c>
      <c r="M41" s="353">
        <v>3.58</v>
      </c>
      <c r="N41" s="353">
        <v>3.66</v>
      </c>
      <c r="O41" s="353">
        <v>3.72</v>
      </c>
      <c r="P41" s="442">
        <v>3.77</v>
      </c>
      <c r="Q41" s="353">
        <v>3.8</v>
      </c>
      <c r="R41" s="353">
        <v>3.82</v>
      </c>
      <c r="S41" s="353">
        <v>3.84</v>
      </c>
      <c r="T41" s="353">
        <v>3.86</v>
      </c>
      <c r="U41" s="353">
        <v>3.88</v>
      </c>
      <c r="V41" s="353">
        <v>3.88</v>
      </c>
      <c r="W41" s="353">
        <v>3.87</v>
      </c>
      <c r="X41" s="353">
        <v>3.87</v>
      </c>
      <c r="Y41" s="353">
        <v>3.86</v>
      </c>
      <c r="Z41" s="353">
        <v>3.86</v>
      </c>
      <c r="AA41" s="353">
        <v>3.84</v>
      </c>
      <c r="AB41" s="353">
        <v>3.83</v>
      </c>
      <c r="AC41" s="353">
        <v>3.82</v>
      </c>
      <c r="AD41" s="353">
        <v>3.81</v>
      </c>
      <c r="AE41" s="353">
        <v>3.8</v>
      </c>
      <c r="AF41" s="353">
        <v>3.79</v>
      </c>
      <c r="AG41" s="353">
        <v>3.78</v>
      </c>
      <c r="AH41" s="353">
        <v>3.77</v>
      </c>
      <c r="AI41" s="353">
        <v>3.76</v>
      </c>
      <c r="AJ41" s="353">
        <v>3.75</v>
      </c>
      <c r="AK41" s="353">
        <v>3.74</v>
      </c>
      <c r="AL41" s="353">
        <v>3.74</v>
      </c>
      <c r="AM41" s="353">
        <v>3.73</v>
      </c>
      <c r="AN41" s="353">
        <v>3.72</v>
      </c>
      <c r="AO41" s="353">
        <v>3.72</v>
      </c>
      <c r="AP41" s="353">
        <v>3.71</v>
      </c>
      <c r="AQ41" s="353">
        <v>3.71</v>
      </c>
      <c r="AR41" s="353">
        <v>3.7</v>
      </c>
      <c r="AS41" s="353">
        <v>3.7</v>
      </c>
      <c r="AT41" s="353">
        <v>3.69</v>
      </c>
      <c r="AU41" s="353">
        <v>3.69</v>
      </c>
      <c r="AV41" s="353">
        <v>3.68</v>
      </c>
      <c r="AW41" s="353">
        <v>3.68</v>
      </c>
      <c r="AX41" s="353">
        <v>3.68</v>
      </c>
      <c r="AY41" s="353">
        <v>3.67</v>
      </c>
      <c r="BB41" s="353">
        <v>2.91</v>
      </c>
    </row>
    <row r="42" spans="1:54">
      <c r="A42" s="111">
        <v>43039</v>
      </c>
      <c r="B42" s="353">
        <v>2.1800000000000002</v>
      </c>
      <c r="C42" s="353">
        <v>2.2599999999999998</v>
      </c>
      <c r="D42" s="353">
        <v>2.4</v>
      </c>
      <c r="E42" s="353">
        <v>2.5499999999999998</v>
      </c>
      <c r="F42" s="353">
        <v>2.71</v>
      </c>
      <c r="G42" s="353">
        <v>2.87</v>
      </c>
      <c r="H42" s="353">
        <v>3.01</v>
      </c>
      <c r="I42" s="353">
        <v>3.14</v>
      </c>
      <c r="J42" s="353">
        <v>3.26</v>
      </c>
      <c r="K42" s="353">
        <v>3.37</v>
      </c>
      <c r="L42" s="353">
        <v>3.47</v>
      </c>
      <c r="M42" s="353">
        <v>3.55</v>
      </c>
      <c r="N42" s="353">
        <v>3.62</v>
      </c>
      <c r="O42" s="353">
        <v>3.69</v>
      </c>
      <c r="P42" s="442">
        <v>3.74</v>
      </c>
      <c r="Q42" s="353">
        <v>3.77</v>
      </c>
      <c r="R42" s="353">
        <v>3.79</v>
      </c>
      <c r="S42" s="353">
        <v>3.82</v>
      </c>
      <c r="T42" s="353">
        <v>3.84</v>
      </c>
      <c r="U42" s="353">
        <v>3.85</v>
      </c>
      <c r="V42" s="353">
        <v>3.85</v>
      </c>
      <c r="W42" s="353">
        <v>3.84</v>
      </c>
      <c r="X42" s="353">
        <v>3.84</v>
      </c>
      <c r="Y42" s="353">
        <v>3.83</v>
      </c>
      <c r="Z42" s="353">
        <v>3.83</v>
      </c>
      <c r="AA42" s="353">
        <v>3.82</v>
      </c>
      <c r="AB42" s="353">
        <v>3.8</v>
      </c>
      <c r="AC42" s="353">
        <v>3.79</v>
      </c>
      <c r="AD42" s="353">
        <v>3.78</v>
      </c>
      <c r="AE42" s="353">
        <v>3.77</v>
      </c>
      <c r="AF42" s="353">
        <v>3.76</v>
      </c>
      <c r="AG42" s="353">
        <v>3.75</v>
      </c>
      <c r="AH42" s="353">
        <v>3.74</v>
      </c>
      <c r="AI42" s="353">
        <v>3.73</v>
      </c>
      <c r="AJ42" s="353">
        <v>3.72</v>
      </c>
      <c r="AK42" s="353">
        <v>3.72</v>
      </c>
      <c r="AL42" s="353">
        <v>3.71</v>
      </c>
      <c r="AM42" s="353">
        <v>3.7</v>
      </c>
      <c r="AN42" s="353">
        <v>3.7</v>
      </c>
      <c r="AO42" s="353">
        <v>3.69</v>
      </c>
      <c r="AP42" s="353">
        <v>3.68</v>
      </c>
      <c r="AQ42" s="353">
        <v>3.68</v>
      </c>
      <c r="AR42" s="353">
        <v>3.67</v>
      </c>
      <c r="AS42" s="353">
        <v>3.67</v>
      </c>
      <c r="AT42" s="353">
        <v>3.67</v>
      </c>
      <c r="AU42" s="353">
        <v>3.66</v>
      </c>
      <c r="AV42" s="353">
        <v>3.66</v>
      </c>
      <c r="AW42" s="353">
        <v>3.65</v>
      </c>
      <c r="AX42" s="353">
        <v>3.65</v>
      </c>
      <c r="AY42" s="353">
        <v>3.65</v>
      </c>
      <c r="BB42" s="353">
        <v>2.88</v>
      </c>
    </row>
    <row r="43" spans="1:54">
      <c r="A43" s="110">
        <v>43069</v>
      </c>
      <c r="B43" s="353">
        <v>2.13</v>
      </c>
      <c r="C43" s="353">
        <v>2.2200000000000002</v>
      </c>
      <c r="D43" s="353">
        <v>2.36</v>
      </c>
      <c r="E43" s="353">
        <v>2.52</v>
      </c>
      <c r="F43" s="353">
        <v>2.67</v>
      </c>
      <c r="G43" s="353">
        <v>2.83</v>
      </c>
      <c r="H43" s="353">
        <v>2.97</v>
      </c>
      <c r="I43" s="353">
        <v>3.1</v>
      </c>
      <c r="J43" s="353">
        <v>3.22</v>
      </c>
      <c r="K43" s="353">
        <v>3.33</v>
      </c>
      <c r="L43" s="353">
        <v>3.43</v>
      </c>
      <c r="M43" s="353">
        <v>3.52</v>
      </c>
      <c r="N43" s="353">
        <v>3.59</v>
      </c>
      <c r="O43" s="353">
        <v>3.65</v>
      </c>
      <c r="P43" s="442">
        <v>3.71</v>
      </c>
      <c r="Q43" s="353">
        <v>3.74</v>
      </c>
      <c r="R43" s="353">
        <v>3.76</v>
      </c>
      <c r="S43" s="353">
        <v>3.78</v>
      </c>
      <c r="T43" s="353">
        <v>3.8</v>
      </c>
      <c r="U43" s="353">
        <v>3.82</v>
      </c>
      <c r="V43" s="353">
        <v>3.82</v>
      </c>
      <c r="W43" s="353">
        <v>3.81</v>
      </c>
      <c r="X43" s="353">
        <v>3.81</v>
      </c>
      <c r="Y43" s="353">
        <v>3.8</v>
      </c>
      <c r="Z43" s="353">
        <v>3.8</v>
      </c>
      <c r="AA43" s="353">
        <v>3.79</v>
      </c>
      <c r="AB43" s="353">
        <v>3.77</v>
      </c>
      <c r="AC43" s="353">
        <v>3.76</v>
      </c>
      <c r="AD43" s="353">
        <v>3.75</v>
      </c>
      <c r="AE43" s="353">
        <v>3.74</v>
      </c>
      <c r="AF43" s="353">
        <v>3.73</v>
      </c>
      <c r="AG43" s="353">
        <v>3.72</v>
      </c>
      <c r="AH43" s="353">
        <v>3.71</v>
      </c>
      <c r="AI43" s="353">
        <v>3.7</v>
      </c>
      <c r="AJ43" s="353">
        <v>3.69</v>
      </c>
      <c r="AK43" s="353">
        <v>3.69</v>
      </c>
      <c r="AL43" s="353">
        <v>3.68</v>
      </c>
      <c r="AM43" s="353">
        <v>3.67</v>
      </c>
      <c r="AN43" s="353">
        <v>3.67</v>
      </c>
      <c r="AO43" s="353">
        <v>3.66</v>
      </c>
      <c r="AP43" s="353">
        <v>3.65</v>
      </c>
      <c r="AQ43" s="353">
        <v>3.65</v>
      </c>
      <c r="AR43" s="353">
        <v>3.64</v>
      </c>
      <c r="AS43" s="353">
        <v>3.64</v>
      </c>
      <c r="AT43" s="353">
        <v>3.64</v>
      </c>
      <c r="AU43" s="353">
        <v>3.63</v>
      </c>
      <c r="AV43" s="353">
        <v>3.63</v>
      </c>
      <c r="AW43" s="353">
        <v>3.62</v>
      </c>
      <c r="AX43" s="353">
        <v>3.62</v>
      </c>
      <c r="AY43" s="353">
        <v>3.62</v>
      </c>
      <c r="BB43" s="353">
        <v>2.84</v>
      </c>
    </row>
    <row r="44" spans="1:54" s="127" customFormat="1" ht="12.75">
      <c r="A44" s="109">
        <v>43100</v>
      </c>
      <c r="B44" s="353">
        <v>2.09</v>
      </c>
      <c r="C44" s="353">
        <v>2.17</v>
      </c>
      <c r="D44" s="353">
        <v>2.3199999999999998</v>
      </c>
      <c r="E44" s="353">
        <v>2.48</v>
      </c>
      <c r="F44" s="353">
        <v>2.63</v>
      </c>
      <c r="G44" s="353">
        <v>2.79</v>
      </c>
      <c r="H44" s="353">
        <v>2.93</v>
      </c>
      <c r="I44" s="353">
        <v>3.07</v>
      </c>
      <c r="J44" s="353">
        <v>3.19</v>
      </c>
      <c r="K44" s="353">
        <v>3.3</v>
      </c>
      <c r="L44" s="353">
        <v>3.4</v>
      </c>
      <c r="M44" s="353">
        <v>3.48</v>
      </c>
      <c r="N44" s="353">
        <v>3.56</v>
      </c>
      <c r="O44" s="353">
        <v>3.62</v>
      </c>
      <c r="P44" s="442">
        <v>3.68</v>
      </c>
      <c r="Q44" s="353">
        <v>3.7</v>
      </c>
      <c r="R44" s="353">
        <v>3.73</v>
      </c>
      <c r="S44" s="353">
        <v>3.75</v>
      </c>
      <c r="T44" s="353">
        <v>3.77</v>
      </c>
      <c r="U44" s="353">
        <v>3.79</v>
      </c>
      <c r="V44" s="353">
        <v>3.78</v>
      </c>
      <c r="W44" s="353">
        <v>3.78</v>
      </c>
      <c r="X44" s="353">
        <v>3.77</v>
      </c>
      <c r="Y44" s="353">
        <v>3.77</v>
      </c>
      <c r="Z44" s="353">
        <v>3.77</v>
      </c>
      <c r="AA44" s="353">
        <v>3.75</v>
      </c>
      <c r="AB44" s="353">
        <v>3.74</v>
      </c>
      <c r="AC44" s="353">
        <v>3.73</v>
      </c>
      <c r="AD44" s="353">
        <v>3.72</v>
      </c>
      <c r="AE44" s="353">
        <v>3.71</v>
      </c>
      <c r="AF44" s="353">
        <v>3.7</v>
      </c>
      <c r="AG44" s="353">
        <v>3.69</v>
      </c>
      <c r="AH44" s="353">
        <v>3.68</v>
      </c>
      <c r="AI44" s="353">
        <v>3.67</v>
      </c>
      <c r="AJ44" s="353">
        <v>3.66</v>
      </c>
      <c r="AK44" s="353">
        <v>3.66</v>
      </c>
      <c r="AL44" s="353">
        <v>3.65</v>
      </c>
      <c r="AM44" s="353">
        <v>3.64</v>
      </c>
      <c r="AN44" s="353">
        <v>3.64</v>
      </c>
      <c r="AO44" s="353">
        <v>3.63</v>
      </c>
      <c r="AP44" s="353">
        <v>3.62</v>
      </c>
      <c r="AQ44" s="353">
        <v>3.62</v>
      </c>
      <c r="AR44" s="353">
        <v>3.62</v>
      </c>
      <c r="AS44" s="353">
        <v>3.61</v>
      </c>
      <c r="AT44" s="353">
        <v>3.61</v>
      </c>
      <c r="AU44" s="353">
        <v>3.6</v>
      </c>
      <c r="AV44" s="353">
        <v>3.6</v>
      </c>
      <c r="AW44" s="353">
        <v>3.6</v>
      </c>
      <c r="AX44" s="353">
        <v>3.59</v>
      </c>
      <c r="AY44" s="353">
        <v>3.59</v>
      </c>
      <c r="BB44" s="353">
        <v>2.8</v>
      </c>
    </row>
    <row r="45" spans="1:54">
      <c r="A45" s="111">
        <v>43131</v>
      </c>
      <c r="B45" s="353">
        <v>2.04</v>
      </c>
      <c r="C45" s="353">
        <v>2.13</v>
      </c>
      <c r="D45" s="353">
        <v>2.2799999999999998</v>
      </c>
      <c r="E45" s="353">
        <v>2.44</v>
      </c>
      <c r="F45" s="353">
        <v>2.6</v>
      </c>
      <c r="G45" s="353">
        <v>2.75</v>
      </c>
      <c r="H45" s="353">
        <v>2.9</v>
      </c>
      <c r="I45" s="353">
        <v>3.03</v>
      </c>
      <c r="J45" s="353">
        <v>3.15</v>
      </c>
      <c r="K45" s="353">
        <v>3.26</v>
      </c>
      <c r="L45" s="353">
        <v>3.37</v>
      </c>
      <c r="M45" s="353">
        <v>3.45</v>
      </c>
      <c r="N45" s="353">
        <v>3.52</v>
      </c>
      <c r="O45" s="353">
        <v>3.59</v>
      </c>
      <c r="P45" s="442">
        <v>3.64</v>
      </c>
      <c r="Q45" s="353">
        <v>3.67</v>
      </c>
      <c r="R45" s="353">
        <v>3.69</v>
      </c>
      <c r="S45" s="353">
        <v>3.72</v>
      </c>
      <c r="T45" s="353">
        <v>3.74</v>
      </c>
      <c r="U45" s="353">
        <v>3.75</v>
      </c>
      <c r="V45" s="353">
        <v>3.75</v>
      </c>
      <c r="W45" s="353">
        <v>3.74</v>
      </c>
      <c r="X45" s="353">
        <v>3.74</v>
      </c>
      <c r="Y45" s="353">
        <v>3.74</v>
      </c>
      <c r="Z45" s="353">
        <v>3.73</v>
      </c>
      <c r="AA45" s="353">
        <v>3.72</v>
      </c>
      <c r="AB45" s="353">
        <v>3.71</v>
      </c>
      <c r="AC45" s="353">
        <v>3.7</v>
      </c>
      <c r="AD45" s="353">
        <v>3.68</v>
      </c>
      <c r="AE45" s="353">
        <v>3.67</v>
      </c>
      <c r="AF45" s="353">
        <v>3.66</v>
      </c>
      <c r="AG45" s="353">
        <v>3.66</v>
      </c>
      <c r="AH45" s="353">
        <v>3.65</v>
      </c>
      <c r="AI45" s="353">
        <v>3.64</v>
      </c>
      <c r="AJ45" s="353">
        <v>3.63</v>
      </c>
      <c r="AK45" s="353">
        <v>3.62</v>
      </c>
      <c r="AL45" s="353">
        <v>3.62</v>
      </c>
      <c r="AM45" s="353">
        <v>3.61</v>
      </c>
      <c r="AN45" s="353">
        <v>3.6</v>
      </c>
      <c r="AO45" s="353">
        <v>3.6</v>
      </c>
      <c r="AP45" s="353">
        <v>3.59</v>
      </c>
      <c r="AQ45" s="353">
        <v>3.59</v>
      </c>
      <c r="AR45" s="353">
        <v>3.58</v>
      </c>
      <c r="AS45" s="353">
        <v>3.58</v>
      </c>
      <c r="AT45" s="353">
        <v>3.57</v>
      </c>
      <c r="AU45" s="353">
        <v>3.57</v>
      </c>
      <c r="AV45" s="353">
        <v>3.57</v>
      </c>
      <c r="AW45" s="353">
        <v>3.56</v>
      </c>
      <c r="AX45" s="353">
        <v>3.56</v>
      </c>
      <c r="AY45" s="353">
        <v>3.56</v>
      </c>
      <c r="BB45" s="353">
        <v>2.76</v>
      </c>
    </row>
    <row r="46" spans="1:54" s="127" customFormat="1" ht="12.75">
      <c r="A46" s="109">
        <v>43159</v>
      </c>
      <c r="B46" s="353">
        <v>2</v>
      </c>
      <c r="C46" s="353">
        <v>2.09</v>
      </c>
      <c r="D46" s="353">
        <v>2.2400000000000002</v>
      </c>
      <c r="E46" s="353">
        <v>2.4</v>
      </c>
      <c r="F46" s="353">
        <v>2.56</v>
      </c>
      <c r="G46" s="353">
        <v>2.72</v>
      </c>
      <c r="H46" s="353">
        <v>2.86</v>
      </c>
      <c r="I46" s="353">
        <v>3</v>
      </c>
      <c r="J46" s="353">
        <v>3.12</v>
      </c>
      <c r="K46" s="353">
        <v>3.23</v>
      </c>
      <c r="L46" s="353">
        <v>3.33</v>
      </c>
      <c r="M46" s="353">
        <v>3.41</v>
      </c>
      <c r="N46" s="353">
        <v>3.49</v>
      </c>
      <c r="O46" s="353">
        <v>3.55</v>
      </c>
      <c r="P46" s="442">
        <v>3.61</v>
      </c>
      <c r="Q46" s="353">
        <v>3.63</v>
      </c>
      <c r="R46" s="353">
        <v>3.66</v>
      </c>
      <c r="S46" s="353">
        <v>3.68</v>
      </c>
      <c r="T46" s="353">
        <v>3.7</v>
      </c>
      <c r="U46" s="353">
        <v>3.72</v>
      </c>
      <c r="V46" s="353">
        <v>3.72</v>
      </c>
      <c r="W46" s="353">
        <v>3.71</v>
      </c>
      <c r="X46" s="353">
        <v>3.71</v>
      </c>
      <c r="Y46" s="353">
        <v>3.7</v>
      </c>
      <c r="Z46" s="353">
        <v>3.7</v>
      </c>
      <c r="AA46" s="353">
        <v>3.69</v>
      </c>
      <c r="AB46" s="353">
        <v>3.67</v>
      </c>
      <c r="AC46" s="353">
        <v>3.66</v>
      </c>
      <c r="AD46" s="353">
        <v>3.65</v>
      </c>
      <c r="AE46" s="353">
        <v>3.64</v>
      </c>
      <c r="AF46" s="353">
        <v>3.63</v>
      </c>
      <c r="AG46" s="353">
        <v>3.62</v>
      </c>
      <c r="AH46" s="353">
        <v>3.61</v>
      </c>
      <c r="AI46" s="353">
        <v>3.6</v>
      </c>
      <c r="AJ46" s="353">
        <v>3.6</v>
      </c>
      <c r="AK46" s="353">
        <v>3.59</v>
      </c>
      <c r="AL46" s="353">
        <v>3.58</v>
      </c>
      <c r="AM46" s="353">
        <v>3.58</v>
      </c>
      <c r="AN46" s="353">
        <v>3.57</v>
      </c>
      <c r="AO46" s="353">
        <v>3.56</v>
      </c>
      <c r="AP46" s="353">
        <v>3.56</v>
      </c>
      <c r="AQ46" s="353">
        <v>3.55</v>
      </c>
      <c r="AR46" s="353">
        <v>3.55</v>
      </c>
      <c r="AS46" s="353">
        <v>3.55</v>
      </c>
      <c r="AT46" s="353">
        <v>3.54</v>
      </c>
      <c r="AU46" s="353">
        <v>3.54</v>
      </c>
      <c r="AV46" s="353">
        <v>3.53</v>
      </c>
      <c r="AW46" s="353">
        <v>3.53</v>
      </c>
      <c r="AX46" s="353">
        <v>3.53</v>
      </c>
      <c r="AY46" s="353">
        <v>3.52</v>
      </c>
      <c r="BB46" s="353">
        <v>2.72</v>
      </c>
    </row>
    <row r="47" spans="1:54">
      <c r="A47" s="111">
        <v>43190</v>
      </c>
      <c r="B47" s="353">
        <v>1.95</v>
      </c>
      <c r="C47" s="353">
        <v>2.0499999999999998</v>
      </c>
      <c r="D47" s="353">
        <v>2.19</v>
      </c>
      <c r="E47" s="353">
        <v>2.36</v>
      </c>
      <c r="F47" s="353">
        <v>2.52</v>
      </c>
      <c r="G47" s="353">
        <v>2.68</v>
      </c>
      <c r="H47" s="353">
        <v>2.82</v>
      </c>
      <c r="I47" s="353">
        <v>2.96</v>
      </c>
      <c r="J47" s="353">
        <v>3.08</v>
      </c>
      <c r="K47" s="353">
        <v>3.19</v>
      </c>
      <c r="L47" s="353">
        <v>3.29</v>
      </c>
      <c r="M47" s="353">
        <v>3.38</v>
      </c>
      <c r="N47" s="353">
        <v>3.45</v>
      </c>
      <c r="O47" s="353">
        <v>3.51</v>
      </c>
      <c r="P47" s="442">
        <v>3.57</v>
      </c>
      <c r="Q47" s="353">
        <v>3.6</v>
      </c>
      <c r="R47" s="353">
        <v>3.62</v>
      </c>
      <c r="S47" s="353">
        <v>3.65</v>
      </c>
      <c r="T47" s="353">
        <v>3.67</v>
      </c>
      <c r="U47" s="353">
        <v>3.68</v>
      </c>
      <c r="V47" s="353">
        <v>3.68</v>
      </c>
      <c r="W47" s="353">
        <v>3.67</v>
      </c>
      <c r="X47" s="353">
        <v>3.67</v>
      </c>
      <c r="Y47" s="353">
        <v>3.67</v>
      </c>
      <c r="Z47" s="353">
        <v>3.66</v>
      </c>
      <c r="AA47" s="353">
        <v>3.65</v>
      </c>
      <c r="AB47" s="353">
        <v>3.64</v>
      </c>
      <c r="AC47" s="353">
        <v>3.63</v>
      </c>
      <c r="AD47" s="353">
        <v>3.61</v>
      </c>
      <c r="AE47" s="353">
        <v>3.6</v>
      </c>
      <c r="AF47" s="353">
        <v>3.59</v>
      </c>
      <c r="AG47" s="353">
        <v>3.59</v>
      </c>
      <c r="AH47" s="353">
        <v>3.58</v>
      </c>
      <c r="AI47" s="353">
        <v>3.57</v>
      </c>
      <c r="AJ47" s="353">
        <v>3.56</v>
      </c>
      <c r="AK47" s="353">
        <v>3.55</v>
      </c>
      <c r="AL47" s="353">
        <v>3.55</v>
      </c>
      <c r="AM47" s="353">
        <v>3.54</v>
      </c>
      <c r="AN47" s="353">
        <v>3.53</v>
      </c>
      <c r="AO47" s="353">
        <v>3.53</v>
      </c>
      <c r="AP47" s="353">
        <v>3.52</v>
      </c>
      <c r="AQ47" s="353">
        <v>3.52</v>
      </c>
      <c r="AR47" s="353">
        <v>3.51</v>
      </c>
      <c r="AS47" s="353">
        <v>3.51</v>
      </c>
      <c r="AT47" s="353">
        <v>3.51</v>
      </c>
      <c r="AU47" s="353">
        <v>3.5</v>
      </c>
      <c r="AV47" s="353">
        <v>3.5</v>
      </c>
      <c r="AW47" s="353">
        <v>3.5</v>
      </c>
      <c r="AX47" s="353">
        <v>3.49</v>
      </c>
      <c r="AY47" s="353">
        <v>3.49</v>
      </c>
      <c r="BB47" s="353">
        <v>2.68</v>
      </c>
    </row>
    <row r="48" spans="1:54">
      <c r="A48" s="111">
        <v>43220</v>
      </c>
      <c r="B48" s="353">
        <v>1.9</v>
      </c>
      <c r="C48" s="353">
        <v>2</v>
      </c>
      <c r="D48" s="353">
        <v>2.15</v>
      </c>
      <c r="E48" s="353">
        <v>2.3199999999999998</v>
      </c>
      <c r="F48" s="353">
        <v>2.48</v>
      </c>
      <c r="G48" s="353">
        <v>2.64</v>
      </c>
      <c r="H48" s="353">
        <v>2.78</v>
      </c>
      <c r="I48" s="353">
        <v>2.92</v>
      </c>
      <c r="J48" s="353">
        <v>3.04</v>
      </c>
      <c r="K48" s="353">
        <v>3.15</v>
      </c>
      <c r="L48" s="353">
        <v>3.25</v>
      </c>
      <c r="M48" s="353">
        <v>3.34</v>
      </c>
      <c r="N48" s="353">
        <v>3.41</v>
      </c>
      <c r="O48" s="353">
        <v>3.48</v>
      </c>
      <c r="P48" s="442">
        <v>3.53</v>
      </c>
      <c r="Q48" s="353">
        <v>3.56</v>
      </c>
      <c r="R48" s="353">
        <v>3.59</v>
      </c>
      <c r="S48" s="353">
        <v>3.61</v>
      </c>
      <c r="T48" s="353">
        <v>3.63</v>
      </c>
      <c r="U48" s="353">
        <v>3.65</v>
      </c>
      <c r="V48" s="353">
        <v>3.64</v>
      </c>
      <c r="W48" s="353">
        <v>3.64</v>
      </c>
      <c r="X48" s="353">
        <v>3.63</v>
      </c>
      <c r="Y48" s="353">
        <v>3.63</v>
      </c>
      <c r="Z48" s="353">
        <v>3.63</v>
      </c>
      <c r="AA48" s="353">
        <v>3.61</v>
      </c>
      <c r="AB48" s="353">
        <v>3.6</v>
      </c>
      <c r="AC48" s="353">
        <v>3.59</v>
      </c>
      <c r="AD48" s="353">
        <v>3.58</v>
      </c>
      <c r="AE48" s="353">
        <v>3.57</v>
      </c>
      <c r="AF48" s="353">
        <v>3.56</v>
      </c>
      <c r="AG48" s="353">
        <v>3.55</v>
      </c>
      <c r="AH48" s="353">
        <v>3.54</v>
      </c>
      <c r="AI48" s="353">
        <v>3.53</v>
      </c>
      <c r="AJ48" s="353">
        <v>3.53</v>
      </c>
      <c r="AK48" s="353">
        <v>3.52</v>
      </c>
      <c r="AL48" s="353">
        <v>3.51</v>
      </c>
      <c r="AM48" s="353">
        <v>3.51</v>
      </c>
      <c r="AN48" s="353">
        <v>3.5</v>
      </c>
      <c r="AO48" s="353">
        <v>3.49</v>
      </c>
      <c r="AP48" s="353">
        <v>3.49</v>
      </c>
      <c r="AQ48" s="353">
        <v>3.49</v>
      </c>
      <c r="AR48" s="353">
        <v>3.48</v>
      </c>
      <c r="AS48" s="353">
        <v>3.48</v>
      </c>
      <c r="AT48" s="353">
        <v>3.47</v>
      </c>
      <c r="AU48" s="353">
        <v>3.47</v>
      </c>
      <c r="AV48" s="353">
        <v>3.47</v>
      </c>
      <c r="AW48" s="353">
        <v>3.46</v>
      </c>
      <c r="AX48" s="353">
        <v>3.46</v>
      </c>
      <c r="AY48" s="353">
        <v>3.46</v>
      </c>
      <c r="BB48" s="353">
        <v>2.64</v>
      </c>
    </row>
    <row r="49" spans="1:54">
      <c r="A49" s="111">
        <v>43251</v>
      </c>
      <c r="B49" s="353">
        <v>1.85</v>
      </c>
      <c r="C49" s="353">
        <v>1.95</v>
      </c>
      <c r="D49" s="353">
        <v>2.1</v>
      </c>
      <c r="E49" s="353">
        <v>2.27</v>
      </c>
      <c r="F49" s="353">
        <v>2.44</v>
      </c>
      <c r="G49" s="353">
        <v>2.6</v>
      </c>
      <c r="H49" s="353">
        <v>2.74</v>
      </c>
      <c r="I49" s="353">
        <v>2.88</v>
      </c>
      <c r="J49" s="353">
        <v>3</v>
      </c>
      <c r="K49" s="353">
        <v>3.11</v>
      </c>
      <c r="L49" s="353">
        <v>3.22</v>
      </c>
      <c r="M49" s="353">
        <v>3.3</v>
      </c>
      <c r="N49" s="353">
        <v>3.38</v>
      </c>
      <c r="O49" s="353">
        <v>3.44</v>
      </c>
      <c r="P49" s="442">
        <v>3.5</v>
      </c>
      <c r="Q49" s="353">
        <v>3.52</v>
      </c>
      <c r="R49" s="353">
        <v>3.55</v>
      </c>
      <c r="S49" s="353">
        <v>3.57</v>
      </c>
      <c r="T49" s="353">
        <v>3.59</v>
      </c>
      <c r="U49" s="353">
        <v>3.61</v>
      </c>
      <c r="V49" s="353">
        <v>3.61</v>
      </c>
      <c r="W49" s="353">
        <v>3.6</v>
      </c>
      <c r="X49" s="353">
        <v>3.6</v>
      </c>
      <c r="Y49" s="353">
        <v>3.6</v>
      </c>
      <c r="Z49" s="353">
        <v>3.59</v>
      </c>
      <c r="AA49" s="353">
        <v>3.58</v>
      </c>
      <c r="AB49" s="353">
        <v>3.57</v>
      </c>
      <c r="AC49" s="353">
        <v>3.56</v>
      </c>
      <c r="AD49" s="353">
        <v>3.55</v>
      </c>
      <c r="AE49" s="353">
        <v>3.54</v>
      </c>
      <c r="AF49" s="353">
        <v>3.53</v>
      </c>
      <c r="AG49" s="353">
        <v>3.52</v>
      </c>
      <c r="AH49" s="353">
        <v>3.51</v>
      </c>
      <c r="AI49" s="353">
        <v>3.5</v>
      </c>
      <c r="AJ49" s="353">
        <v>3.49</v>
      </c>
      <c r="AK49" s="353">
        <v>3.49</v>
      </c>
      <c r="AL49" s="353">
        <v>3.48</v>
      </c>
      <c r="AM49" s="353">
        <v>3.47</v>
      </c>
      <c r="AN49" s="353">
        <v>3.47</v>
      </c>
      <c r="AO49" s="353">
        <v>3.46</v>
      </c>
      <c r="AP49" s="353">
        <v>3.46</v>
      </c>
      <c r="AQ49" s="353">
        <v>3.45</v>
      </c>
      <c r="AR49" s="353">
        <v>3.45</v>
      </c>
      <c r="AS49" s="353">
        <v>3.44</v>
      </c>
      <c r="AT49" s="353">
        <v>3.44</v>
      </c>
      <c r="AU49" s="353">
        <v>3.44</v>
      </c>
      <c r="AV49" s="353">
        <v>3.43</v>
      </c>
      <c r="AW49" s="353">
        <v>3.43</v>
      </c>
      <c r="AX49" s="353">
        <v>3.43</v>
      </c>
      <c r="AY49" s="353">
        <v>3.42</v>
      </c>
      <c r="BB49" s="353">
        <v>2.6</v>
      </c>
    </row>
    <row r="50" spans="1:54" s="127" customFormat="1" ht="12.75">
      <c r="A50" s="109">
        <v>43281</v>
      </c>
      <c r="B50" s="353">
        <v>1.8</v>
      </c>
      <c r="C50" s="353">
        <v>1.9</v>
      </c>
      <c r="D50" s="353">
        <v>2.0499999999999998</v>
      </c>
      <c r="E50" s="353">
        <v>2.2200000000000002</v>
      </c>
      <c r="F50" s="353">
        <v>2.39</v>
      </c>
      <c r="G50" s="353">
        <v>2.5499999999999998</v>
      </c>
      <c r="H50" s="353">
        <v>2.7</v>
      </c>
      <c r="I50" s="353">
        <v>2.84</v>
      </c>
      <c r="J50" s="353">
        <v>2.96</v>
      </c>
      <c r="K50" s="353">
        <v>3.07</v>
      </c>
      <c r="L50" s="353">
        <v>3.18</v>
      </c>
      <c r="M50" s="353">
        <v>3.26</v>
      </c>
      <c r="N50" s="353">
        <v>3.34</v>
      </c>
      <c r="O50" s="353">
        <v>3.4</v>
      </c>
      <c r="P50" s="442">
        <v>3.46</v>
      </c>
      <c r="Q50" s="353">
        <v>3.49</v>
      </c>
      <c r="R50" s="353">
        <v>3.51</v>
      </c>
      <c r="S50" s="353">
        <v>3.54</v>
      </c>
      <c r="T50" s="353">
        <v>3.56</v>
      </c>
      <c r="U50" s="353">
        <v>3.58</v>
      </c>
      <c r="V50" s="353">
        <v>3.57</v>
      </c>
      <c r="W50" s="353">
        <v>3.57</v>
      </c>
      <c r="X50" s="353">
        <v>3.56</v>
      </c>
      <c r="Y50" s="353">
        <v>3.56</v>
      </c>
      <c r="Z50" s="353">
        <v>3.56</v>
      </c>
      <c r="AA50" s="353">
        <v>3.54</v>
      </c>
      <c r="AB50" s="353">
        <v>3.53</v>
      </c>
      <c r="AC50" s="353">
        <v>3.52</v>
      </c>
      <c r="AD50" s="353">
        <v>3.51</v>
      </c>
      <c r="AE50" s="353">
        <v>3.5</v>
      </c>
      <c r="AF50" s="353">
        <v>3.49</v>
      </c>
      <c r="AG50" s="353">
        <v>3.48</v>
      </c>
      <c r="AH50" s="353">
        <v>3.48</v>
      </c>
      <c r="AI50" s="353">
        <v>3.47</v>
      </c>
      <c r="AJ50" s="353">
        <v>3.46</v>
      </c>
      <c r="AK50" s="353">
        <v>3.45</v>
      </c>
      <c r="AL50" s="353">
        <v>3.45</v>
      </c>
      <c r="AM50" s="353">
        <v>3.44</v>
      </c>
      <c r="AN50" s="353">
        <v>3.43</v>
      </c>
      <c r="AO50" s="353">
        <v>3.43</v>
      </c>
      <c r="AP50" s="353">
        <v>3.42</v>
      </c>
      <c r="AQ50" s="353">
        <v>3.42</v>
      </c>
      <c r="AR50" s="353">
        <v>3.42</v>
      </c>
      <c r="AS50" s="353">
        <v>3.41</v>
      </c>
      <c r="AT50" s="353">
        <v>3.41</v>
      </c>
      <c r="AU50" s="353">
        <v>3.4</v>
      </c>
      <c r="AV50" s="353">
        <v>3.4</v>
      </c>
      <c r="AW50" s="353">
        <v>3.4</v>
      </c>
      <c r="AX50" s="353">
        <v>3.39</v>
      </c>
      <c r="AY50" s="353">
        <v>3.39</v>
      </c>
      <c r="BB50" s="353">
        <v>2.56</v>
      </c>
    </row>
    <row r="51" spans="1:54">
      <c r="A51" s="112">
        <v>43312</v>
      </c>
      <c r="B51" s="353">
        <v>1.75</v>
      </c>
      <c r="C51" s="353">
        <v>1.85</v>
      </c>
      <c r="D51" s="353">
        <v>2</v>
      </c>
      <c r="E51" s="353">
        <v>2.1800000000000002</v>
      </c>
      <c r="F51" s="353">
        <v>2.35</v>
      </c>
      <c r="G51" s="353">
        <v>2.5099999999999998</v>
      </c>
      <c r="H51" s="353">
        <v>2.66</v>
      </c>
      <c r="I51" s="353">
        <v>2.8</v>
      </c>
      <c r="J51" s="353">
        <v>2.92</v>
      </c>
      <c r="K51" s="353">
        <v>3.04</v>
      </c>
      <c r="L51" s="353">
        <v>3.14</v>
      </c>
      <c r="M51" s="353">
        <v>3.23</v>
      </c>
      <c r="N51" s="353">
        <v>3.3</v>
      </c>
      <c r="O51" s="353">
        <v>3.37</v>
      </c>
      <c r="P51" s="442">
        <v>3.42</v>
      </c>
      <c r="Q51" s="353">
        <v>3.45</v>
      </c>
      <c r="R51" s="353">
        <v>3.48</v>
      </c>
      <c r="S51" s="353">
        <v>3.5</v>
      </c>
      <c r="T51" s="353">
        <v>3.52</v>
      </c>
      <c r="U51" s="353">
        <v>3.54</v>
      </c>
      <c r="V51" s="353">
        <v>3.54</v>
      </c>
      <c r="W51" s="353">
        <v>3.53</v>
      </c>
      <c r="X51" s="353">
        <v>3.53</v>
      </c>
      <c r="Y51" s="353">
        <v>3.53</v>
      </c>
      <c r="Z51" s="353">
        <v>3.52</v>
      </c>
      <c r="AA51" s="353">
        <v>3.51</v>
      </c>
      <c r="AB51" s="353">
        <v>3.5</v>
      </c>
      <c r="AC51" s="353">
        <v>3.49</v>
      </c>
      <c r="AD51" s="353">
        <v>3.48</v>
      </c>
      <c r="AE51" s="353">
        <v>3.47</v>
      </c>
      <c r="AF51" s="353">
        <v>3.46</v>
      </c>
      <c r="AG51" s="353">
        <v>3.45</v>
      </c>
      <c r="AH51" s="353">
        <v>3.44</v>
      </c>
      <c r="AI51" s="353">
        <v>3.44</v>
      </c>
      <c r="AJ51" s="353">
        <v>3.43</v>
      </c>
      <c r="AK51" s="353">
        <v>3.42</v>
      </c>
      <c r="AL51" s="353">
        <v>3.41</v>
      </c>
      <c r="AM51" s="353">
        <v>3.41</v>
      </c>
      <c r="AN51" s="353">
        <v>3.4</v>
      </c>
      <c r="AO51" s="353">
        <v>3.4</v>
      </c>
      <c r="AP51" s="353">
        <v>3.39</v>
      </c>
      <c r="AQ51" s="353">
        <v>3.39</v>
      </c>
      <c r="AR51" s="353">
        <v>3.38</v>
      </c>
      <c r="AS51" s="353">
        <v>3.38</v>
      </c>
      <c r="AT51" s="353">
        <v>3.38</v>
      </c>
      <c r="AU51" s="353">
        <v>3.37</v>
      </c>
      <c r="AV51" s="353">
        <v>3.37</v>
      </c>
      <c r="AW51" s="353">
        <v>3.37</v>
      </c>
      <c r="AX51" s="353">
        <v>3.36</v>
      </c>
      <c r="AY51" s="353">
        <v>3.36</v>
      </c>
      <c r="BB51" s="353">
        <v>2.52</v>
      </c>
    </row>
    <row r="52" spans="1:54">
      <c r="A52" s="109">
        <v>43343</v>
      </c>
      <c r="B52" s="353">
        <v>1.69</v>
      </c>
      <c r="C52" s="353">
        <v>1.8</v>
      </c>
      <c r="D52" s="353">
        <v>1.96</v>
      </c>
      <c r="E52" s="353">
        <v>2.13</v>
      </c>
      <c r="F52" s="353">
        <v>2.2999999999999998</v>
      </c>
      <c r="G52" s="353">
        <v>2.4700000000000002</v>
      </c>
      <c r="H52" s="353">
        <v>2.62</v>
      </c>
      <c r="I52" s="353">
        <v>2.76</v>
      </c>
      <c r="J52" s="353">
        <v>2.88</v>
      </c>
      <c r="K52" s="353">
        <v>3</v>
      </c>
      <c r="L52" s="353">
        <v>3.1</v>
      </c>
      <c r="M52" s="353">
        <v>3.19</v>
      </c>
      <c r="N52" s="353">
        <v>3.26</v>
      </c>
      <c r="O52" s="353">
        <v>3.33</v>
      </c>
      <c r="P52" s="442">
        <v>3.39</v>
      </c>
      <c r="Q52" s="353">
        <v>3.42</v>
      </c>
      <c r="R52" s="353">
        <v>3.44</v>
      </c>
      <c r="S52" s="353">
        <v>3.47</v>
      </c>
      <c r="T52" s="353">
        <v>3.49</v>
      </c>
      <c r="U52" s="353">
        <v>3.51</v>
      </c>
      <c r="V52" s="353">
        <v>3.5</v>
      </c>
      <c r="W52" s="353">
        <v>3.5</v>
      </c>
      <c r="X52" s="353">
        <v>3.5</v>
      </c>
      <c r="Y52" s="353">
        <v>3.49</v>
      </c>
      <c r="Z52" s="353">
        <v>3.49</v>
      </c>
      <c r="AA52" s="353">
        <v>3.48</v>
      </c>
      <c r="AB52" s="353">
        <v>3.47</v>
      </c>
      <c r="AC52" s="353">
        <v>3.46</v>
      </c>
      <c r="AD52" s="353">
        <v>3.45</v>
      </c>
      <c r="AE52" s="353">
        <v>3.44</v>
      </c>
      <c r="AF52" s="353">
        <v>3.43</v>
      </c>
      <c r="AG52" s="353">
        <v>3.42</v>
      </c>
      <c r="AH52" s="353">
        <v>3.41</v>
      </c>
      <c r="AI52" s="353">
        <v>3.4</v>
      </c>
      <c r="AJ52" s="353">
        <v>3.4</v>
      </c>
      <c r="AK52" s="353">
        <v>3.39</v>
      </c>
      <c r="AL52" s="353">
        <v>3.38</v>
      </c>
      <c r="AM52" s="353">
        <v>3.38</v>
      </c>
      <c r="AN52" s="353">
        <v>3.37</v>
      </c>
      <c r="AO52" s="353">
        <v>3.37</v>
      </c>
      <c r="AP52" s="353">
        <v>3.36</v>
      </c>
      <c r="AQ52" s="353">
        <v>3.36</v>
      </c>
      <c r="AR52" s="353">
        <v>3.35</v>
      </c>
      <c r="AS52" s="353">
        <v>3.35</v>
      </c>
      <c r="AT52" s="353">
        <v>3.35</v>
      </c>
      <c r="AU52" s="353">
        <v>3.34</v>
      </c>
      <c r="AV52" s="353">
        <v>3.34</v>
      </c>
      <c r="AW52" s="353">
        <v>3.34</v>
      </c>
      <c r="AX52" s="353">
        <v>3.33</v>
      </c>
      <c r="AY52" s="353">
        <v>3.33</v>
      </c>
      <c r="BB52" s="353">
        <v>2.48</v>
      </c>
    </row>
    <row r="53" spans="1:54" s="127" customFormat="1" ht="12.75">
      <c r="A53" s="112">
        <v>43373</v>
      </c>
      <c r="B53" s="353">
        <v>1.63</v>
      </c>
      <c r="C53" s="353">
        <v>1.75</v>
      </c>
      <c r="D53" s="353">
        <v>1.9</v>
      </c>
      <c r="E53" s="353">
        <v>2.08</v>
      </c>
      <c r="F53" s="353">
        <v>2.25</v>
      </c>
      <c r="G53" s="353">
        <v>2.42</v>
      </c>
      <c r="H53" s="353">
        <v>2.57</v>
      </c>
      <c r="I53" s="353">
        <v>2.71</v>
      </c>
      <c r="J53" s="353">
        <v>2.83</v>
      </c>
      <c r="K53" s="353">
        <v>2.95</v>
      </c>
      <c r="L53" s="353">
        <v>3.06</v>
      </c>
      <c r="M53" s="353">
        <v>3.14</v>
      </c>
      <c r="N53" s="353">
        <v>3.22</v>
      </c>
      <c r="O53" s="353">
        <v>3.28</v>
      </c>
      <c r="P53" s="442">
        <v>3.34</v>
      </c>
      <c r="Q53" s="353">
        <v>3.37</v>
      </c>
      <c r="R53" s="353">
        <v>3.4</v>
      </c>
      <c r="S53" s="353">
        <v>3.42</v>
      </c>
      <c r="T53" s="353">
        <v>3.44</v>
      </c>
      <c r="U53" s="353">
        <v>3.46</v>
      </c>
      <c r="V53" s="353">
        <v>3.46</v>
      </c>
      <c r="W53" s="353">
        <v>3.46</v>
      </c>
      <c r="X53" s="353">
        <v>3.45</v>
      </c>
      <c r="Y53" s="353">
        <v>3.45</v>
      </c>
      <c r="Z53" s="353">
        <v>3.45</v>
      </c>
      <c r="AA53" s="353">
        <v>3.44</v>
      </c>
      <c r="AB53" s="353">
        <v>3.43</v>
      </c>
      <c r="AC53" s="353">
        <v>3.42</v>
      </c>
      <c r="AD53" s="353">
        <v>3.41</v>
      </c>
      <c r="AE53" s="353">
        <v>3.4</v>
      </c>
      <c r="AF53" s="353">
        <v>3.39</v>
      </c>
      <c r="AG53" s="353">
        <v>3.38</v>
      </c>
      <c r="AH53" s="353">
        <v>3.37</v>
      </c>
      <c r="AI53" s="353">
        <v>3.36</v>
      </c>
      <c r="AJ53" s="353">
        <v>3.36</v>
      </c>
      <c r="AK53" s="353">
        <v>3.35</v>
      </c>
      <c r="AL53" s="353">
        <v>3.34</v>
      </c>
      <c r="AM53" s="353">
        <v>3.34</v>
      </c>
      <c r="AN53" s="353">
        <v>3.33</v>
      </c>
      <c r="AO53" s="353">
        <v>3.33</v>
      </c>
      <c r="AP53" s="353">
        <v>3.32</v>
      </c>
      <c r="AQ53" s="353">
        <v>3.32</v>
      </c>
      <c r="AR53" s="353">
        <v>3.32</v>
      </c>
      <c r="AS53" s="353">
        <v>3.31</v>
      </c>
      <c r="AT53" s="353">
        <v>3.31</v>
      </c>
      <c r="AU53" s="353">
        <v>3.31</v>
      </c>
      <c r="AV53" s="353">
        <v>3.3</v>
      </c>
      <c r="AW53" s="353">
        <v>3.3</v>
      </c>
      <c r="AX53" s="353">
        <v>3.3</v>
      </c>
      <c r="AY53" s="353">
        <v>3.29</v>
      </c>
      <c r="BB53" s="353">
        <v>2.4300000000000002</v>
      </c>
    </row>
    <row r="54" spans="1:54" s="127" customFormat="1" ht="12.75">
      <c r="A54" s="109">
        <v>43404</v>
      </c>
      <c r="B54" s="353">
        <v>1.58</v>
      </c>
      <c r="C54" s="353">
        <v>1.7</v>
      </c>
      <c r="D54" s="353">
        <v>1.85</v>
      </c>
      <c r="E54" s="353">
        <v>2.0299999999999998</v>
      </c>
      <c r="F54" s="353">
        <v>2.2000000000000002</v>
      </c>
      <c r="G54" s="353">
        <v>2.37</v>
      </c>
      <c r="H54" s="353">
        <v>2.52</v>
      </c>
      <c r="I54" s="353">
        <v>2.66</v>
      </c>
      <c r="J54" s="353">
        <v>2.78</v>
      </c>
      <c r="K54" s="353">
        <v>2.9</v>
      </c>
      <c r="L54" s="353">
        <v>3.01</v>
      </c>
      <c r="M54" s="353">
        <v>3.09</v>
      </c>
      <c r="N54" s="353">
        <v>3.17</v>
      </c>
      <c r="O54" s="353">
        <v>3.24</v>
      </c>
      <c r="P54" s="442">
        <v>3.29</v>
      </c>
      <c r="Q54" s="353">
        <v>3.32</v>
      </c>
      <c r="R54" s="353">
        <v>3.35</v>
      </c>
      <c r="S54" s="353">
        <v>3.38</v>
      </c>
      <c r="T54" s="353">
        <v>3.4</v>
      </c>
      <c r="U54" s="353">
        <v>3.42</v>
      </c>
      <c r="V54" s="353">
        <v>3.42</v>
      </c>
      <c r="W54" s="353">
        <v>3.41</v>
      </c>
      <c r="X54" s="353">
        <v>3.41</v>
      </c>
      <c r="Y54" s="353">
        <v>3.41</v>
      </c>
      <c r="Z54" s="353">
        <v>3.41</v>
      </c>
      <c r="AA54" s="353">
        <v>3.39</v>
      </c>
      <c r="AB54" s="353">
        <v>3.38</v>
      </c>
      <c r="AC54" s="353">
        <v>3.37</v>
      </c>
      <c r="AD54" s="353">
        <v>3.36</v>
      </c>
      <c r="AE54" s="353">
        <v>3.36</v>
      </c>
      <c r="AF54" s="353">
        <v>3.35</v>
      </c>
      <c r="AG54" s="353">
        <v>3.34</v>
      </c>
      <c r="AH54" s="353">
        <v>3.33</v>
      </c>
      <c r="AI54" s="353">
        <v>3.32</v>
      </c>
      <c r="AJ54" s="353">
        <v>3.32</v>
      </c>
      <c r="AK54" s="353">
        <v>3.31</v>
      </c>
      <c r="AL54" s="353">
        <v>3.3</v>
      </c>
      <c r="AM54" s="353">
        <v>3.3</v>
      </c>
      <c r="AN54" s="353">
        <v>3.29</v>
      </c>
      <c r="AO54" s="353">
        <v>3.29</v>
      </c>
      <c r="AP54" s="353">
        <v>3.28</v>
      </c>
      <c r="AQ54" s="353">
        <v>3.28</v>
      </c>
      <c r="AR54" s="353">
        <v>3.28</v>
      </c>
      <c r="AS54" s="353">
        <v>3.27</v>
      </c>
      <c r="AT54" s="353">
        <v>3.27</v>
      </c>
      <c r="AU54" s="353">
        <v>3.27</v>
      </c>
      <c r="AV54" s="353">
        <v>3.26</v>
      </c>
      <c r="AW54" s="353">
        <v>3.26</v>
      </c>
      <c r="AX54" s="353">
        <v>3.26</v>
      </c>
      <c r="AY54" s="353">
        <v>3.25</v>
      </c>
      <c r="BB54" s="353">
        <v>2.4</v>
      </c>
    </row>
    <row r="55" spans="1:54" s="127" customFormat="1" ht="12.75">
      <c r="A55" s="112">
        <v>43434</v>
      </c>
      <c r="B55" s="353">
        <v>1.53</v>
      </c>
      <c r="C55" s="353">
        <v>1.65</v>
      </c>
      <c r="D55" s="353">
        <v>1.81</v>
      </c>
      <c r="E55" s="353">
        <v>1.98</v>
      </c>
      <c r="F55" s="353">
        <v>2.15</v>
      </c>
      <c r="G55" s="353">
        <v>2.3199999999999998</v>
      </c>
      <c r="H55" s="353">
        <v>2.4700000000000002</v>
      </c>
      <c r="I55" s="353">
        <v>2.61</v>
      </c>
      <c r="J55" s="353">
        <v>2.74</v>
      </c>
      <c r="K55" s="353">
        <v>2.86</v>
      </c>
      <c r="L55" s="353">
        <v>2.96</v>
      </c>
      <c r="M55" s="353">
        <v>3.05</v>
      </c>
      <c r="N55" s="353">
        <v>3.13</v>
      </c>
      <c r="O55" s="353">
        <v>3.19</v>
      </c>
      <c r="P55" s="442">
        <v>3.25</v>
      </c>
      <c r="Q55" s="353">
        <v>3.28</v>
      </c>
      <c r="R55" s="353">
        <v>3.31</v>
      </c>
      <c r="S55" s="353">
        <v>3.33</v>
      </c>
      <c r="T55" s="353">
        <v>3.36</v>
      </c>
      <c r="U55" s="353">
        <v>3.38</v>
      </c>
      <c r="V55" s="353">
        <v>3.38</v>
      </c>
      <c r="W55" s="353">
        <v>3.37</v>
      </c>
      <c r="X55" s="353">
        <v>3.37</v>
      </c>
      <c r="Y55" s="353">
        <v>3.37</v>
      </c>
      <c r="Z55" s="353">
        <v>3.37</v>
      </c>
      <c r="AA55" s="353">
        <v>3.36</v>
      </c>
      <c r="AB55" s="353">
        <v>3.35</v>
      </c>
      <c r="AC55" s="353">
        <v>3.34</v>
      </c>
      <c r="AD55" s="353">
        <v>3.33</v>
      </c>
      <c r="AE55" s="353">
        <v>3.32</v>
      </c>
      <c r="AF55" s="353">
        <v>3.31</v>
      </c>
      <c r="AG55" s="353">
        <v>3.3</v>
      </c>
      <c r="AH55" s="353">
        <v>3.3</v>
      </c>
      <c r="AI55" s="353">
        <v>3.29</v>
      </c>
      <c r="AJ55" s="353">
        <v>3.28</v>
      </c>
      <c r="AK55" s="353">
        <v>3.28</v>
      </c>
      <c r="AL55" s="353">
        <v>3.27</v>
      </c>
      <c r="AM55" s="353">
        <v>3.26</v>
      </c>
      <c r="AN55" s="353">
        <v>3.26</v>
      </c>
      <c r="AO55" s="353">
        <v>3.25</v>
      </c>
      <c r="AP55" s="353">
        <v>3.25</v>
      </c>
      <c r="AQ55" s="353">
        <v>3.25</v>
      </c>
      <c r="AR55" s="353">
        <v>3.24</v>
      </c>
      <c r="AS55" s="353">
        <v>3.24</v>
      </c>
      <c r="AT55" s="353">
        <v>3.24</v>
      </c>
      <c r="AU55" s="353">
        <v>3.23</v>
      </c>
      <c r="AV55" s="353">
        <v>3.23</v>
      </c>
      <c r="AW55" s="353">
        <v>3.23</v>
      </c>
      <c r="AX55" s="353">
        <v>3.22</v>
      </c>
      <c r="AY55" s="353">
        <v>3.22</v>
      </c>
      <c r="BB55" s="353">
        <v>2.36</v>
      </c>
    </row>
    <row r="56" spans="1:54">
      <c r="A56" s="109">
        <v>43465</v>
      </c>
      <c r="B56" s="353">
        <v>1.49</v>
      </c>
      <c r="C56" s="353">
        <v>1.61</v>
      </c>
      <c r="D56" s="353">
        <v>1.76</v>
      </c>
      <c r="E56" s="353">
        <v>1.94</v>
      </c>
      <c r="F56" s="353">
        <v>2.11</v>
      </c>
      <c r="G56" s="353">
        <v>2.2799999999999998</v>
      </c>
      <c r="H56" s="353">
        <v>2.4300000000000002</v>
      </c>
      <c r="I56" s="353">
        <v>2.57</v>
      </c>
      <c r="J56" s="353">
        <v>2.7</v>
      </c>
      <c r="K56" s="353">
        <v>2.81</v>
      </c>
      <c r="L56" s="353">
        <v>2.92</v>
      </c>
      <c r="M56" s="353">
        <v>3.01</v>
      </c>
      <c r="N56" s="353">
        <v>3.08</v>
      </c>
      <c r="O56" s="353">
        <v>3.15</v>
      </c>
      <c r="P56" s="442">
        <v>3.21</v>
      </c>
      <c r="Q56" s="353">
        <v>3.24</v>
      </c>
      <c r="R56" s="353">
        <v>3.27</v>
      </c>
      <c r="S56" s="353">
        <v>3.29</v>
      </c>
      <c r="T56" s="353">
        <v>3.32</v>
      </c>
      <c r="U56" s="353">
        <v>3.34</v>
      </c>
      <c r="V56" s="353">
        <v>3.34</v>
      </c>
      <c r="W56" s="353">
        <v>3.33</v>
      </c>
      <c r="X56" s="353">
        <v>3.33</v>
      </c>
      <c r="Y56" s="353">
        <v>3.33</v>
      </c>
      <c r="Z56" s="353">
        <v>3.33</v>
      </c>
      <c r="AA56" s="353">
        <v>3.32</v>
      </c>
      <c r="AB56" s="353">
        <v>3.31</v>
      </c>
      <c r="AC56" s="353">
        <v>3.3</v>
      </c>
      <c r="AD56" s="353">
        <v>3.29</v>
      </c>
      <c r="AE56" s="353">
        <v>3.28</v>
      </c>
      <c r="AF56" s="353">
        <v>3.28</v>
      </c>
      <c r="AG56" s="353">
        <v>3.27</v>
      </c>
      <c r="AH56" s="353">
        <v>3.26</v>
      </c>
      <c r="AI56" s="353">
        <v>3.25</v>
      </c>
      <c r="AJ56" s="353">
        <v>3.25</v>
      </c>
      <c r="AK56" s="353">
        <v>3.24</v>
      </c>
      <c r="AL56" s="353">
        <v>3.24</v>
      </c>
      <c r="AM56" s="353">
        <v>3.23</v>
      </c>
      <c r="AN56" s="353">
        <v>3.23</v>
      </c>
      <c r="AO56" s="353">
        <v>3.22</v>
      </c>
      <c r="AP56" s="353">
        <v>3.22</v>
      </c>
      <c r="AQ56" s="353">
        <v>3.21</v>
      </c>
      <c r="AR56" s="353">
        <v>3.21</v>
      </c>
      <c r="AS56" s="353">
        <v>3.21</v>
      </c>
      <c r="AT56" s="353">
        <v>3.2</v>
      </c>
      <c r="AU56" s="353">
        <v>3.2</v>
      </c>
      <c r="AV56" s="353">
        <v>3.2</v>
      </c>
      <c r="AW56" s="353">
        <v>3.2</v>
      </c>
      <c r="AX56" s="353">
        <v>3.19</v>
      </c>
      <c r="AY56" s="353">
        <v>3.19</v>
      </c>
      <c r="BB56" s="353">
        <v>2.3199999999999998</v>
      </c>
    </row>
    <row r="57" spans="1:54">
      <c r="A57" s="112">
        <v>43496</v>
      </c>
      <c r="B57" s="353">
        <v>1.45</v>
      </c>
      <c r="C57" s="353">
        <v>1.57</v>
      </c>
      <c r="D57" s="353">
        <v>1.72</v>
      </c>
      <c r="E57" s="353">
        <v>1.9</v>
      </c>
      <c r="F57" s="353">
        <v>2.0699999999999998</v>
      </c>
      <c r="G57" s="353">
        <v>2.23</v>
      </c>
      <c r="H57" s="353">
        <v>2.39</v>
      </c>
      <c r="I57" s="353">
        <v>2.5299999999999998</v>
      </c>
      <c r="J57" s="353">
        <v>2.65</v>
      </c>
      <c r="K57" s="353">
        <v>2.77</v>
      </c>
      <c r="L57" s="353">
        <v>2.87</v>
      </c>
      <c r="M57" s="353">
        <v>2.96</v>
      </c>
      <c r="N57" s="353">
        <v>3.04</v>
      </c>
      <c r="O57" s="353">
        <v>3.11</v>
      </c>
      <c r="P57" s="442">
        <v>3.16</v>
      </c>
      <c r="Q57" s="353">
        <v>3.2</v>
      </c>
      <c r="R57" s="353">
        <v>3.23</v>
      </c>
      <c r="S57" s="353">
        <v>3.25</v>
      </c>
      <c r="T57" s="353">
        <v>3.27</v>
      </c>
      <c r="U57" s="353">
        <v>3.3</v>
      </c>
      <c r="V57" s="353">
        <v>3.29</v>
      </c>
      <c r="W57" s="353">
        <v>3.29</v>
      </c>
      <c r="X57" s="353">
        <v>3.29</v>
      </c>
      <c r="Y57" s="353">
        <v>3.29</v>
      </c>
      <c r="Z57" s="353">
        <v>3.29</v>
      </c>
      <c r="AA57" s="353">
        <v>3.28</v>
      </c>
      <c r="AB57" s="353">
        <v>3.27</v>
      </c>
      <c r="AC57" s="353">
        <v>3.26</v>
      </c>
      <c r="AD57" s="353">
        <v>3.25</v>
      </c>
      <c r="AE57" s="353">
        <v>3.25</v>
      </c>
      <c r="AF57" s="353">
        <v>3.24</v>
      </c>
      <c r="AG57" s="353">
        <v>3.23</v>
      </c>
      <c r="AH57" s="353">
        <v>3.22</v>
      </c>
      <c r="AI57" s="353">
        <v>3.22</v>
      </c>
      <c r="AJ57" s="353">
        <v>3.21</v>
      </c>
      <c r="AK57" s="353">
        <v>3.21</v>
      </c>
      <c r="AL57" s="353">
        <v>3.2</v>
      </c>
      <c r="AM57" s="353">
        <v>3.2</v>
      </c>
      <c r="AN57" s="353">
        <v>3.19</v>
      </c>
      <c r="AO57" s="353">
        <v>3.19</v>
      </c>
      <c r="AP57" s="353">
        <v>3.18</v>
      </c>
      <c r="AQ57" s="353">
        <v>3.18</v>
      </c>
      <c r="AR57" s="353">
        <v>3.18</v>
      </c>
      <c r="AS57" s="353">
        <v>3.17</v>
      </c>
      <c r="AT57" s="353">
        <v>3.17</v>
      </c>
      <c r="AU57" s="353">
        <v>3.17</v>
      </c>
      <c r="AV57" s="353">
        <v>3.16</v>
      </c>
      <c r="AW57" s="353">
        <v>3.16</v>
      </c>
      <c r="AX57" s="353">
        <v>3.16</v>
      </c>
      <c r="AY57" s="353">
        <v>3.16</v>
      </c>
      <c r="BB57" s="353">
        <v>2.29</v>
      </c>
    </row>
    <row r="58" spans="1:54">
      <c r="A58" s="109">
        <v>43524</v>
      </c>
      <c r="B58" s="353">
        <v>1.41</v>
      </c>
      <c r="C58" s="353">
        <v>1.53</v>
      </c>
      <c r="D58" s="353">
        <v>1.68</v>
      </c>
      <c r="E58" s="353">
        <v>1.85</v>
      </c>
      <c r="F58" s="353">
        <v>2.02</v>
      </c>
      <c r="G58" s="353">
        <v>2.19</v>
      </c>
      <c r="H58" s="353">
        <v>2.34</v>
      </c>
      <c r="I58" s="353">
        <v>2.48</v>
      </c>
      <c r="J58" s="353">
        <v>2.61</v>
      </c>
      <c r="K58" s="353">
        <v>2.72</v>
      </c>
      <c r="L58" s="353">
        <v>2.83</v>
      </c>
      <c r="M58" s="353">
        <v>2.92</v>
      </c>
      <c r="N58" s="353">
        <v>2.99</v>
      </c>
      <c r="O58" s="353">
        <v>3.06</v>
      </c>
      <c r="P58" s="442">
        <v>3.12</v>
      </c>
      <c r="Q58" s="353">
        <v>3.15</v>
      </c>
      <c r="R58" s="353">
        <v>3.18</v>
      </c>
      <c r="S58" s="353">
        <v>3.21</v>
      </c>
      <c r="T58" s="353">
        <v>3.23</v>
      </c>
      <c r="U58" s="353">
        <v>3.25</v>
      </c>
      <c r="V58" s="353">
        <v>3.25</v>
      </c>
      <c r="W58" s="353">
        <v>3.25</v>
      </c>
      <c r="X58" s="353">
        <v>3.25</v>
      </c>
      <c r="Y58" s="353">
        <v>3.25</v>
      </c>
      <c r="Z58" s="353">
        <v>3.25</v>
      </c>
      <c r="AA58" s="353">
        <v>3.24</v>
      </c>
      <c r="AB58" s="353">
        <v>3.23</v>
      </c>
      <c r="AC58" s="353">
        <v>3.22</v>
      </c>
      <c r="AD58" s="353">
        <v>3.22</v>
      </c>
      <c r="AE58" s="353">
        <v>3.21</v>
      </c>
      <c r="AF58" s="353">
        <v>3.2</v>
      </c>
      <c r="AG58" s="353">
        <v>3.19</v>
      </c>
      <c r="AH58" s="353">
        <v>3.19</v>
      </c>
      <c r="AI58" s="353">
        <v>3.18</v>
      </c>
      <c r="AJ58" s="353">
        <v>3.18</v>
      </c>
      <c r="AK58" s="353">
        <v>3.17</v>
      </c>
      <c r="AL58" s="353">
        <v>3.17</v>
      </c>
      <c r="AM58" s="353">
        <v>3.16</v>
      </c>
      <c r="AN58" s="353">
        <v>3.16</v>
      </c>
      <c r="AO58" s="353">
        <v>3.15</v>
      </c>
      <c r="AP58" s="353">
        <v>3.15</v>
      </c>
      <c r="AQ58" s="353">
        <v>3.15</v>
      </c>
      <c r="AR58" s="353">
        <v>3.14</v>
      </c>
      <c r="AS58" s="353">
        <v>3.14</v>
      </c>
      <c r="AT58" s="353">
        <v>3.14</v>
      </c>
      <c r="AU58" s="353">
        <v>3.13</v>
      </c>
      <c r="AV58" s="353">
        <v>3.13</v>
      </c>
      <c r="AW58" s="353">
        <v>3.13</v>
      </c>
      <c r="AX58" s="353">
        <v>3.13</v>
      </c>
      <c r="AY58" s="353">
        <v>3.12</v>
      </c>
      <c r="BB58" s="353">
        <v>2.2599999999999998</v>
      </c>
    </row>
    <row r="59" spans="1:54">
      <c r="A59" s="112">
        <v>43555</v>
      </c>
      <c r="B59" s="353">
        <v>1.37</v>
      </c>
      <c r="C59" s="353">
        <v>1.49</v>
      </c>
      <c r="D59" s="353">
        <v>1.64</v>
      </c>
      <c r="E59" s="353">
        <v>1.81</v>
      </c>
      <c r="F59" s="353">
        <v>1.98</v>
      </c>
      <c r="G59" s="353">
        <v>2.14</v>
      </c>
      <c r="H59" s="353">
        <v>2.2999999999999998</v>
      </c>
      <c r="I59" s="353">
        <v>2.4300000000000002</v>
      </c>
      <c r="J59" s="353">
        <v>2.56</v>
      </c>
      <c r="K59" s="353">
        <v>2.68</v>
      </c>
      <c r="L59" s="353">
        <v>2.78</v>
      </c>
      <c r="M59" s="353">
        <v>2.87</v>
      </c>
      <c r="N59" s="353">
        <v>2.95</v>
      </c>
      <c r="O59" s="353">
        <v>3.01</v>
      </c>
      <c r="P59" s="442">
        <v>3.07</v>
      </c>
      <c r="Q59" s="353">
        <v>3.1</v>
      </c>
      <c r="R59" s="353">
        <v>3.13</v>
      </c>
      <c r="S59" s="353">
        <v>3.16</v>
      </c>
      <c r="T59" s="353">
        <v>3.18</v>
      </c>
      <c r="U59" s="353">
        <v>3.2</v>
      </c>
      <c r="V59" s="353">
        <v>3.2</v>
      </c>
      <c r="W59" s="353">
        <v>3.21</v>
      </c>
      <c r="X59" s="353">
        <v>3.21</v>
      </c>
      <c r="Y59" s="353">
        <v>3.21</v>
      </c>
      <c r="Z59" s="353">
        <v>3.21</v>
      </c>
      <c r="AA59" s="353">
        <v>3.2</v>
      </c>
      <c r="AB59" s="353">
        <v>3.19</v>
      </c>
      <c r="AC59" s="353">
        <v>3.18</v>
      </c>
      <c r="AD59" s="353">
        <v>3.17</v>
      </c>
      <c r="AE59" s="353">
        <v>3.17</v>
      </c>
      <c r="AF59" s="353">
        <v>3.16</v>
      </c>
      <c r="AG59" s="353">
        <v>3.15</v>
      </c>
      <c r="AH59" s="353">
        <v>3.15</v>
      </c>
      <c r="AI59" s="353">
        <v>3.14</v>
      </c>
      <c r="AJ59" s="353">
        <v>3.13</v>
      </c>
      <c r="AK59" s="353">
        <v>3.13</v>
      </c>
      <c r="AL59" s="353">
        <v>3.12</v>
      </c>
      <c r="AM59" s="353">
        <v>3.12</v>
      </c>
      <c r="AN59" s="353">
        <v>3.11</v>
      </c>
      <c r="AO59" s="353">
        <v>3.11</v>
      </c>
      <c r="AP59" s="353">
        <v>3.11</v>
      </c>
      <c r="AQ59" s="353">
        <v>3.1</v>
      </c>
      <c r="AR59" s="353">
        <v>3.1</v>
      </c>
      <c r="AS59" s="353">
        <v>3.1</v>
      </c>
      <c r="AT59" s="353">
        <v>3.09</v>
      </c>
      <c r="AU59" s="353">
        <v>3.09</v>
      </c>
      <c r="AV59" s="353">
        <v>3.09</v>
      </c>
      <c r="AW59" s="353">
        <v>3.09</v>
      </c>
      <c r="AX59" s="353">
        <v>3.08</v>
      </c>
      <c r="AY59" s="353">
        <v>3.08</v>
      </c>
      <c r="BB59" s="353">
        <v>2.23</v>
      </c>
    </row>
    <row r="60" spans="1:54" s="127" customFormat="1" ht="12.75">
      <c r="A60" s="109">
        <v>43585</v>
      </c>
      <c r="B60" s="353">
        <v>1.34</v>
      </c>
      <c r="C60" s="353">
        <v>1.45</v>
      </c>
      <c r="D60" s="353">
        <v>1.6</v>
      </c>
      <c r="E60" s="353">
        <v>1.77</v>
      </c>
      <c r="F60" s="353">
        <v>1.94</v>
      </c>
      <c r="G60" s="353">
        <v>2.1</v>
      </c>
      <c r="H60" s="353">
        <v>2.25</v>
      </c>
      <c r="I60" s="353">
        <v>2.39</v>
      </c>
      <c r="J60" s="353">
        <v>2.52</v>
      </c>
      <c r="K60" s="353">
        <v>2.63</v>
      </c>
      <c r="L60" s="353">
        <v>2.74</v>
      </c>
      <c r="M60" s="353">
        <v>2.82</v>
      </c>
      <c r="N60" s="353">
        <v>2.9</v>
      </c>
      <c r="O60" s="353">
        <v>2.97</v>
      </c>
      <c r="P60" s="442">
        <v>3.03</v>
      </c>
      <c r="Q60" s="353">
        <v>3.06</v>
      </c>
      <c r="R60" s="353">
        <v>3.09</v>
      </c>
      <c r="S60" s="353">
        <v>3.12</v>
      </c>
      <c r="T60" s="353">
        <v>3.14</v>
      </c>
      <c r="U60" s="353">
        <v>3.16</v>
      </c>
      <c r="V60" s="353">
        <v>3.16</v>
      </c>
      <c r="W60" s="353">
        <v>3.16</v>
      </c>
      <c r="X60" s="353">
        <v>3.16</v>
      </c>
      <c r="Y60" s="353">
        <v>3.16</v>
      </c>
      <c r="Z60" s="353">
        <v>3.16</v>
      </c>
      <c r="AA60" s="353">
        <v>3.15</v>
      </c>
      <c r="AB60" s="353">
        <v>3.15</v>
      </c>
      <c r="AC60" s="353">
        <v>3.14</v>
      </c>
      <c r="AD60" s="353">
        <v>3.13</v>
      </c>
      <c r="AE60" s="353">
        <v>3.12</v>
      </c>
      <c r="AF60" s="353">
        <v>3.12</v>
      </c>
      <c r="AG60" s="353">
        <v>3.11</v>
      </c>
      <c r="AH60" s="353">
        <v>3.11</v>
      </c>
      <c r="AI60" s="353">
        <v>3.1</v>
      </c>
      <c r="AJ60" s="353">
        <v>3.09</v>
      </c>
      <c r="AK60" s="353">
        <v>3.09</v>
      </c>
      <c r="AL60" s="353">
        <v>3.08</v>
      </c>
      <c r="AM60" s="353">
        <v>3.08</v>
      </c>
      <c r="AN60" s="353">
        <v>3.08</v>
      </c>
      <c r="AO60" s="353">
        <v>3.07</v>
      </c>
      <c r="AP60" s="353">
        <v>3.07</v>
      </c>
      <c r="AQ60" s="353">
        <v>3.07</v>
      </c>
      <c r="AR60" s="353">
        <v>3.06</v>
      </c>
      <c r="AS60" s="353">
        <v>3.06</v>
      </c>
      <c r="AT60" s="353">
        <v>3.06</v>
      </c>
      <c r="AU60" s="353">
        <v>3.05</v>
      </c>
      <c r="AV60" s="353">
        <v>3.05</v>
      </c>
      <c r="AW60" s="353">
        <v>3.05</v>
      </c>
      <c r="AX60" s="353">
        <v>3.05</v>
      </c>
      <c r="AY60" s="353">
        <v>3.04</v>
      </c>
      <c r="BB60" s="353">
        <v>2.2000000000000002</v>
      </c>
    </row>
    <row r="61" spans="1:54" s="127" customFormat="1" ht="12.75">
      <c r="A61" s="112">
        <v>43616</v>
      </c>
      <c r="B61" s="353">
        <v>1.31</v>
      </c>
      <c r="C61" s="353">
        <v>1.42</v>
      </c>
      <c r="D61" s="353">
        <v>1.57</v>
      </c>
      <c r="E61" s="353">
        <v>1.73</v>
      </c>
      <c r="F61" s="353">
        <v>1.9</v>
      </c>
      <c r="G61" s="353">
        <v>2.06</v>
      </c>
      <c r="H61" s="353">
        <v>2.21</v>
      </c>
      <c r="I61" s="353">
        <v>2.35</v>
      </c>
      <c r="J61" s="353">
        <v>2.4700000000000002</v>
      </c>
      <c r="K61" s="353">
        <v>2.59</v>
      </c>
      <c r="L61" s="353">
        <v>2.69</v>
      </c>
      <c r="M61" s="353">
        <v>2.78</v>
      </c>
      <c r="N61" s="353">
        <v>2.86</v>
      </c>
      <c r="O61" s="353">
        <v>2.93</v>
      </c>
      <c r="P61" s="442">
        <v>2.98</v>
      </c>
      <c r="Q61" s="353">
        <v>3.02</v>
      </c>
      <c r="R61" s="353">
        <v>3.05</v>
      </c>
      <c r="S61" s="353">
        <v>3.07</v>
      </c>
      <c r="T61" s="353">
        <v>3.1</v>
      </c>
      <c r="U61" s="353">
        <v>3.12</v>
      </c>
      <c r="V61" s="353">
        <v>3.12</v>
      </c>
      <c r="W61" s="353">
        <v>3.12</v>
      </c>
      <c r="X61" s="353">
        <v>3.12</v>
      </c>
      <c r="Y61" s="353">
        <v>3.12</v>
      </c>
      <c r="Z61" s="353">
        <v>3.12</v>
      </c>
      <c r="AA61" s="353">
        <v>3.11</v>
      </c>
      <c r="AB61" s="353">
        <v>3.11</v>
      </c>
      <c r="AC61" s="353">
        <v>3.1</v>
      </c>
      <c r="AD61" s="353">
        <v>3.09</v>
      </c>
      <c r="AE61" s="353">
        <v>3.09</v>
      </c>
      <c r="AF61" s="353">
        <v>3.08</v>
      </c>
      <c r="AG61" s="353">
        <v>3.07</v>
      </c>
      <c r="AH61" s="353">
        <v>3.07</v>
      </c>
      <c r="AI61" s="353">
        <v>3.06</v>
      </c>
      <c r="AJ61" s="353">
        <v>3.06</v>
      </c>
      <c r="AK61" s="353">
        <v>3.05</v>
      </c>
      <c r="AL61" s="353">
        <v>3.05</v>
      </c>
      <c r="AM61" s="353">
        <v>3.04</v>
      </c>
      <c r="AN61" s="353">
        <v>3.04</v>
      </c>
      <c r="AO61" s="353">
        <v>3.04</v>
      </c>
      <c r="AP61" s="353">
        <v>3.03</v>
      </c>
      <c r="AQ61" s="353">
        <v>3.03</v>
      </c>
      <c r="AR61" s="353">
        <v>3.03</v>
      </c>
      <c r="AS61" s="353">
        <v>3.02</v>
      </c>
      <c r="AT61" s="353">
        <v>3.02</v>
      </c>
      <c r="AU61" s="353">
        <v>3.02</v>
      </c>
      <c r="AV61" s="353">
        <v>3.02</v>
      </c>
      <c r="AW61" s="353">
        <v>3.01</v>
      </c>
      <c r="AX61" s="353">
        <v>3.01</v>
      </c>
      <c r="AY61" s="353">
        <v>3.01</v>
      </c>
      <c r="BB61" s="353">
        <v>2.1800000000000002</v>
      </c>
    </row>
    <row r="62" spans="1:54" s="127" customFormat="1" ht="12.75">
      <c r="A62" s="109">
        <v>43646</v>
      </c>
      <c r="B62" s="353">
        <v>1.29</v>
      </c>
      <c r="C62" s="353">
        <v>1.39</v>
      </c>
      <c r="D62" s="353">
        <v>1.53</v>
      </c>
      <c r="E62" s="353">
        <v>1.7</v>
      </c>
      <c r="F62" s="353">
        <v>1.86</v>
      </c>
      <c r="G62" s="353">
        <v>2.02</v>
      </c>
      <c r="H62" s="353">
        <v>2.17</v>
      </c>
      <c r="I62" s="353">
        <v>2.31</v>
      </c>
      <c r="J62" s="353">
        <v>2.4300000000000002</v>
      </c>
      <c r="K62" s="353">
        <v>2.5499999999999998</v>
      </c>
      <c r="L62" s="353">
        <v>2.65</v>
      </c>
      <c r="M62" s="353">
        <v>2.74</v>
      </c>
      <c r="N62" s="353">
        <v>2.82</v>
      </c>
      <c r="O62" s="353">
        <v>2.88</v>
      </c>
      <c r="P62" s="442">
        <v>2.94</v>
      </c>
      <c r="Q62" s="353">
        <v>2.98</v>
      </c>
      <c r="R62" s="353">
        <v>3.01</v>
      </c>
      <c r="S62" s="353">
        <v>3.03</v>
      </c>
      <c r="T62" s="353">
        <v>3.06</v>
      </c>
      <c r="U62" s="353">
        <v>3.08</v>
      </c>
      <c r="V62" s="353">
        <v>3.08</v>
      </c>
      <c r="W62" s="353">
        <v>3.08</v>
      </c>
      <c r="X62" s="353">
        <v>3.08</v>
      </c>
      <c r="Y62" s="353">
        <v>3.08</v>
      </c>
      <c r="Z62" s="353">
        <v>3.08</v>
      </c>
      <c r="AA62" s="353">
        <v>3.08</v>
      </c>
      <c r="AB62" s="353">
        <v>3.07</v>
      </c>
      <c r="AC62" s="353">
        <v>3.06</v>
      </c>
      <c r="AD62" s="353">
        <v>3.05</v>
      </c>
      <c r="AE62" s="353">
        <v>3.05</v>
      </c>
      <c r="AF62" s="353">
        <v>3.04</v>
      </c>
      <c r="AG62" s="353">
        <v>3.04</v>
      </c>
      <c r="AH62" s="353">
        <v>3.03</v>
      </c>
      <c r="AI62" s="353">
        <v>3.02</v>
      </c>
      <c r="AJ62" s="353">
        <v>3.02</v>
      </c>
      <c r="AK62" s="353">
        <v>3.02</v>
      </c>
      <c r="AL62" s="353">
        <v>3.01</v>
      </c>
      <c r="AM62" s="353">
        <v>3.01</v>
      </c>
      <c r="AN62" s="353">
        <v>3</v>
      </c>
      <c r="AO62" s="353">
        <v>3</v>
      </c>
      <c r="AP62" s="353">
        <v>3</v>
      </c>
      <c r="AQ62" s="353">
        <v>2.99</v>
      </c>
      <c r="AR62" s="353">
        <v>2.99</v>
      </c>
      <c r="AS62" s="353">
        <v>2.99</v>
      </c>
      <c r="AT62" s="353">
        <v>2.98</v>
      </c>
      <c r="AU62" s="353">
        <v>2.98</v>
      </c>
      <c r="AV62" s="353">
        <v>2.98</v>
      </c>
      <c r="AW62" s="353">
        <v>2.98</v>
      </c>
      <c r="AX62" s="353">
        <v>2.98</v>
      </c>
      <c r="AY62" s="353">
        <v>2.97</v>
      </c>
      <c r="BB62" s="353">
        <v>2.15</v>
      </c>
    </row>
    <row r="63" spans="1:54" s="127" customFormat="1" ht="12.75">
      <c r="A63" s="112">
        <v>43677</v>
      </c>
      <c r="B63" s="353">
        <v>1.27</v>
      </c>
      <c r="C63" s="353">
        <v>1.37</v>
      </c>
      <c r="D63" s="353">
        <v>1.5</v>
      </c>
      <c r="E63" s="353">
        <v>1.67</v>
      </c>
      <c r="F63" s="353">
        <v>1.83</v>
      </c>
      <c r="G63" s="353">
        <v>1.99</v>
      </c>
      <c r="H63" s="353">
        <v>2.14</v>
      </c>
      <c r="I63" s="353">
        <v>2.27</v>
      </c>
      <c r="J63" s="353">
        <v>2.4</v>
      </c>
      <c r="K63" s="353">
        <v>2.5099999999999998</v>
      </c>
      <c r="L63" s="353">
        <v>2.62</v>
      </c>
      <c r="M63" s="353">
        <v>2.7</v>
      </c>
      <c r="N63" s="353">
        <v>2.78</v>
      </c>
      <c r="O63" s="353">
        <v>2.85</v>
      </c>
      <c r="P63" s="442">
        <v>2.9</v>
      </c>
      <c r="Q63" s="353">
        <v>2.94</v>
      </c>
      <c r="R63" s="353">
        <v>2.97</v>
      </c>
      <c r="S63" s="353">
        <v>2.99</v>
      </c>
      <c r="T63" s="353">
        <v>3.02</v>
      </c>
      <c r="U63" s="353">
        <v>3.04</v>
      </c>
      <c r="V63" s="353">
        <v>3.04</v>
      </c>
      <c r="W63" s="353">
        <v>3.04</v>
      </c>
      <c r="X63" s="353">
        <v>3.04</v>
      </c>
      <c r="Y63" s="353">
        <v>3.04</v>
      </c>
      <c r="Z63" s="353">
        <v>3.05</v>
      </c>
      <c r="AA63" s="353">
        <v>3.04</v>
      </c>
      <c r="AB63" s="353">
        <v>3.03</v>
      </c>
      <c r="AC63" s="353">
        <v>3.02</v>
      </c>
      <c r="AD63" s="353">
        <v>3.02</v>
      </c>
      <c r="AE63" s="353">
        <v>3.01</v>
      </c>
      <c r="AF63" s="353">
        <v>3</v>
      </c>
      <c r="AG63" s="353">
        <v>3</v>
      </c>
      <c r="AH63" s="353">
        <v>2.99</v>
      </c>
      <c r="AI63" s="353">
        <v>2.99</v>
      </c>
      <c r="AJ63" s="353">
        <v>2.98</v>
      </c>
      <c r="AK63" s="353">
        <v>2.98</v>
      </c>
      <c r="AL63" s="353">
        <v>2.98</v>
      </c>
      <c r="AM63" s="353">
        <v>2.97</v>
      </c>
      <c r="AN63" s="353">
        <v>2.97</v>
      </c>
      <c r="AO63" s="353">
        <v>2.96</v>
      </c>
      <c r="AP63" s="353">
        <v>2.96</v>
      </c>
      <c r="AQ63" s="353">
        <v>2.96</v>
      </c>
      <c r="AR63" s="353">
        <v>2.96</v>
      </c>
      <c r="AS63" s="353">
        <v>2.95</v>
      </c>
      <c r="AT63" s="353">
        <v>2.95</v>
      </c>
      <c r="AU63" s="353">
        <v>2.95</v>
      </c>
      <c r="AV63" s="353">
        <v>2.95</v>
      </c>
      <c r="AW63" s="353">
        <v>2.94</v>
      </c>
      <c r="AX63" s="353">
        <v>2.94</v>
      </c>
      <c r="AY63" s="353">
        <v>2.94</v>
      </c>
      <c r="BB63" s="353">
        <v>2.12</v>
      </c>
    </row>
    <row r="64" spans="1:54" s="127" customFormat="1" ht="12.75">
      <c r="A64" s="109">
        <v>43708</v>
      </c>
      <c r="B64" s="353">
        <v>1.24</v>
      </c>
      <c r="C64" s="353">
        <v>1.34</v>
      </c>
      <c r="D64" s="353">
        <v>1.47</v>
      </c>
      <c r="E64" s="353">
        <v>1.63</v>
      </c>
      <c r="F64" s="353">
        <v>1.79</v>
      </c>
      <c r="G64" s="353">
        <v>1.95</v>
      </c>
      <c r="H64" s="353">
        <v>2.1</v>
      </c>
      <c r="I64" s="353">
        <v>2.23</v>
      </c>
      <c r="J64" s="353">
        <v>2.36</v>
      </c>
      <c r="K64" s="353">
        <v>2.4700000000000002</v>
      </c>
      <c r="L64" s="353">
        <v>2.58</v>
      </c>
      <c r="M64" s="353">
        <v>2.66</v>
      </c>
      <c r="N64" s="353">
        <v>2.74</v>
      </c>
      <c r="O64" s="353">
        <v>2.8</v>
      </c>
      <c r="P64" s="442">
        <v>2.86</v>
      </c>
      <c r="Q64" s="353">
        <v>2.9</v>
      </c>
      <c r="R64" s="353">
        <v>2.93</v>
      </c>
      <c r="S64" s="353">
        <v>2.95</v>
      </c>
      <c r="T64" s="353">
        <v>2.98</v>
      </c>
      <c r="U64" s="353">
        <v>3</v>
      </c>
      <c r="V64" s="353">
        <v>3</v>
      </c>
      <c r="W64" s="353">
        <v>3</v>
      </c>
      <c r="X64" s="353">
        <v>3</v>
      </c>
      <c r="Y64" s="353">
        <v>3</v>
      </c>
      <c r="Z64" s="353">
        <v>3.01</v>
      </c>
      <c r="AA64" s="353">
        <v>3</v>
      </c>
      <c r="AB64" s="353">
        <v>2.99</v>
      </c>
      <c r="AC64" s="353">
        <v>2.98</v>
      </c>
      <c r="AD64" s="353">
        <v>2.98</v>
      </c>
      <c r="AE64" s="353">
        <v>2.97</v>
      </c>
      <c r="AF64" s="353">
        <v>2.97</v>
      </c>
      <c r="AG64" s="353">
        <v>2.96</v>
      </c>
      <c r="AH64" s="353">
        <v>2.96</v>
      </c>
      <c r="AI64" s="353">
        <v>2.95</v>
      </c>
      <c r="AJ64" s="353">
        <v>2.95</v>
      </c>
      <c r="AK64" s="353">
        <v>2.94</v>
      </c>
      <c r="AL64" s="353">
        <v>2.94</v>
      </c>
      <c r="AM64" s="353">
        <v>2.93</v>
      </c>
      <c r="AN64" s="353">
        <v>2.93</v>
      </c>
      <c r="AO64" s="353">
        <v>2.93</v>
      </c>
      <c r="AP64" s="353">
        <v>2.93</v>
      </c>
      <c r="AQ64" s="353">
        <v>2.92</v>
      </c>
      <c r="AR64" s="353">
        <v>2.92</v>
      </c>
      <c r="AS64" s="353">
        <v>2.92</v>
      </c>
      <c r="AT64" s="353">
        <v>2.92</v>
      </c>
      <c r="AU64" s="353">
        <v>2.91</v>
      </c>
      <c r="AV64" s="353">
        <v>2.91</v>
      </c>
      <c r="AW64" s="353">
        <v>2.91</v>
      </c>
      <c r="AX64" s="353">
        <v>2.91</v>
      </c>
      <c r="AY64" s="353">
        <v>2.9</v>
      </c>
      <c r="BB64" s="353">
        <v>2.08</v>
      </c>
    </row>
    <row r="65" spans="1:54" s="127" customFormat="1" ht="12.75">
      <c r="A65" s="112">
        <v>43738</v>
      </c>
      <c r="B65" s="353">
        <v>1.22</v>
      </c>
      <c r="C65" s="353">
        <v>1.32</v>
      </c>
      <c r="D65" s="353">
        <v>1.45</v>
      </c>
      <c r="E65" s="353">
        <v>1.6</v>
      </c>
      <c r="F65" s="353">
        <v>1.76</v>
      </c>
      <c r="G65" s="353">
        <v>1.92</v>
      </c>
      <c r="H65" s="353">
        <v>2.06</v>
      </c>
      <c r="I65" s="353">
        <v>2.2000000000000002</v>
      </c>
      <c r="J65" s="353">
        <v>2.3199999999999998</v>
      </c>
      <c r="K65" s="353">
        <v>2.44</v>
      </c>
      <c r="L65" s="353">
        <v>2.54</v>
      </c>
      <c r="M65" s="353">
        <v>2.62</v>
      </c>
      <c r="N65" s="353">
        <v>2.7</v>
      </c>
      <c r="O65" s="353">
        <v>2.77</v>
      </c>
      <c r="P65" s="442">
        <v>2.82</v>
      </c>
      <c r="Q65" s="353">
        <v>2.86</v>
      </c>
      <c r="R65" s="353">
        <v>2.89</v>
      </c>
      <c r="S65" s="353">
        <v>2.91</v>
      </c>
      <c r="T65" s="353">
        <v>2.94</v>
      </c>
      <c r="U65" s="353">
        <v>2.96</v>
      </c>
      <c r="V65" s="353">
        <v>2.96</v>
      </c>
      <c r="W65" s="353">
        <v>2.96</v>
      </c>
      <c r="X65" s="353">
        <v>2.96</v>
      </c>
      <c r="Y65" s="353">
        <v>2.97</v>
      </c>
      <c r="Z65" s="353">
        <v>2.97</v>
      </c>
      <c r="AA65" s="353">
        <v>2.96</v>
      </c>
      <c r="AB65" s="353">
        <v>2.95</v>
      </c>
      <c r="AC65" s="353">
        <v>2.95</v>
      </c>
      <c r="AD65" s="353">
        <v>2.94</v>
      </c>
      <c r="AE65" s="353">
        <v>2.93</v>
      </c>
      <c r="AF65" s="353">
        <v>2.93</v>
      </c>
      <c r="AG65" s="353">
        <v>2.92</v>
      </c>
      <c r="AH65" s="353">
        <v>2.92</v>
      </c>
      <c r="AI65" s="353">
        <v>2.91</v>
      </c>
      <c r="AJ65" s="353">
        <v>2.91</v>
      </c>
      <c r="AK65" s="353">
        <v>2.91</v>
      </c>
      <c r="AL65" s="353">
        <v>2.9</v>
      </c>
      <c r="AM65" s="353">
        <v>2.9</v>
      </c>
      <c r="AN65" s="353">
        <v>2.9</v>
      </c>
      <c r="AO65" s="353">
        <v>2.89</v>
      </c>
      <c r="AP65" s="353">
        <v>2.89</v>
      </c>
      <c r="AQ65" s="353">
        <v>2.89</v>
      </c>
      <c r="AR65" s="353">
        <v>2.88</v>
      </c>
      <c r="AS65" s="353">
        <v>2.88</v>
      </c>
      <c r="AT65" s="353">
        <v>2.88</v>
      </c>
      <c r="AU65" s="353">
        <v>2.88</v>
      </c>
      <c r="AV65" s="353">
        <v>2.88</v>
      </c>
      <c r="AW65" s="353">
        <v>2.87</v>
      </c>
      <c r="AX65" s="353">
        <v>2.87</v>
      </c>
      <c r="AY65" s="353">
        <v>2.87</v>
      </c>
      <c r="BB65" s="353">
        <v>2.0499999999999998</v>
      </c>
    </row>
    <row r="66" spans="1:54" s="127" customFormat="1" ht="12.75">
      <c r="A66" s="109">
        <v>43769</v>
      </c>
      <c r="B66" s="353">
        <v>1.21</v>
      </c>
      <c r="C66" s="353">
        <v>1.29</v>
      </c>
      <c r="D66" s="353">
        <v>1.42</v>
      </c>
      <c r="E66" s="353">
        <v>1.57</v>
      </c>
      <c r="F66" s="353">
        <v>1.73</v>
      </c>
      <c r="G66" s="353">
        <v>1.89</v>
      </c>
      <c r="H66" s="353">
        <v>2.0299999999999998</v>
      </c>
      <c r="I66" s="353">
        <v>2.16</v>
      </c>
      <c r="J66" s="353">
        <v>2.29</v>
      </c>
      <c r="K66" s="353">
        <v>2.4</v>
      </c>
      <c r="L66" s="353">
        <v>2.5</v>
      </c>
      <c r="M66" s="353">
        <v>2.59</v>
      </c>
      <c r="N66" s="353">
        <v>2.66</v>
      </c>
      <c r="O66" s="353">
        <v>2.73</v>
      </c>
      <c r="P66" s="442">
        <v>2.79</v>
      </c>
      <c r="Q66" s="353">
        <v>2.82</v>
      </c>
      <c r="R66" s="353">
        <v>2.85</v>
      </c>
      <c r="S66" s="353">
        <v>2.88</v>
      </c>
      <c r="T66" s="353">
        <v>2.9</v>
      </c>
      <c r="U66" s="353">
        <v>2.92</v>
      </c>
      <c r="V66" s="353">
        <v>2.92</v>
      </c>
      <c r="W66" s="353">
        <v>2.93</v>
      </c>
      <c r="X66" s="353">
        <v>2.93</v>
      </c>
      <c r="Y66" s="353">
        <v>2.93</v>
      </c>
      <c r="Z66" s="353">
        <v>2.93</v>
      </c>
      <c r="AA66" s="353">
        <v>2.92</v>
      </c>
      <c r="AB66" s="353">
        <v>2.92</v>
      </c>
      <c r="AC66" s="353">
        <v>2.91</v>
      </c>
      <c r="AD66" s="353">
        <v>2.9</v>
      </c>
      <c r="AE66" s="353">
        <v>2.9</v>
      </c>
      <c r="AF66" s="353">
        <v>2.89</v>
      </c>
      <c r="AG66" s="353">
        <v>2.89</v>
      </c>
      <c r="AH66" s="353">
        <v>2.88</v>
      </c>
      <c r="AI66" s="353">
        <v>2.88</v>
      </c>
      <c r="AJ66" s="353">
        <v>2.88</v>
      </c>
      <c r="AK66" s="353">
        <v>2.87</v>
      </c>
      <c r="AL66" s="353">
        <v>2.87</v>
      </c>
      <c r="AM66" s="353">
        <v>2.87</v>
      </c>
      <c r="AN66" s="353">
        <v>2.86</v>
      </c>
      <c r="AO66" s="353">
        <v>2.86</v>
      </c>
      <c r="AP66" s="353">
        <v>2.86</v>
      </c>
      <c r="AQ66" s="353">
        <v>2.85</v>
      </c>
      <c r="AR66" s="353">
        <v>2.85</v>
      </c>
      <c r="AS66" s="353">
        <v>2.85</v>
      </c>
      <c r="AT66" s="353">
        <v>2.85</v>
      </c>
      <c r="AU66" s="353">
        <v>2.84</v>
      </c>
      <c r="AV66" s="353">
        <v>2.84</v>
      </c>
      <c r="AW66" s="353">
        <v>2.84</v>
      </c>
      <c r="AX66" s="353">
        <v>2.84</v>
      </c>
      <c r="AY66" s="353">
        <v>2.84</v>
      </c>
      <c r="BB66" s="353">
        <v>2.02</v>
      </c>
    </row>
    <row r="67" spans="1:54">
      <c r="A67" s="112">
        <v>43799</v>
      </c>
      <c r="B67" s="353">
        <v>1.19</v>
      </c>
      <c r="C67" s="353">
        <v>1.27</v>
      </c>
      <c r="D67" s="353">
        <v>1.39</v>
      </c>
      <c r="E67" s="353">
        <v>1.55</v>
      </c>
      <c r="F67" s="353">
        <v>1.7</v>
      </c>
      <c r="G67" s="353">
        <v>1.86</v>
      </c>
      <c r="H67" s="353">
        <v>2</v>
      </c>
      <c r="I67" s="353">
        <v>2.13</v>
      </c>
      <c r="J67" s="353">
        <v>2.25</v>
      </c>
      <c r="K67" s="353">
        <v>2.37</v>
      </c>
      <c r="L67" s="353">
        <v>2.4700000000000002</v>
      </c>
      <c r="M67" s="353">
        <v>2.5499999999999998</v>
      </c>
      <c r="N67" s="353">
        <v>2.63</v>
      </c>
      <c r="O67" s="353">
        <v>2.69</v>
      </c>
      <c r="P67" s="442">
        <v>2.75</v>
      </c>
      <c r="Q67" s="353">
        <v>2.78</v>
      </c>
      <c r="R67" s="353">
        <v>2.81</v>
      </c>
      <c r="S67" s="353">
        <v>2.84</v>
      </c>
      <c r="T67" s="353">
        <v>2.86</v>
      </c>
      <c r="U67" s="353">
        <v>2.89</v>
      </c>
      <c r="V67" s="353">
        <v>2.89</v>
      </c>
      <c r="W67" s="353">
        <v>2.89</v>
      </c>
      <c r="X67" s="353">
        <v>2.89</v>
      </c>
      <c r="Y67" s="353">
        <v>2.89</v>
      </c>
      <c r="Z67" s="353">
        <v>2.9</v>
      </c>
      <c r="AA67" s="353">
        <v>2.89</v>
      </c>
      <c r="AB67" s="353">
        <v>2.88</v>
      </c>
      <c r="AC67" s="353">
        <v>2.88</v>
      </c>
      <c r="AD67" s="353">
        <v>2.87</v>
      </c>
      <c r="AE67" s="353">
        <v>2.87</v>
      </c>
      <c r="AF67" s="353">
        <v>2.86</v>
      </c>
      <c r="AG67" s="353">
        <v>2.86</v>
      </c>
      <c r="AH67" s="353">
        <v>2.85</v>
      </c>
      <c r="AI67" s="353">
        <v>2.85</v>
      </c>
      <c r="AJ67" s="353">
        <v>2.84</v>
      </c>
      <c r="AK67" s="353">
        <v>2.84</v>
      </c>
      <c r="AL67" s="353">
        <v>2.84</v>
      </c>
      <c r="AM67" s="353">
        <v>2.83</v>
      </c>
      <c r="AN67" s="353">
        <v>2.83</v>
      </c>
      <c r="AO67" s="353">
        <v>2.83</v>
      </c>
      <c r="AP67" s="353">
        <v>2.83</v>
      </c>
      <c r="AQ67" s="353">
        <v>2.82</v>
      </c>
      <c r="AR67" s="353">
        <v>2.82</v>
      </c>
      <c r="AS67" s="353">
        <v>2.82</v>
      </c>
      <c r="AT67" s="353">
        <v>2.82</v>
      </c>
      <c r="AU67" s="353">
        <v>2.81</v>
      </c>
      <c r="AV67" s="353">
        <v>2.81</v>
      </c>
      <c r="AW67" s="353">
        <v>2.81</v>
      </c>
      <c r="AX67" s="353">
        <v>2.81</v>
      </c>
      <c r="AY67" s="353">
        <v>2.81</v>
      </c>
      <c r="BB67" s="353">
        <v>2</v>
      </c>
    </row>
    <row r="68" spans="1:54">
      <c r="A68" s="109">
        <v>43830</v>
      </c>
      <c r="B68" s="353">
        <v>1.17</v>
      </c>
      <c r="C68" s="353">
        <v>1.25</v>
      </c>
      <c r="D68" s="353">
        <v>1.37</v>
      </c>
      <c r="E68" s="353">
        <v>1.52</v>
      </c>
      <c r="F68" s="353">
        <v>1.67</v>
      </c>
      <c r="G68" s="353">
        <v>1.82</v>
      </c>
      <c r="H68" s="353">
        <v>1.97</v>
      </c>
      <c r="I68" s="353">
        <v>2.1</v>
      </c>
      <c r="J68" s="353">
        <v>2.2200000000000002</v>
      </c>
      <c r="K68" s="353">
        <v>2.33</v>
      </c>
      <c r="L68" s="353">
        <v>2.4300000000000002</v>
      </c>
      <c r="M68" s="353">
        <v>2.52</v>
      </c>
      <c r="N68" s="353">
        <v>2.59</v>
      </c>
      <c r="O68" s="353">
        <v>2.66</v>
      </c>
      <c r="P68" s="442">
        <v>2.71</v>
      </c>
      <c r="Q68" s="353">
        <v>2.75</v>
      </c>
      <c r="R68" s="353">
        <v>2.78</v>
      </c>
      <c r="S68" s="353">
        <v>2.8</v>
      </c>
      <c r="T68" s="353">
        <v>2.83</v>
      </c>
      <c r="U68" s="353">
        <v>2.85</v>
      </c>
      <c r="V68" s="353">
        <v>2.85</v>
      </c>
      <c r="W68" s="353">
        <v>2.86</v>
      </c>
      <c r="X68" s="353">
        <v>2.86</v>
      </c>
      <c r="Y68" s="353">
        <v>2.86</v>
      </c>
      <c r="Z68" s="353">
        <v>2.86</v>
      </c>
      <c r="AA68" s="353">
        <v>2.86</v>
      </c>
      <c r="AB68" s="353">
        <v>2.85</v>
      </c>
      <c r="AC68" s="353">
        <v>2.84</v>
      </c>
      <c r="AD68" s="353">
        <v>2.84</v>
      </c>
      <c r="AE68" s="353">
        <v>2.83</v>
      </c>
      <c r="AF68" s="353">
        <v>2.83</v>
      </c>
      <c r="AG68" s="353">
        <v>2.82</v>
      </c>
      <c r="AH68" s="353">
        <v>2.82</v>
      </c>
      <c r="AI68" s="353">
        <v>2.82</v>
      </c>
      <c r="AJ68" s="353">
        <v>2.81</v>
      </c>
      <c r="AK68" s="353">
        <v>2.81</v>
      </c>
      <c r="AL68" s="353">
        <v>2.81</v>
      </c>
      <c r="AM68" s="353">
        <v>2.8</v>
      </c>
      <c r="AN68" s="353">
        <v>2.8</v>
      </c>
      <c r="AO68" s="353">
        <v>2.8</v>
      </c>
      <c r="AP68" s="353">
        <v>2.79</v>
      </c>
      <c r="AQ68" s="353">
        <v>2.79</v>
      </c>
      <c r="AR68" s="353">
        <v>2.79</v>
      </c>
      <c r="AS68" s="353">
        <v>2.79</v>
      </c>
      <c r="AT68" s="353">
        <v>2.78</v>
      </c>
      <c r="AU68" s="353">
        <v>2.78</v>
      </c>
      <c r="AV68" s="353">
        <v>2.78</v>
      </c>
      <c r="AW68" s="353">
        <v>2.78</v>
      </c>
      <c r="AX68" s="353">
        <v>2.78</v>
      </c>
      <c r="AY68" s="353">
        <v>2.77</v>
      </c>
      <c r="BB68" s="353">
        <v>1.97</v>
      </c>
    </row>
    <row r="69" spans="1:54">
      <c r="A69" s="112">
        <v>43861</v>
      </c>
      <c r="B69" s="353">
        <v>1.1499999999999999</v>
      </c>
      <c r="C69" s="353">
        <v>1.23</v>
      </c>
      <c r="D69" s="353">
        <v>1.34</v>
      </c>
      <c r="E69" s="353">
        <v>1.49</v>
      </c>
      <c r="F69" s="353">
        <v>1.64</v>
      </c>
      <c r="G69" s="353">
        <v>1.79</v>
      </c>
      <c r="H69" s="353">
        <v>1.93</v>
      </c>
      <c r="I69" s="353">
        <v>2.06</v>
      </c>
      <c r="J69" s="353">
        <v>2.1800000000000002</v>
      </c>
      <c r="K69" s="353">
        <v>2.2999999999999998</v>
      </c>
      <c r="L69" s="353">
        <v>2.4</v>
      </c>
      <c r="M69" s="353">
        <v>2.48</v>
      </c>
      <c r="N69" s="353">
        <v>2.56</v>
      </c>
      <c r="O69" s="353">
        <v>2.62</v>
      </c>
      <c r="P69" s="442">
        <v>2.68</v>
      </c>
      <c r="Q69" s="353">
        <v>2.71</v>
      </c>
      <c r="R69" s="353">
        <v>2.74</v>
      </c>
      <c r="S69" s="353">
        <v>2.77</v>
      </c>
      <c r="T69" s="353">
        <v>2.79</v>
      </c>
      <c r="U69" s="353">
        <v>2.81</v>
      </c>
      <c r="V69" s="353">
        <v>2.82</v>
      </c>
      <c r="W69" s="353">
        <v>2.82</v>
      </c>
      <c r="X69" s="353">
        <v>2.82</v>
      </c>
      <c r="Y69" s="353">
        <v>2.82</v>
      </c>
      <c r="Z69" s="353">
        <v>2.83</v>
      </c>
      <c r="AA69" s="353">
        <v>2.82</v>
      </c>
      <c r="AB69" s="353">
        <v>2.81</v>
      </c>
      <c r="AC69" s="353">
        <v>2.81</v>
      </c>
      <c r="AD69" s="353">
        <v>2.8</v>
      </c>
      <c r="AE69" s="353">
        <v>2.8</v>
      </c>
      <c r="AF69" s="353">
        <v>2.79</v>
      </c>
      <c r="AG69" s="353">
        <v>2.79</v>
      </c>
      <c r="AH69" s="353">
        <v>2.78</v>
      </c>
      <c r="AI69" s="353">
        <v>2.78</v>
      </c>
      <c r="AJ69" s="353">
        <v>2.78</v>
      </c>
      <c r="AK69" s="353">
        <v>2.77</v>
      </c>
      <c r="AL69" s="353">
        <v>2.77</v>
      </c>
      <c r="AM69" s="353">
        <v>2.77</v>
      </c>
      <c r="AN69" s="353">
        <v>2.77</v>
      </c>
      <c r="AO69" s="353">
        <v>2.76</v>
      </c>
      <c r="AP69" s="353">
        <v>2.76</v>
      </c>
      <c r="AQ69" s="353">
        <v>2.76</v>
      </c>
      <c r="AR69" s="353">
        <v>2.76</v>
      </c>
      <c r="AS69" s="353">
        <v>2.75</v>
      </c>
      <c r="AT69" s="353">
        <v>2.75</v>
      </c>
      <c r="AU69" s="353">
        <v>2.75</v>
      </c>
      <c r="AV69" s="353">
        <v>2.75</v>
      </c>
      <c r="AW69" s="353">
        <v>2.75</v>
      </c>
      <c r="AX69" s="353">
        <v>2.74</v>
      </c>
      <c r="AY69" s="353">
        <v>2.74</v>
      </c>
      <c r="BB69" s="353">
        <v>1.94</v>
      </c>
    </row>
    <row r="70" spans="1:54">
      <c r="A70" s="109">
        <v>43890</v>
      </c>
      <c r="B70" s="353">
        <v>1.1299999999999999</v>
      </c>
      <c r="C70" s="353">
        <v>1.2</v>
      </c>
      <c r="D70" s="353">
        <v>1.32</v>
      </c>
      <c r="E70" s="353">
        <v>1.46</v>
      </c>
      <c r="F70" s="353">
        <v>1.61</v>
      </c>
      <c r="G70" s="353">
        <v>1.76</v>
      </c>
      <c r="H70" s="353">
        <v>1.9</v>
      </c>
      <c r="I70" s="353">
        <v>2.0299999999999998</v>
      </c>
      <c r="J70" s="353">
        <v>2.15</v>
      </c>
      <c r="K70" s="353">
        <v>2.2599999999999998</v>
      </c>
      <c r="L70" s="353">
        <v>2.36</v>
      </c>
      <c r="M70" s="353">
        <v>2.4500000000000002</v>
      </c>
      <c r="N70" s="353">
        <v>2.52</v>
      </c>
      <c r="O70" s="353">
        <v>2.58</v>
      </c>
      <c r="P70" s="442">
        <v>2.64</v>
      </c>
      <c r="Q70" s="353">
        <v>2.67</v>
      </c>
      <c r="R70" s="353">
        <v>2.7</v>
      </c>
      <c r="S70" s="353">
        <v>2.73</v>
      </c>
      <c r="T70" s="353">
        <v>2.75</v>
      </c>
      <c r="U70" s="353">
        <v>2.77</v>
      </c>
      <c r="V70" s="353">
        <v>2.78</v>
      </c>
      <c r="W70" s="353">
        <v>2.78</v>
      </c>
      <c r="X70" s="353">
        <v>2.78</v>
      </c>
      <c r="Y70" s="353">
        <v>2.79</v>
      </c>
      <c r="Z70" s="353">
        <v>2.79</v>
      </c>
      <c r="AA70" s="353">
        <v>2.78</v>
      </c>
      <c r="AB70" s="353">
        <v>2.78</v>
      </c>
      <c r="AC70" s="353">
        <v>2.77</v>
      </c>
      <c r="AD70" s="353">
        <v>2.77</v>
      </c>
      <c r="AE70" s="353">
        <v>2.76</v>
      </c>
      <c r="AF70" s="353">
        <v>2.76</v>
      </c>
      <c r="AG70" s="353">
        <v>2.75</v>
      </c>
      <c r="AH70" s="353">
        <v>2.75</v>
      </c>
      <c r="AI70" s="353">
        <v>2.75</v>
      </c>
      <c r="AJ70" s="353">
        <v>2.74</v>
      </c>
      <c r="AK70" s="353">
        <v>2.74</v>
      </c>
      <c r="AL70" s="353">
        <v>2.74</v>
      </c>
      <c r="AM70" s="353">
        <v>2.73</v>
      </c>
      <c r="AN70" s="353">
        <v>2.73</v>
      </c>
      <c r="AO70" s="353">
        <v>2.73</v>
      </c>
      <c r="AP70" s="353">
        <v>2.73</v>
      </c>
      <c r="AQ70" s="353">
        <v>2.72</v>
      </c>
      <c r="AR70" s="353">
        <v>2.72</v>
      </c>
      <c r="AS70" s="353">
        <v>2.72</v>
      </c>
      <c r="AT70" s="353">
        <v>2.72</v>
      </c>
      <c r="AU70" s="353">
        <v>2.72</v>
      </c>
      <c r="AV70" s="353">
        <v>2.71</v>
      </c>
      <c r="AW70" s="353">
        <v>2.71</v>
      </c>
      <c r="AX70" s="353">
        <v>2.71</v>
      </c>
      <c r="AY70" s="353">
        <v>2.71</v>
      </c>
      <c r="BB70" s="353">
        <v>1.91</v>
      </c>
    </row>
    <row r="71" spans="1:54">
      <c r="A71" s="112">
        <v>43921</v>
      </c>
      <c r="B71" s="353">
        <v>1.1200000000000001</v>
      </c>
      <c r="C71" s="353">
        <v>1.19</v>
      </c>
      <c r="D71" s="353">
        <v>1.3</v>
      </c>
      <c r="E71" s="353">
        <v>1.45</v>
      </c>
      <c r="F71" s="353">
        <v>1.59</v>
      </c>
      <c r="G71" s="353">
        <v>1.74</v>
      </c>
      <c r="H71" s="353">
        <v>1.88</v>
      </c>
      <c r="I71" s="353">
        <v>2.0099999999999998</v>
      </c>
      <c r="J71" s="353">
        <v>2.12</v>
      </c>
      <c r="K71" s="353">
        <v>2.23</v>
      </c>
      <c r="L71" s="353">
        <v>2.33</v>
      </c>
      <c r="M71" s="353">
        <v>2.42</v>
      </c>
      <c r="N71" s="353">
        <v>2.4900000000000002</v>
      </c>
      <c r="O71" s="353">
        <v>2.56</v>
      </c>
      <c r="P71" s="442">
        <v>2.61</v>
      </c>
      <c r="Q71" s="353">
        <v>2.64</v>
      </c>
      <c r="R71" s="353">
        <v>2.67</v>
      </c>
      <c r="S71" s="353">
        <v>2.7</v>
      </c>
      <c r="T71" s="353">
        <v>2.72</v>
      </c>
      <c r="U71" s="353">
        <v>2.75</v>
      </c>
      <c r="V71" s="353">
        <v>2.75</v>
      </c>
      <c r="W71" s="353">
        <v>2.75</v>
      </c>
      <c r="X71" s="353">
        <v>2.76</v>
      </c>
      <c r="Y71" s="353">
        <v>2.76</v>
      </c>
      <c r="Z71" s="353">
        <v>2.76</v>
      </c>
      <c r="AA71" s="353">
        <v>2.75</v>
      </c>
      <c r="AB71" s="353">
        <v>2.75</v>
      </c>
      <c r="AC71" s="353">
        <v>2.74</v>
      </c>
      <c r="AD71" s="353">
        <v>2.74</v>
      </c>
      <c r="AE71" s="353">
        <v>2.73</v>
      </c>
      <c r="AF71" s="353">
        <v>2.73</v>
      </c>
      <c r="AG71" s="353">
        <v>2.73</v>
      </c>
      <c r="AH71" s="353">
        <v>2.72</v>
      </c>
      <c r="AI71" s="353">
        <v>2.72</v>
      </c>
      <c r="AJ71" s="353">
        <v>2.72</v>
      </c>
      <c r="AK71" s="353">
        <v>2.71</v>
      </c>
      <c r="AL71" s="353">
        <v>2.71</v>
      </c>
      <c r="AM71" s="353">
        <v>2.71</v>
      </c>
      <c r="AN71" s="353">
        <v>2.7</v>
      </c>
      <c r="AO71" s="353">
        <v>2.7</v>
      </c>
      <c r="AP71" s="353">
        <v>2.7</v>
      </c>
      <c r="AQ71" s="353">
        <v>2.7</v>
      </c>
      <c r="AR71" s="353">
        <v>2.7</v>
      </c>
      <c r="AS71" s="353">
        <v>2.69</v>
      </c>
      <c r="AT71" s="353">
        <v>2.69</v>
      </c>
      <c r="AU71" s="353">
        <v>2.69</v>
      </c>
      <c r="AV71" s="353">
        <v>2.69</v>
      </c>
      <c r="AW71" s="353">
        <v>2.69</v>
      </c>
      <c r="AX71" s="353">
        <v>2.68</v>
      </c>
      <c r="AY71" s="353">
        <v>2.68</v>
      </c>
      <c r="BB71" s="353">
        <v>1.89</v>
      </c>
    </row>
    <row r="72" spans="1:54">
      <c r="A72" s="109">
        <v>43951</v>
      </c>
      <c r="B72" s="353">
        <v>1.1100000000000001</v>
      </c>
      <c r="C72" s="353">
        <v>1.18</v>
      </c>
      <c r="D72" s="353">
        <v>1.28</v>
      </c>
      <c r="E72" s="353">
        <v>1.42</v>
      </c>
      <c r="F72" s="353">
        <v>1.57</v>
      </c>
      <c r="G72" s="353">
        <v>1.71</v>
      </c>
      <c r="H72" s="353">
        <v>1.85</v>
      </c>
      <c r="I72" s="353">
        <v>1.98</v>
      </c>
      <c r="J72" s="353">
        <v>2.09</v>
      </c>
      <c r="K72" s="353">
        <v>2.2000000000000002</v>
      </c>
      <c r="L72" s="353">
        <v>2.2999999999999998</v>
      </c>
      <c r="M72" s="353">
        <v>2.39</v>
      </c>
      <c r="N72" s="353">
        <v>2.46</v>
      </c>
      <c r="O72" s="353">
        <v>2.52</v>
      </c>
      <c r="P72" s="442">
        <v>2.58</v>
      </c>
      <c r="Q72" s="353">
        <v>2.61</v>
      </c>
      <c r="R72" s="353">
        <v>2.64</v>
      </c>
      <c r="S72" s="353">
        <v>2.67</v>
      </c>
      <c r="T72" s="353">
        <v>2.69</v>
      </c>
      <c r="U72" s="353">
        <v>2.71</v>
      </c>
      <c r="V72" s="353">
        <v>2.72</v>
      </c>
      <c r="W72" s="353">
        <v>2.72</v>
      </c>
      <c r="X72" s="353">
        <v>2.72</v>
      </c>
      <c r="Y72" s="353">
        <v>2.72</v>
      </c>
      <c r="Z72" s="353">
        <v>2.73</v>
      </c>
      <c r="AA72" s="353">
        <v>2.72</v>
      </c>
      <c r="AB72" s="353">
        <v>2.72</v>
      </c>
      <c r="AC72" s="353">
        <v>2.71</v>
      </c>
      <c r="AD72" s="353">
        <v>2.71</v>
      </c>
      <c r="AE72" s="353">
        <v>2.7</v>
      </c>
      <c r="AF72" s="353">
        <v>2.7</v>
      </c>
      <c r="AG72" s="353">
        <v>2.69</v>
      </c>
      <c r="AH72" s="353">
        <v>2.69</v>
      </c>
      <c r="AI72" s="353">
        <v>2.69</v>
      </c>
      <c r="AJ72" s="353">
        <v>2.68</v>
      </c>
      <c r="AK72" s="353">
        <v>2.68</v>
      </c>
      <c r="AL72" s="353">
        <v>2.68</v>
      </c>
      <c r="AM72" s="353">
        <v>2.68</v>
      </c>
      <c r="AN72" s="353">
        <v>2.67</v>
      </c>
      <c r="AO72" s="353">
        <v>2.67</v>
      </c>
      <c r="AP72" s="353">
        <v>2.67</v>
      </c>
      <c r="AQ72" s="353">
        <v>2.67</v>
      </c>
      <c r="AR72" s="353">
        <v>2.66</v>
      </c>
      <c r="AS72" s="353">
        <v>2.66</v>
      </c>
      <c r="AT72" s="353">
        <v>2.66</v>
      </c>
      <c r="AU72" s="353">
        <v>2.66</v>
      </c>
      <c r="AV72" s="353">
        <v>2.66</v>
      </c>
      <c r="AW72" s="353">
        <v>2.65</v>
      </c>
      <c r="AX72" s="353">
        <v>2.65</v>
      </c>
      <c r="AY72" s="353">
        <v>2.65</v>
      </c>
      <c r="BB72" s="353">
        <v>1.87</v>
      </c>
    </row>
    <row r="73" spans="1:54" s="127" customFormat="1" ht="12.75">
      <c r="A73" s="112">
        <v>43982</v>
      </c>
      <c r="B73" s="353">
        <v>1.0900000000000001</v>
      </c>
      <c r="C73" s="353">
        <v>1.1599999999999999</v>
      </c>
      <c r="D73" s="353">
        <v>1.26</v>
      </c>
      <c r="E73" s="353">
        <v>1.4</v>
      </c>
      <c r="F73" s="353">
        <v>1.54</v>
      </c>
      <c r="G73" s="353">
        <v>1.69</v>
      </c>
      <c r="H73" s="353">
        <v>1.82</v>
      </c>
      <c r="I73" s="353">
        <v>1.95</v>
      </c>
      <c r="J73" s="353">
        <v>2.06</v>
      </c>
      <c r="K73" s="353">
        <v>2.17</v>
      </c>
      <c r="L73" s="353">
        <v>2.27</v>
      </c>
      <c r="M73" s="353">
        <v>2.35</v>
      </c>
      <c r="N73" s="353">
        <v>2.4300000000000002</v>
      </c>
      <c r="O73" s="353">
        <v>2.4900000000000002</v>
      </c>
      <c r="P73" s="442">
        <v>2.54</v>
      </c>
      <c r="Q73" s="353">
        <v>2.58</v>
      </c>
      <c r="R73" s="353">
        <v>2.61</v>
      </c>
      <c r="S73" s="353">
        <v>2.63</v>
      </c>
      <c r="T73" s="353">
        <v>2.66</v>
      </c>
      <c r="U73" s="353">
        <v>2.68</v>
      </c>
      <c r="V73" s="353">
        <v>2.68</v>
      </c>
      <c r="W73" s="353">
        <v>2.68</v>
      </c>
      <c r="X73" s="353">
        <v>2.69</v>
      </c>
      <c r="Y73" s="353">
        <v>2.69</v>
      </c>
      <c r="Z73" s="353">
        <v>2.69</v>
      </c>
      <c r="AA73" s="353">
        <v>2.69</v>
      </c>
      <c r="AB73" s="353">
        <v>2.68</v>
      </c>
      <c r="AC73" s="353">
        <v>2.68</v>
      </c>
      <c r="AD73" s="353">
        <v>2.67</v>
      </c>
      <c r="AE73" s="353">
        <v>2.67</v>
      </c>
      <c r="AF73" s="353">
        <v>2.66</v>
      </c>
      <c r="AG73" s="353">
        <v>2.66</v>
      </c>
      <c r="AH73" s="353">
        <v>2.66</v>
      </c>
      <c r="AI73" s="353">
        <v>2.66</v>
      </c>
      <c r="AJ73" s="353">
        <v>2.65</v>
      </c>
      <c r="AK73" s="353">
        <v>2.65</v>
      </c>
      <c r="AL73" s="353">
        <v>2.65</v>
      </c>
      <c r="AM73" s="353">
        <v>2.64</v>
      </c>
      <c r="AN73" s="353">
        <v>2.64</v>
      </c>
      <c r="AO73" s="353">
        <v>2.64</v>
      </c>
      <c r="AP73" s="353">
        <v>2.64</v>
      </c>
      <c r="AQ73" s="353">
        <v>2.64</v>
      </c>
      <c r="AR73" s="353">
        <v>2.63</v>
      </c>
      <c r="AS73" s="353">
        <v>2.63</v>
      </c>
      <c r="AT73" s="353">
        <v>2.63</v>
      </c>
      <c r="AU73" s="353">
        <v>2.63</v>
      </c>
      <c r="AV73" s="353">
        <v>2.62</v>
      </c>
      <c r="AW73" s="353">
        <v>2.62</v>
      </c>
      <c r="AX73" s="353">
        <v>2.62</v>
      </c>
      <c r="AY73" s="353">
        <v>2.62</v>
      </c>
      <c r="BB73" s="353">
        <v>1.84</v>
      </c>
    </row>
    <row r="74" spans="1:54">
      <c r="A74" s="109">
        <v>44012</v>
      </c>
      <c r="B74" s="353">
        <v>1.07</v>
      </c>
      <c r="C74" s="353">
        <v>1.1299999999999999</v>
      </c>
      <c r="D74" s="353">
        <v>1.24</v>
      </c>
      <c r="E74" s="353">
        <v>1.37</v>
      </c>
      <c r="F74" s="353">
        <v>1.51</v>
      </c>
      <c r="G74" s="353">
        <v>1.66</v>
      </c>
      <c r="H74" s="353">
        <v>1.79</v>
      </c>
      <c r="I74" s="353">
        <v>1.91</v>
      </c>
      <c r="J74" s="353">
        <v>2.0299999999999998</v>
      </c>
      <c r="K74" s="353">
        <v>2.14</v>
      </c>
      <c r="L74" s="353">
        <v>2.2400000000000002</v>
      </c>
      <c r="M74" s="353">
        <v>2.3199999999999998</v>
      </c>
      <c r="N74" s="353">
        <v>2.39</v>
      </c>
      <c r="O74" s="353">
        <v>2.4500000000000002</v>
      </c>
      <c r="P74" s="442">
        <v>2.5099999999999998</v>
      </c>
      <c r="Q74" s="353">
        <v>2.54</v>
      </c>
      <c r="R74" s="353">
        <v>2.57</v>
      </c>
      <c r="S74" s="353">
        <v>2.6</v>
      </c>
      <c r="T74" s="353">
        <v>2.62</v>
      </c>
      <c r="U74" s="353">
        <v>2.64</v>
      </c>
      <c r="V74" s="353">
        <v>2.65</v>
      </c>
      <c r="W74" s="353">
        <v>2.65</v>
      </c>
      <c r="X74" s="353">
        <v>2.65</v>
      </c>
      <c r="Y74" s="353">
        <v>2.66</v>
      </c>
      <c r="Z74" s="353">
        <v>2.66</v>
      </c>
      <c r="AA74" s="353">
        <v>2.65</v>
      </c>
      <c r="AB74" s="353">
        <v>2.65</v>
      </c>
      <c r="AC74" s="353">
        <v>2.64</v>
      </c>
      <c r="AD74" s="353">
        <v>2.64</v>
      </c>
      <c r="AE74" s="353">
        <v>2.63</v>
      </c>
      <c r="AF74" s="353">
        <v>2.63</v>
      </c>
      <c r="AG74" s="353">
        <v>2.63</v>
      </c>
      <c r="AH74" s="353">
        <v>2.63</v>
      </c>
      <c r="AI74" s="353">
        <v>2.62</v>
      </c>
      <c r="AJ74" s="353">
        <v>2.62</v>
      </c>
      <c r="AK74" s="353">
        <v>2.62</v>
      </c>
      <c r="AL74" s="353">
        <v>2.61</v>
      </c>
      <c r="AM74" s="353">
        <v>2.61</v>
      </c>
      <c r="AN74" s="353">
        <v>2.61</v>
      </c>
      <c r="AO74" s="353">
        <v>2.61</v>
      </c>
      <c r="AP74" s="353">
        <v>2.61</v>
      </c>
      <c r="AQ74" s="353">
        <v>2.6</v>
      </c>
      <c r="AR74" s="353">
        <v>2.6</v>
      </c>
      <c r="AS74" s="353">
        <v>2.6</v>
      </c>
      <c r="AT74" s="353">
        <v>2.6</v>
      </c>
      <c r="AU74" s="353">
        <v>2.59</v>
      </c>
      <c r="AV74" s="353">
        <v>2.59</v>
      </c>
      <c r="AW74" s="353">
        <v>2.59</v>
      </c>
      <c r="AX74" s="353">
        <v>2.59</v>
      </c>
      <c r="AY74" s="353">
        <v>2.59</v>
      </c>
      <c r="BB74" s="353">
        <v>1.81</v>
      </c>
    </row>
    <row r="75" spans="1:54">
      <c r="A75" s="112">
        <v>44043</v>
      </c>
      <c r="B75" s="353">
        <v>1.05</v>
      </c>
      <c r="C75" s="353">
        <v>1.1100000000000001</v>
      </c>
      <c r="D75" s="353">
        <v>1.21</v>
      </c>
      <c r="E75" s="353">
        <v>1.35</v>
      </c>
      <c r="F75" s="353">
        <v>1.49</v>
      </c>
      <c r="G75" s="353">
        <v>1.63</v>
      </c>
      <c r="H75" s="353">
        <v>1.76</v>
      </c>
      <c r="I75" s="353">
        <v>1.88</v>
      </c>
      <c r="J75" s="353">
        <v>2</v>
      </c>
      <c r="K75" s="353">
        <v>2.11</v>
      </c>
      <c r="L75" s="353">
        <v>2.2000000000000002</v>
      </c>
      <c r="M75" s="353">
        <v>2.2799999999999998</v>
      </c>
      <c r="N75" s="353">
        <v>2.36</v>
      </c>
      <c r="O75" s="353">
        <v>2.42</v>
      </c>
      <c r="P75" s="442">
        <v>2.4700000000000002</v>
      </c>
      <c r="Q75" s="353">
        <v>2.5099999999999998</v>
      </c>
      <c r="R75" s="353">
        <v>2.54</v>
      </c>
      <c r="S75" s="353">
        <v>2.56</v>
      </c>
      <c r="T75" s="353">
        <v>2.59</v>
      </c>
      <c r="U75" s="353">
        <v>2.61</v>
      </c>
      <c r="V75" s="353">
        <v>2.61</v>
      </c>
      <c r="W75" s="353">
        <v>2.61</v>
      </c>
      <c r="X75" s="353">
        <v>2.62</v>
      </c>
      <c r="Y75" s="353">
        <v>2.62</v>
      </c>
      <c r="Z75" s="353">
        <v>2.62</v>
      </c>
      <c r="AA75" s="353">
        <v>2.62</v>
      </c>
      <c r="AB75" s="353">
        <v>2.61</v>
      </c>
      <c r="AC75" s="353">
        <v>2.61</v>
      </c>
      <c r="AD75" s="353">
        <v>2.6</v>
      </c>
      <c r="AE75" s="353">
        <v>2.6</v>
      </c>
      <c r="AF75" s="353">
        <v>2.6</v>
      </c>
      <c r="AG75" s="353">
        <v>2.59</v>
      </c>
      <c r="AH75" s="353">
        <v>2.59</v>
      </c>
      <c r="AI75" s="353">
        <v>2.59</v>
      </c>
      <c r="AJ75" s="353">
        <v>2.59</v>
      </c>
      <c r="AK75" s="353">
        <v>2.58</v>
      </c>
      <c r="AL75" s="353">
        <v>2.58</v>
      </c>
      <c r="AM75" s="353">
        <v>2.58</v>
      </c>
      <c r="AN75" s="353">
        <v>2.58</v>
      </c>
      <c r="AO75" s="353">
        <v>2.57</v>
      </c>
      <c r="AP75" s="353">
        <v>2.57</v>
      </c>
      <c r="AQ75" s="353">
        <v>2.57</v>
      </c>
      <c r="AR75" s="353">
        <v>2.57</v>
      </c>
      <c r="AS75" s="353">
        <v>2.56</v>
      </c>
      <c r="AT75" s="353">
        <v>2.56</v>
      </c>
      <c r="AU75" s="353">
        <v>2.56</v>
      </c>
      <c r="AV75" s="353">
        <v>2.56</v>
      </c>
      <c r="AW75" s="353">
        <v>2.56</v>
      </c>
      <c r="AX75" s="353">
        <v>2.56</v>
      </c>
      <c r="AY75" s="353">
        <v>2.5499999999999998</v>
      </c>
      <c r="BB75" s="353">
        <v>1.78</v>
      </c>
    </row>
    <row r="76" spans="1:54">
      <c r="A76" s="109">
        <v>44074</v>
      </c>
      <c r="B76" s="353">
        <v>1.03</v>
      </c>
      <c r="C76" s="353">
        <v>1.0900000000000001</v>
      </c>
      <c r="D76" s="353">
        <v>1.19</v>
      </c>
      <c r="E76" s="353">
        <v>1.33</v>
      </c>
      <c r="F76" s="353">
        <v>1.46</v>
      </c>
      <c r="G76" s="353">
        <v>1.6</v>
      </c>
      <c r="H76" s="353">
        <v>1.73</v>
      </c>
      <c r="I76" s="353">
        <v>1.86</v>
      </c>
      <c r="J76" s="353">
        <v>1.97</v>
      </c>
      <c r="K76" s="353">
        <v>2.08</v>
      </c>
      <c r="L76" s="353">
        <v>2.1800000000000002</v>
      </c>
      <c r="M76" s="353">
        <v>2.2599999999999998</v>
      </c>
      <c r="N76" s="353">
        <v>2.33</v>
      </c>
      <c r="O76" s="353">
        <v>2.39</v>
      </c>
      <c r="P76" s="442">
        <v>2.4500000000000002</v>
      </c>
      <c r="Q76" s="353">
        <v>2.48</v>
      </c>
      <c r="R76" s="353">
        <v>2.5099999999999998</v>
      </c>
      <c r="S76" s="353">
        <v>2.5299999999999998</v>
      </c>
      <c r="T76" s="353">
        <v>2.56</v>
      </c>
      <c r="U76" s="353">
        <v>2.58</v>
      </c>
      <c r="V76" s="353">
        <v>2.58</v>
      </c>
      <c r="W76" s="353">
        <v>2.59</v>
      </c>
      <c r="X76" s="353">
        <v>2.59</v>
      </c>
      <c r="Y76" s="353">
        <v>2.59</v>
      </c>
      <c r="Z76" s="353">
        <v>2.6</v>
      </c>
      <c r="AA76" s="353">
        <v>2.59</v>
      </c>
      <c r="AB76" s="353">
        <v>2.59</v>
      </c>
      <c r="AC76" s="353">
        <v>2.58</v>
      </c>
      <c r="AD76" s="353">
        <v>2.58</v>
      </c>
      <c r="AE76" s="353">
        <v>2.57</v>
      </c>
      <c r="AF76" s="353">
        <v>2.57</v>
      </c>
      <c r="AG76" s="353">
        <v>2.57</v>
      </c>
      <c r="AH76" s="353">
        <v>2.56</v>
      </c>
      <c r="AI76" s="353">
        <v>2.56</v>
      </c>
      <c r="AJ76" s="353">
        <v>2.56</v>
      </c>
      <c r="AK76" s="353">
        <v>2.56</v>
      </c>
      <c r="AL76" s="353">
        <v>2.5499999999999998</v>
      </c>
      <c r="AM76" s="353">
        <v>2.5499999999999998</v>
      </c>
      <c r="AN76" s="353">
        <v>2.5499999999999998</v>
      </c>
      <c r="AO76" s="353">
        <v>2.5499999999999998</v>
      </c>
      <c r="AP76" s="353">
        <v>2.5499999999999998</v>
      </c>
      <c r="AQ76" s="353">
        <v>2.54</v>
      </c>
      <c r="AR76" s="353">
        <v>2.54</v>
      </c>
      <c r="AS76" s="353">
        <v>2.54</v>
      </c>
      <c r="AT76" s="353">
        <v>2.54</v>
      </c>
      <c r="AU76" s="353">
        <v>2.54</v>
      </c>
      <c r="AV76" s="353">
        <v>2.5299999999999998</v>
      </c>
      <c r="AW76" s="353">
        <v>2.5299999999999998</v>
      </c>
      <c r="AX76" s="353">
        <v>2.5299999999999998</v>
      </c>
      <c r="AY76" s="353">
        <v>2.5299999999999998</v>
      </c>
      <c r="BB76" s="353">
        <v>1.74</v>
      </c>
    </row>
    <row r="77" spans="1:54">
      <c r="A77" s="112">
        <v>44104</v>
      </c>
      <c r="B77" s="353">
        <v>1.01</v>
      </c>
      <c r="C77" s="353">
        <v>1.07</v>
      </c>
      <c r="D77" s="353">
        <v>1.17</v>
      </c>
      <c r="E77" s="353">
        <v>1.3</v>
      </c>
      <c r="F77" s="353">
        <v>1.44</v>
      </c>
      <c r="G77" s="353">
        <v>1.58</v>
      </c>
      <c r="H77" s="353">
        <v>1.71</v>
      </c>
      <c r="I77" s="353">
        <v>1.83</v>
      </c>
      <c r="J77" s="353">
        <v>1.94</v>
      </c>
      <c r="K77" s="353">
        <v>2.0499999999999998</v>
      </c>
      <c r="L77" s="353">
        <v>2.15</v>
      </c>
      <c r="M77" s="353">
        <v>2.23</v>
      </c>
      <c r="N77" s="353">
        <v>2.2999999999999998</v>
      </c>
      <c r="O77" s="353">
        <v>2.36</v>
      </c>
      <c r="P77" s="442">
        <v>2.41</v>
      </c>
      <c r="Q77" s="353">
        <v>2.4500000000000002</v>
      </c>
      <c r="R77" s="353">
        <v>2.48</v>
      </c>
      <c r="S77" s="353">
        <v>2.5</v>
      </c>
      <c r="T77" s="353">
        <v>2.5299999999999998</v>
      </c>
      <c r="U77" s="353">
        <v>2.5499999999999998</v>
      </c>
      <c r="V77" s="353">
        <v>2.5499999999999998</v>
      </c>
      <c r="W77" s="353">
        <v>2.56</v>
      </c>
      <c r="X77" s="353">
        <v>2.56</v>
      </c>
      <c r="Y77" s="353">
        <v>2.56</v>
      </c>
      <c r="Z77" s="353">
        <v>2.57</v>
      </c>
      <c r="AA77" s="353">
        <v>2.56</v>
      </c>
      <c r="AB77" s="353">
        <v>2.56</v>
      </c>
      <c r="AC77" s="353">
        <v>2.5499999999999998</v>
      </c>
      <c r="AD77" s="353">
        <v>2.5499999999999998</v>
      </c>
      <c r="AE77" s="353">
        <v>2.54</v>
      </c>
      <c r="AF77" s="353">
        <v>2.54</v>
      </c>
      <c r="AG77" s="353">
        <v>2.54</v>
      </c>
      <c r="AH77" s="353">
        <v>2.54</v>
      </c>
      <c r="AI77" s="353">
        <v>2.5299999999999998</v>
      </c>
      <c r="AJ77" s="353">
        <v>2.5299999999999998</v>
      </c>
      <c r="AK77" s="353">
        <v>2.5299999999999998</v>
      </c>
      <c r="AL77" s="353">
        <v>2.5299999999999998</v>
      </c>
      <c r="AM77" s="353">
        <v>2.52</v>
      </c>
      <c r="AN77" s="353">
        <v>2.52</v>
      </c>
      <c r="AO77" s="353">
        <v>2.52</v>
      </c>
      <c r="AP77" s="353">
        <v>2.52</v>
      </c>
      <c r="AQ77" s="353">
        <v>2.52</v>
      </c>
      <c r="AR77" s="353">
        <v>2.5099999999999998</v>
      </c>
      <c r="AS77" s="353">
        <v>2.5099999999999998</v>
      </c>
      <c r="AT77" s="353">
        <v>2.5099999999999998</v>
      </c>
      <c r="AU77" s="353">
        <v>2.5099999999999998</v>
      </c>
      <c r="AV77" s="353">
        <v>2.5099999999999998</v>
      </c>
      <c r="AW77" s="353">
        <v>2.5</v>
      </c>
      <c r="AX77" s="353">
        <v>2.5</v>
      </c>
      <c r="AY77" s="353">
        <v>2.5</v>
      </c>
      <c r="BB77" s="353">
        <v>1.71</v>
      </c>
    </row>
    <row r="78" spans="1:54" s="113" customFormat="1">
      <c r="A78" s="109">
        <v>44135</v>
      </c>
      <c r="B78" s="353">
        <v>0.99</v>
      </c>
      <c r="C78" s="353">
        <v>1.05</v>
      </c>
      <c r="D78" s="353">
        <v>1.1499999999999999</v>
      </c>
      <c r="E78" s="353">
        <v>1.28</v>
      </c>
      <c r="F78" s="353">
        <v>1.41</v>
      </c>
      <c r="G78" s="353">
        <v>1.55</v>
      </c>
      <c r="H78" s="353">
        <v>1.68</v>
      </c>
      <c r="I78" s="353">
        <v>1.8</v>
      </c>
      <c r="J78" s="353">
        <v>1.91</v>
      </c>
      <c r="K78" s="353">
        <v>2.02</v>
      </c>
      <c r="L78" s="353">
        <v>2.11</v>
      </c>
      <c r="M78" s="353">
        <v>2.19</v>
      </c>
      <c r="N78" s="353">
        <v>2.27</v>
      </c>
      <c r="O78" s="353">
        <v>2.33</v>
      </c>
      <c r="P78" s="442">
        <v>2.38</v>
      </c>
      <c r="Q78" s="353">
        <v>2.41</v>
      </c>
      <c r="R78" s="353">
        <v>2.44</v>
      </c>
      <c r="S78" s="353">
        <v>2.4700000000000002</v>
      </c>
      <c r="T78" s="353">
        <v>2.4900000000000002</v>
      </c>
      <c r="U78" s="353">
        <v>2.5099999999999998</v>
      </c>
      <c r="V78" s="353">
        <v>2.52</v>
      </c>
      <c r="W78" s="353">
        <v>2.52</v>
      </c>
      <c r="X78" s="353">
        <v>2.5299999999999998</v>
      </c>
      <c r="Y78" s="353">
        <v>2.5299999999999998</v>
      </c>
      <c r="Z78" s="353">
        <v>2.5299999999999998</v>
      </c>
      <c r="AA78" s="353">
        <v>2.5299999999999998</v>
      </c>
      <c r="AB78" s="353">
        <v>2.52</v>
      </c>
      <c r="AC78" s="353">
        <v>2.52</v>
      </c>
      <c r="AD78" s="353">
        <v>2.52</v>
      </c>
      <c r="AE78" s="353">
        <v>2.5099999999999998</v>
      </c>
      <c r="AF78" s="353">
        <v>2.5099999999999998</v>
      </c>
      <c r="AG78" s="353">
        <v>2.5099999999999998</v>
      </c>
      <c r="AH78" s="353">
        <v>2.5099999999999998</v>
      </c>
      <c r="AI78" s="353">
        <v>2.5</v>
      </c>
      <c r="AJ78" s="353">
        <v>2.5</v>
      </c>
      <c r="AK78" s="353">
        <v>2.5</v>
      </c>
      <c r="AL78" s="353">
        <v>2.5</v>
      </c>
      <c r="AM78" s="353">
        <v>2.5</v>
      </c>
      <c r="AN78" s="353">
        <v>2.4900000000000002</v>
      </c>
      <c r="AO78" s="353">
        <v>2.4900000000000002</v>
      </c>
      <c r="AP78" s="353">
        <v>2.4900000000000002</v>
      </c>
      <c r="AQ78" s="353">
        <v>2.4900000000000002</v>
      </c>
      <c r="AR78" s="353">
        <v>2.48</v>
      </c>
      <c r="AS78" s="353">
        <v>2.48</v>
      </c>
      <c r="AT78" s="353">
        <v>2.48</v>
      </c>
      <c r="AU78" s="353">
        <v>2.48</v>
      </c>
      <c r="AV78" s="353">
        <v>2.48</v>
      </c>
      <c r="AW78" s="353">
        <v>2.4700000000000002</v>
      </c>
      <c r="AX78" s="353">
        <v>2.4700000000000002</v>
      </c>
      <c r="AY78" s="353">
        <v>2.4700000000000002</v>
      </c>
      <c r="BB78" s="353">
        <v>1.68</v>
      </c>
    </row>
    <row r="79" spans="1:54" s="113" customFormat="1">
      <c r="A79" s="112">
        <v>44165</v>
      </c>
      <c r="B79" s="353">
        <v>0.97</v>
      </c>
      <c r="C79" s="353">
        <v>1.02</v>
      </c>
      <c r="D79" s="353">
        <v>1.1200000000000001</v>
      </c>
      <c r="E79" s="353">
        <v>1.25</v>
      </c>
      <c r="F79" s="353">
        <v>1.38</v>
      </c>
      <c r="G79" s="353">
        <v>1.51</v>
      </c>
      <c r="H79" s="353">
        <v>1.64</v>
      </c>
      <c r="I79" s="353">
        <v>1.76</v>
      </c>
      <c r="J79" s="353">
        <v>1.87</v>
      </c>
      <c r="K79" s="353">
        <v>1.98</v>
      </c>
      <c r="L79" s="353">
        <v>2.08</v>
      </c>
      <c r="M79" s="353">
        <v>2.16</v>
      </c>
      <c r="N79" s="353">
        <v>2.23</v>
      </c>
      <c r="O79" s="353">
        <v>2.29</v>
      </c>
      <c r="P79" s="442">
        <v>2.34</v>
      </c>
      <c r="Q79" s="353">
        <v>2.38</v>
      </c>
      <c r="R79" s="353">
        <v>2.41</v>
      </c>
      <c r="S79" s="353">
        <v>2.4300000000000002</v>
      </c>
      <c r="T79" s="353">
        <v>2.46</v>
      </c>
      <c r="U79" s="353">
        <v>2.48</v>
      </c>
      <c r="V79" s="353">
        <v>2.48</v>
      </c>
      <c r="W79" s="353">
        <v>2.4900000000000002</v>
      </c>
      <c r="X79" s="353">
        <v>2.4900000000000002</v>
      </c>
      <c r="Y79" s="353">
        <v>2.4900000000000002</v>
      </c>
      <c r="Z79" s="353">
        <v>2.5</v>
      </c>
      <c r="AA79" s="353">
        <v>2.4900000000000002</v>
      </c>
      <c r="AB79" s="353">
        <v>2.4900000000000002</v>
      </c>
      <c r="AC79" s="353">
        <v>2.4900000000000002</v>
      </c>
      <c r="AD79" s="353">
        <v>2.48</v>
      </c>
      <c r="AE79" s="353">
        <v>2.48</v>
      </c>
      <c r="AF79" s="353">
        <v>2.48</v>
      </c>
      <c r="AG79" s="353">
        <v>2.4700000000000002</v>
      </c>
      <c r="AH79" s="353">
        <v>2.4700000000000002</v>
      </c>
      <c r="AI79" s="353">
        <v>2.4700000000000002</v>
      </c>
      <c r="AJ79" s="353">
        <v>2.4700000000000002</v>
      </c>
      <c r="AK79" s="353">
        <v>2.4700000000000002</v>
      </c>
      <c r="AL79" s="353">
        <v>2.46</v>
      </c>
      <c r="AM79" s="353">
        <v>2.46</v>
      </c>
      <c r="AN79" s="353">
        <v>2.46</v>
      </c>
      <c r="AO79" s="353">
        <v>2.46</v>
      </c>
      <c r="AP79" s="353">
        <v>2.46</v>
      </c>
      <c r="AQ79" s="353">
        <v>2.4500000000000002</v>
      </c>
      <c r="AR79" s="353">
        <v>2.4500000000000002</v>
      </c>
      <c r="AS79" s="353">
        <v>2.4500000000000002</v>
      </c>
      <c r="AT79" s="353">
        <v>2.4500000000000002</v>
      </c>
      <c r="AU79" s="353">
        <v>2.4500000000000002</v>
      </c>
      <c r="AV79" s="353">
        <v>2.44</v>
      </c>
      <c r="AW79" s="353">
        <v>2.44</v>
      </c>
      <c r="AX79" s="353">
        <v>2.44</v>
      </c>
      <c r="AY79" s="353">
        <v>2.44</v>
      </c>
      <c r="BB79" s="353">
        <v>1.64</v>
      </c>
    </row>
    <row r="80" spans="1:54" s="113" customFormat="1">
      <c r="A80" s="109">
        <v>44196</v>
      </c>
      <c r="B80" s="353">
        <v>0.94</v>
      </c>
      <c r="C80" s="353">
        <v>1</v>
      </c>
      <c r="D80" s="353">
        <v>1.0900000000000001</v>
      </c>
      <c r="E80" s="353">
        <v>1.22</v>
      </c>
      <c r="F80" s="353">
        <v>1.35</v>
      </c>
      <c r="G80" s="353">
        <v>1.48</v>
      </c>
      <c r="H80" s="353">
        <v>1.61</v>
      </c>
      <c r="I80" s="353">
        <v>1.73</v>
      </c>
      <c r="J80" s="353">
        <v>1.84</v>
      </c>
      <c r="K80" s="353">
        <v>1.94</v>
      </c>
      <c r="L80" s="353">
        <v>2.04</v>
      </c>
      <c r="M80" s="353">
        <v>2.12</v>
      </c>
      <c r="N80" s="353">
        <v>2.19</v>
      </c>
      <c r="O80" s="353">
        <v>2.25</v>
      </c>
      <c r="P80" s="442">
        <v>2.2999999999999998</v>
      </c>
      <c r="Q80" s="353">
        <v>2.34</v>
      </c>
      <c r="R80" s="353">
        <v>2.37</v>
      </c>
      <c r="S80" s="353">
        <v>2.39</v>
      </c>
      <c r="T80" s="353">
        <v>2.42</v>
      </c>
      <c r="U80" s="353">
        <v>2.44</v>
      </c>
      <c r="V80" s="353">
        <v>2.44</v>
      </c>
      <c r="W80" s="353">
        <v>2.4500000000000002</v>
      </c>
      <c r="X80" s="353">
        <v>2.4500000000000002</v>
      </c>
      <c r="Y80" s="353">
        <v>2.46</v>
      </c>
      <c r="Z80" s="353">
        <v>2.46</v>
      </c>
      <c r="AA80" s="353">
        <v>2.46</v>
      </c>
      <c r="AB80" s="353">
        <v>2.4500000000000002</v>
      </c>
      <c r="AC80" s="353">
        <v>2.4500000000000002</v>
      </c>
      <c r="AD80" s="353">
        <v>2.4500000000000002</v>
      </c>
      <c r="AE80" s="353">
        <v>2.44</v>
      </c>
      <c r="AF80" s="353">
        <v>2.44</v>
      </c>
      <c r="AG80" s="353">
        <v>2.44</v>
      </c>
      <c r="AH80" s="353">
        <v>2.44</v>
      </c>
      <c r="AI80" s="353">
        <v>2.4300000000000002</v>
      </c>
      <c r="AJ80" s="353">
        <v>2.4300000000000002</v>
      </c>
      <c r="AK80" s="353">
        <v>2.4300000000000002</v>
      </c>
      <c r="AL80" s="353">
        <v>2.4300000000000002</v>
      </c>
      <c r="AM80" s="353">
        <v>2.4300000000000002</v>
      </c>
      <c r="AN80" s="353">
        <v>2.4300000000000002</v>
      </c>
      <c r="AO80" s="353">
        <v>2.42</v>
      </c>
      <c r="AP80" s="353">
        <v>2.42</v>
      </c>
      <c r="AQ80" s="353">
        <v>2.42</v>
      </c>
      <c r="AR80" s="353">
        <v>2.42</v>
      </c>
      <c r="AS80" s="353">
        <v>2.41</v>
      </c>
      <c r="AT80" s="353">
        <v>2.41</v>
      </c>
      <c r="AU80" s="353">
        <v>2.41</v>
      </c>
      <c r="AV80" s="353">
        <v>2.41</v>
      </c>
      <c r="AW80" s="353">
        <v>2.41</v>
      </c>
      <c r="AX80" s="353">
        <v>2.41</v>
      </c>
      <c r="AY80" s="353">
        <v>2.4</v>
      </c>
      <c r="BB80" s="353">
        <v>1.6</v>
      </c>
    </row>
    <row r="81" spans="1:54">
      <c r="A81" s="112">
        <v>44227</v>
      </c>
      <c r="B81" s="353">
        <v>0.92</v>
      </c>
      <c r="C81" s="353">
        <v>0.97</v>
      </c>
      <c r="D81" s="353">
        <v>1.06</v>
      </c>
      <c r="E81" s="353">
        <v>1.18</v>
      </c>
      <c r="F81" s="353">
        <v>1.31</v>
      </c>
      <c r="G81" s="353">
        <v>1.44</v>
      </c>
      <c r="H81" s="353">
        <v>1.57</v>
      </c>
      <c r="I81" s="353">
        <v>1.69</v>
      </c>
      <c r="J81" s="353">
        <v>1.8</v>
      </c>
      <c r="K81" s="353">
        <v>1.9</v>
      </c>
      <c r="L81" s="353">
        <v>2</v>
      </c>
      <c r="M81" s="353">
        <v>2.08</v>
      </c>
      <c r="N81" s="353">
        <v>2.15</v>
      </c>
      <c r="O81" s="353">
        <v>2.21</v>
      </c>
      <c r="P81" s="442">
        <v>2.2599999999999998</v>
      </c>
      <c r="Q81" s="353">
        <v>2.2999999999999998</v>
      </c>
      <c r="R81" s="353">
        <v>2.33</v>
      </c>
      <c r="S81" s="353">
        <v>2.35</v>
      </c>
      <c r="T81" s="353">
        <v>2.38</v>
      </c>
      <c r="U81" s="353">
        <v>2.4</v>
      </c>
      <c r="V81" s="353">
        <v>2.4</v>
      </c>
      <c r="W81" s="353">
        <v>2.41</v>
      </c>
      <c r="X81" s="353">
        <v>2.41</v>
      </c>
      <c r="Y81" s="353">
        <v>2.42</v>
      </c>
      <c r="Z81" s="353">
        <v>2.42</v>
      </c>
      <c r="AA81" s="353">
        <v>2.42</v>
      </c>
      <c r="AB81" s="353">
        <v>2.42</v>
      </c>
      <c r="AC81" s="353">
        <v>2.41</v>
      </c>
      <c r="AD81" s="353">
        <v>2.41</v>
      </c>
      <c r="AE81" s="353">
        <v>2.41</v>
      </c>
      <c r="AF81" s="353">
        <v>2.4</v>
      </c>
      <c r="AG81" s="353">
        <v>2.4</v>
      </c>
      <c r="AH81" s="353">
        <v>2.4</v>
      </c>
      <c r="AI81" s="353">
        <v>2.4</v>
      </c>
      <c r="AJ81" s="353">
        <v>2.4</v>
      </c>
      <c r="AK81" s="353">
        <v>2.39</v>
      </c>
      <c r="AL81" s="353">
        <v>2.39</v>
      </c>
      <c r="AM81" s="353">
        <v>2.39</v>
      </c>
      <c r="AN81" s="353">
        <v>2.39</v>
      </c>
      <c r="AO81" s="353">
        <v>2.39</v>
      </c>
      <c r="AP81" s="353">
        <v>2.39</v>
      </c>
      <c r="AQ81" s="353">
        <v>2.38</v>
      </c>
      <c r="AR81" s="353">
        <v>2.38</v>
      </c>
      <c r="AS81" s="353">
        <v>2.38</v>
      </c>
      <c r="AT81" s="353">
        <v>2.38</v>
      </c>
      <c r="AU81" s="353">
        <v>2.38</v>
      </c>
      <c r="AV81" s="353">
        <v>2.37</v>
      </c>
      <c r="AW81" s="353">
        <v>2.37</v>
      </c>
      <c r="AX81" s="353">
        <v>2.37</v>
      </c>
      <c r="AY81" s="353">
        <v>2.37</v>
      </c>
      <c r="BB81" s="353">
        <v>1.57</v>
      </c>
    </row>
    <row r="82" spans="1:54" s="113" customFormat="1">
      <c r="A82" s="109">
        <v>44255</v>
      </c>
      <c r="B82" s="353">
        <v>0.9</v>
      </c>
      <c r="C82" s="353">
        <v>0.94</v>
      </c>
      <c r="D82" s="353">
        <v>1.03</v>
      </c>
      <c r="E82" s="353">
        <v>1.1499999999999999</v>
      </c>
      <c r="F82" s="353">
        <v>1.28</v>
      </c>
      <c r="G82" s="353">
        <v>1.41</v>
      </c>
      <c r="H82" s="353">
        <v>1.54</v>
      </c>
      <c r="I82" s="353">
        <v>1.65</v>
      </c>
      <c r="J82" s="353">
        <v>1.76</v>
      </c>
      <c r="K82" s="353">
        <v>1.87</v>
      </c>
      <c r="L82" s="353">
        <v>1.96</v>
      </c>
      <c r="M82" s="353">
        <v>2.04</v>
      </c>
      <c r="N82" s="353">
        <v>2.12</v>
      </c>
      <c r="O82" s="353">
        <v>2.1800000000000002</v>
      </c>
      <c r="P82" s="442">
        <v>2.23</v>
      </c>
      <c r="Q82" s="353">
        <v>2.2599999999999998</v>
      </c>
      <c r="R82" s="353">
        <v>2.29</v>
      </c>
      <c r="S82" s="353">
        <v>2.3199999999999998</v>
      </c>
      <c r="T82" s="353">
        <v>2.34</v>
      </c>
      <c r="U82" s="353">
        <v>2.36</v>
      </c>
      <c r="V82" s="353">
        <v>2.37</v>
      </c>
      <c r="W82" s="353">
        <v>2.37</v>
      </c>
      <c r="X82" s="353">
        <v>2.38</v>
      </c>
      <c r="Y82" s="353">
        <v>2.38</v>
      </c>
      <c r="Z82" s="353">
        <v>2.39</v>
      </c>
      <c r="AA82" s="353">
        <v>2.38</v>
      </c>
      <c r="AB82" s="353">
        <v>2.38</v>
      </c>
      <c r="AC82" s="353">
        <v>2.38</v>
      </c>
      <c r="AD82" s="353">
        <v>2.38</v>
      </c>
      <c r="AE82" s="353">
        <v>2.37</v>
      </c>
      <c r="AF82" s="353">
        <v>2.37</v>
      </c>
      <c r="AG82" s="353">
        <v>2.37</v>
      </c>
      <c r="AH82" s="353">
        <v>2.37</v>
      </c>
      <c r="AI82" s="353">
        <v>2.37</v>
      </c>
      <c r="AJ82" s="353">
        <v>2.36</v>
      </c>
      <c r="AK82" s="353">
        <v>2.36</v>
      </c>
      <c r="AL82" s="353">
        <v>2.36</v>
      </c>
      <c r="AM82" s="353">
        <v>2.36</v>
      </c>
      <c r="AN82" s="353">
        <v>2.36</v>
      </c>
      <c r="AO82" s="353">
        <v>2.36</v>
      </c>
      <c r="AP82" s="353">
        <v>2.35</v>
      </c>
      <c r="AQ82" s="353">
        <v>2.35</v>
      </c>
      <c r="AR82" s="353">
        <v>2.35</v>
      </c>
      <c r="AS82" s="353">
        <v>2.35</v>
      </c>
      <c r="AT82" s="353">
        <v>2.35</v>
      </c>
      <c r="AU82" s="353">
        <v>2.35</v>
      </c>
      <c r="AV82" s="353">
        <v>2.34</v>
      </c>
      <c r="AW82" s="353">
        <v>2.34</v>
      </c>
      <c r="AX82" s="353">
        <v>2.34</v>
      </c>
      <c r="AY82" s="353">
        <v>2.34</v>
      </c>
      <c r="BB82" s="353">
        <v>1.54</v>
      </c>
    </row>
    <row r="83" spans="1:54">
      <c r="A83" s="112">
        <v>44286</v>
      </c>
      <c r="B83" s="353">
        <v>0.87</v>
      </c>
      <c r="C83" s="353">
        <v>0.91</v>
      </c>
      <c r="D83" s="353">
        <v>1</v>
      </c>
      <c r="E83" s="353">
        <v>1.1200000000000001</v>
      </c>
      <c r="F83" s="353">
        <v>1.24</v>
      </c>
      <c r="G83" s="353">
        <v>1.38</v>
      </c>
      <c r="H83" s="353">
        <v>1.5</v>
      </c>
      <c r="I83" s="353">
        <v>1.62</v>
      </c>
      <c r="J83" s="353">
        <v>1.73</v>
      </c>
      <c r="K83" s="353">
        <v>1.83</v>
      </c>
      <c r="L83" s="353">
        <v>1.93</v>
      </c>
      <c r="M83" s="353">
        <v>2.0099999999999998</v>
      </c>
      <c r="N83" s="353">
        <v>2.08</v>
      </c>
      <c r="O83" s="353">
        <v>2.14</v>
      </c>
      <c r="P83" s="442">
        <v>2.19</v>
      </c>
      <c r="Q83" s="353">
        <v>2.23</v>
      </c>
      <c r="R83" s="353">
        <v>2.2599999999999998</v>
      </c>
      <c r="S83" s="353">
        <v>2.2799999999999998</v>
      </c>
      <c r="T83" s="353">
        <v>2.31</v>
      </c>
      <c r="U83" s="353">
        <v>2.33</v>
      </c>
      <c r="V83" s="353">
        <v>2.33</v>
      </c>
      <c r="W83" s="353">
        <v>2.34</v>
      </c>
      <c r="X83" s="353">
        <v>2.34</v>
      </c>
      <c r="Y83" s="353">
        <v>2.35</v>
      </c>
      <c r="Z83" s="353">
        <v>2.35</v>
      </c>
      <c r="AA83" s="353">
        <v>2.35</v>
      </c>
      <c r="AB83" s="353">
        <v>2.35</v>
      </c>
      <c r="AC83" s="353">
        <v>2.34</v>
      </c>
      <c r="AD83" s="353">
        <v>2.34</v>
      </c>
      <c r="AE83" s="353">
        <v>2.34</v>
      </c>
      <c r="AF83" s="353">
        <v>2.34</v>
      </c>
      <c r="AG83" s="353">
        <v>2.34</v>
      </c>
      <c r="AH83" s="353">
        <v>2.33</v>
      </c>
      <c r="AI83" s="353">
        <v>2.33</v>
      </c>
      <c r="AJ83" s="353">
        <v>2.33</v>
      </c>
      <c r="AK83" s="353">
        <v>2.33</v>
      </c>
      <c r="AL83" s="353">
        <v>2.33</v>
      </c>
      <c r="AM83" s="353">
        <v>2.33</v>
      </c>
      <c r="AN83" s="353">
        <v>2.33</v>
      </c>
      <c r="AO83" s="353">
        <v>2.33</v>
      </c>
      <c r="AP83" s="353">
        <v>2.3199999999999998</v>
      </c>
      <c r="AQ83" s="353">
        <v>2.3199999999999998</v>
      </c>
      <c r="AR83" s="353">
        <v>2.3199999999999998</v>
      </c>
      <c r="AS83" s="353">
        <v>2.3199999999999998</v>
      </c>
      <c r="AT83" s="353">
        <v>2.3199999999999998</v>
      </c>
      <c r="AU83" s="353">
        <v>2.31</v>
      </c>
      <c r="AV83" s="353">
        <v>2.31</v>
      </c>
      <c r="AW83" s="353">
        <v>2.31</v>
      </c>
      <c r="AX83" s="353">
        <v>2.31</v>
      </c>
      <c r="AY83" s="353">
        <v>2.31</v>
      </c>
      <c r="BB83" s="353">
        <v>1.51</v>
      </c>
    </row>
    <row r="84" spans="1:54" s="113" customFormat="1">
      <c r="A84" s="109">
        <v>44316</v>
      </c>
      <c r="B84" s="353">
        <v>0.84</v>
      </c>
      <c r="C84" s="353">
        <v>0.88</v>
      </c>
      <c r="D84" s="353">
        <v>0.97</v>
      </c>
      <c r="E84" s="353">
        <v>1.0900000000000001</v>
      </c>
      <c r="F84" s="353">
        <v>1.21</v>
      </c>
      <c r="G84" s="353">
        <v>1.34</v>
      </c>
      <c r="H84" s="353">
        <v>1.47</v>
      </c>
      <c r="I84" s="353">
        <v>1.59</v>
      </c>
      <c r="J84" s="353">
        <v>1.7</v>
      </c>
      <c r="K84" s="353">
        <v>1.8</v>
      </c>
      <c r="L84" s="353">
        <v>1.89</v>
      </c>
      <c r="M84" s="353">
        <v>1.97</v>
      </c>
      <c r="N84" s="353">
        <v>2.04</v>
      </c>
      <c r="O84" s="353">
        <v>2.11</v>
      </c>
      <c r="P84" s="442">
        <v>2.16</v>
      </c>
      <c r="Q84" s="353">
        <v>2.19</v>
      </c>
      <c r="R84" s="353">
        <v>2.2200000000000002</v>
      </c>
      <c r="S84" s="353">
        <v>2.25</v>
      </c>
      <c r="T84" s="353">
        <v>2.27</v>
      </c>
      <c r="U84" s="353">
        <v>2.29</v>
      </c>
      <c r="V84" s="353">
        <v>2.2999999999999998</v>
      </c>
      <c r="W84" s="353">
        <v>2.2999999999999998</v>
      </c>
      <c r="X84" s="353">
        <v>2.31</v>
      </c>
      <c r="Y84" s="353">
        <v>2.31</v>
      </c>
      <c r="Z84" s="353">
        <v>2.3199999999999998</v>
      </c>
      <c r="AA84" s="353">
        <v>2.3199999999999998</v>
      </c>
      <c r="AB84" s="353">
        <v>2.31</v>
      </c>
      <c r="AC84" s="353">
        <v>2.31</v>
      </c>
      <c r="AD84" s="353">
        <v>2.31</v>
      </c>
      <c r="AE84" s="353">
        <v>2.31</v>
      </c>
      <c r="AF84" s="353">
        <v>2.31</v>
      </c>
      <c r="AG84" s="353">
        <v>2.2999999999999998</v>
      </c>
      <c r="AH84" s="353">
        <v>2.2999999999999998</v>
      </c>
      <c r="AI84" s="353">
        <v>2.2999999999999998</v>
      </c>
      <c r="AJ84" s="353">
        <v>2.2999999999999998</v>
      </c>
      <c r="AK84" s="353">
        <v>2.2999999999999998</v>
      </c>
      <c r="AL84" s="353">
        <v>2.2999999999999998</v>
      </c>
      <c r="AM84" s="353">
        <v>2.2999999999999998</v>
      </c>
      <c r="AN84" s="353">
        <v>2.2999999999999998</v>
      </c>
      <c r="AO84" s="353">
        <v>2.29</v>
      </c>
      <c r="AP84" s="353">
        <v>2.29</v>
      </c>
      <c r="AQ84" s="353">
        <v>2.29</v>
      </c>
      <c r="AR84" s="353">
        <v>2.29</v>
      </c>
      <c r="AS84" s="353">
        <v>2.29</v>
      </c>
      <c r="AT84" s="353">
        <v>2.2799999999999998</v>
      </c>
      <c r="AU84" s="353">
        <v>2.2799999999999998</v>
      </c>
      <c r="AV84" s="353">
        <v>2.2799999999999998</v>
      </c>
      <c r="AW84" s="353">
        <v>2.2799999999999998</v>
      </c>
      <c r="AX84" s="353">
        <v>2.2799999999999998</v>
      </c>
      <c r="AY84" s="353">
        <v>2.2799999999999998</v>
      </c>
      <c r="BB84" s="353">
        <v>1.49</v>
      </c>
    </row>
    <row r="85" spans="1:54">
      <c r="A85" s="112">
        <v>44347</v>
      </c>
      <c r="B85" s="353">
        <v>0.82</v>
      </c>
      <c r="C85" s="353">
        <v>0.86</v>
      </c>
      <c r="D85" s="353">
        <v>0.94</v>
      </c>
      <c r="E85" s="353">
        <v>1.06</v>
      </c>
      <c r="F85" s="353">
        <v>1.18</v>
      </c>
      <c r="G85" s="353">
        <v>1.31</v>
      </c>
      <c r="H85" s="353">
        <v>1.43</v>
      </c>
      <c r="I85" s="353">
        <v>1.55</v>
      </c>
      <c r="J85" s="353">
        <v>1.66</v>
      </c>
      <c r="K85" s="353">
        <v>1.77</v>
      </c>
      <c r="L85" s="353">
        <v>1.86</v>
      </c>
      <c r="M85" s="353">
        <v>1.94</v>
      </c>
      <c r="N85" s="353">
        <v>2.0099999999999998</v>
      </c>
      <c r="O85" s="353">
        <v>2.0699999999999998</v>
      </c>
      <c r="P85" s="442">
        <v>2.12</v>
      </c>
      <c r="Q85" s="353">
        <v>2.16</v>
      </c>
      <c r="R85" s="353">
        <v>2.19</v>
      </c>
      <c r="S85" s="353">
        <v>2.21</v>
      </c>
      <c r="T85" s="353">
        <v>2.2400000000000002</v>
      </c>
      <c r="U85" s="353">
        <v>2.2599999999999998</v>
      </c>
      <c r="V85" s="353">
        <v>2.27</v>
      </c>
      <c r="W85" s="353">
        <v>2.27</v>
      </c>
      <c r="X85" s="353">
        <v>2.2799999999999998</v>
      </c>
      <c r="Y85" s="353">
        <v>2.2799999999999998</v>
      </c>
      <c r="Z85" s="353">
        <v>2.29</v>
      </c>
      <c r="AA85" s="353">
        <v>2.2799999999999998</v>
      </c>
      <c r="AB85" s="353">
        <v>2.2799999999999998</v>
      </c>
      <c r="AC85" s="353">
        <v>2.2799999999999998</v>
      </c>
      <c r="AD85" s="353">
        <v>2.2799999999999998</v>
      </c>
      <c r="AE85" s="353">
        <v>2.2799999999999998</v>
      </c>
      <c r="AF85" s="353">
        <v>2.27</v>
      </c>
      <c r="AG85" s="353">
        <v>2.27</v>
      </c>
      <c r="AH85" s="353">
        <v>2.27</v>
      </c>
      <c r="AI85" s="353">
        <v>2.27</v>
      </c>
      <c r="AJ85" s="353">
        <v>2.27</v>
      </c>
      <c r="AK85" s="353">
        <v>2.27</v>
      </c>
      <c r="AL85" s="353">
        <v>2.27</v>
      </c>
      <c r="AM85" s="353">
        <v>2.27</v>
      </c>
      <c r="AN85" s="353">
        <v>2.2599999999999998</v>
      </c>
      <c r="AO85" s="353">
        <v>2.2599999999999998</v>
      </c>
      <c r="AP85" s="353">
        <v>2.2599999999999998</v>
      </c>
      <c r="AQ85" s="353">
        <v>2.2599999999999998</v>
      </c>
      <c r="AR85" s="353">
        <v>2.2599999999999998</v>
      </c>
      <c r="AS85" s="353">
        <v>2.2599999999999998</v>
      </c>
      <c r="AT85" s="353">
        <v>2.25</v>
      </c>
      <c r="AU85" s="353">
        <v>2.25</v>
      </c>
      <c r="AV85" s="353">
        <v>2.25</v>
      </c>
      <c r="AW85" s="353">
        <v>2.25</v>
      </c>
      <c r="AX85" s="353">
        <v>2.25</v>
      </c>
      <c r="AY85" s="353">
        <v>2.25</v>
      </c>
      <c r="BB85" s="353">
        <v>1.47</v>
      </c>
    </row>
    <row r="86" spans="1:54">
      <c r="A86" s="109">
        <v>44377</v>
      </c>
      <c r="B86" s="353">
        <v>0.79</v>
      </c>
      <c r="C86" s="353">
        <v>0.83</v>
      </c>
      <c r="D86" s="353">
        <v>0.91</v>
      </c>
      <c r="E86" s="353">
        <v>1.02</v>
      </c>
      <c r="F86" s="353">
        <v>1.1499999999999999</v>
      </c>
      <c r="G86" s="353">
        <v>1.28</v>
      </c>
      <c r="H86" s="353">
        <v>1.4</v>
      </c>
      <c r="I86" s="353">
        <v>1.52</v>
      </c>
      <c r="J86" s="353">
        <v>1.63</v>
      </c>
      <c r="K86" s="353">
        <v>1.73</v>
      </c>
      <c r="L86" s="353">
        <v>1.83</v>
      </c>
      <c r="M86" s="353">
        <v>1.9</v>
      </c>
      <c r="N86" s="353">
        <v>1.97</v>
      </c>
      <c r="O86" s="353">
        <v>2.0299999999999998</v>
      </c>
      <c r="P86" s="442">
        <v>2.09</v>
      </c>
      <c r="Q86" s="353">
        <v>2.12</v>
      </c>
      <c r="R86" s="353">
        <v>2.15</v>
      </c>
      <c r="S86" s="353">
        <v>2.1800000000000002</v>
      </c>
      <c r="T86" s="353">
        <v>2.2000000000000002</v>
      </c>
      <c r="U86" s="353">
        <v>2.2200000000000002</v>
      </c>
      <c r="V86" s="353">
        <v>2.23</v>
      </c>
      <c r="W86" s="353">
        <v>2.23</v>
      </c>
      <c r="X86" s="353">
        <v>2.2400000000000002</v>
      </c>
      <c r="Y86" s="353">
        <v>2.25</v>
      </c>
      <c r="Z86" s="353">
        <v>2.25</v>
      </c>
      <c r="AA86" s="353">
        <v>2.25</v>
      </c>
      <c r="AB86" s="353">
        <v>2.25</v>
      </c>
      <c r="AC86" s="353">
        <v>2.2400000000000002</v>
      </c>
      <c r="AD86" s="353">
        <v>2.2400000000000002</v>
      </c>
      <c r="AE86" s="353">
        <v>2.2400000000000002</v>
      </c>
      <c r="AF86" s="353">
        <v>2.2400000000000002</v>
      </c>
      <c r="AG86" s="353">
        <v>2.2400000000000002</v>
      </c>
      <c r="AH86" s="353">
        <v>2.2400000000000002</v>
      </c>
      <c r="AI86" s="353">
        <v>2.23</v>
      </c>
      <c r="AJ86" s="353">
        <v>2.23</v>
      </c>
      <c r="AK86" s="353">
        <v>2.23</v>
      </c>
      <c r="AL86" s="353">
        <v>2.23</v>
      </c>
      <c r="AM86" s="353">
        <v>2.23</v>
      </c>
      <c r="AN86" s="353">
        <v>2.23</v>
      </c>
      <c r="AO86" s="353">
        <v>2.23</v>
      </c>
      <c r="AP86" s="353">
        <v>2.23</v>
      </c>
      <c r="AQ86" s="353">
        <v>2.2200000000000002</v>
      </c>
      <c r="AR86" s="353">
        <v>2.2200000000000002</v>
      </c>
      <c r="AS86" s="353">
        <v>2.2200000000000002</v>
      </c>
      <c r="AT86" s="353">
        <v>2.2200000000000002</v>
      </c>
      <c r="AU86" s="353">
        <v>2.2200000000000002</v>
      </c>
      <c r="AV86" s="353">
        <v>2.2200000000000002</v>
      </c>
      <c r="AW86" s="353">
        <v>2.21</v>
      </c>
      <c r="AX86" s="353">
        <v>2.21</v>
      </c>
      <c r="AY86" s="353">
        <v>2.21</v>
      </c>
      <c r="BB86" s="353">
        <v>1.45</v>
      </c>
    </row>
    <row r="87" spans="1:54">
      <c r="A87" s="112">
        <v>44408</v>
      </c>
      <c r="B87" s="353">
        <v>0.76</v>
      </c>
      <c r="C87" s="353">
        <v>0.8</v>
      </c>
      <c r="D87" s="353">
        <v>0.88</v>
      </c>
      <c r="E87" s="353">
        <v>0.99</v>
      </c>
      <c r="F87" s="353">
        <v>1.1200000000000001</v>
      </c>
      <c r="G87" s="353">
        <v>1.24</v>
      </c>
      <c r="H87" s="353">
        <v>1.37</v>
      </c>
      <c r="I87" s="353">
        <v>1.48</v>
      </c>
      <c r="J87" s="353">
        <v>1.59</v>
      </c>
      <c r="K87" s="353">
        <v>1.7</v>
      </c>
      <c r="L87" s="353">
        <v>1.79</v>
      </c>
      <c r="M87" s="353">
        <v>1.87</v>
      </c>
      <c r="N87" s="353">
        <v>1.94</v>
      </c>
      <c r="O87" s="353">
        <v>2</v>
      </c>
      <c r="P87" s="442">
        <v>2.0499999999999998</v>
      </c>
      <c r="Q87" s="353">
        <v>2.08</v>
      </c>
      <c r="R87" s="353">
        <v>2.11</v>
      </c>
      <c r="S87" s="353">
        <v>2.14</v>
      </c>
      <c r="T87" s="353">
        <v>2.16</v>
      </c>
      <c r="U87" s="353">
        <v>2.19</v>
      </c>
      <c r="V87" s="353">
        <v>2.19</v>
      </c>
      <c r="W87" s="353">
        <v>2.2000000000000002</v>
      </c>
      <c r="X87" s="353">
        <v>2.2000000000000002</v>
      </c>
      <c r="Y87" s="353">
        <v>2.21</v>
      </c>
      <c r="Z87" s="353">
        <v>2.21</v>
      </c>
      <c r="AA87" s="353">
        <v>2.21</v>
      </c>
      <c r="AB87" s="353">
        <v>2.21</v>
      </c>
      <c r="AC87" s="353">
        <v>2.21</v>
      </c>
      <c r="AD87" s="353">
        <v>2.21</v>
      </c>
      <c r="AE87" s="353">
        <v>2.21</v>
      </c>
      <c r="AF87" s="353">
        <v>2.2000000000000002</v>
      </c>
      <c r="AG87" s="353">
        <v>2.2000000000000002</v>
      </c>
      <c r="AH87" s="353">
        <v>2.2000000000000002</v>
      </c>
      <c r="AI87" s="353">
        <v>2.2000000000000002</v>
      </c>
      <c r="AJ87" s="353">
        <v>2.2000000000000002</v>
      </c>
      <c r="AK87" s="353">
        <v>2.2000000000000002</v>
      </c>
      <c r="AL87" s="353">
        <v>2.2000000000000002</v>
      </c>
      <c r="AM87" s="353">
        <v>2.2000000000000002</v>
      </c>
      <c r="AN87" s="353">
        <v>2.2000000000000002</v>
      </c>
      <c r="AO87" s="353">
        <v>2.19</v>
      </c>
      <c r="AP87" s="353">
        <v>2.19</v>
      </c>
      <c r="AQ87" s="353">
        <v>2.19</v>
      </c>
      <c r="AR87" s="353">
        <v>2.19</v>
      </c>
      <c r="AS87" s="353">
        <v>2.19</v>
      </c>
      <c r="AT87" s="353">
        <v>2.1800000000000002</v>
      </c>
      <c r="AU87" s="353">
        <v>2.1800000000000002</v>
      </c>
      <c r="AV87" s="353">
        <v>2.1800000000000002</v>
      </c>
      <c r="AW87" s="353">
        <v>2.1800000000000002</v>
      </c>
      <c r="AX87" s="353">
        <v>2.1800000000000002</v>
      </c>
      <c r="AY87" s="353">
        <v>2.1800000000000002</v>
      </c>
      <c r="BB87" s="353">
        <v>1.42</v>
      </c>
    </row>
    <row r="88" spans="1:54">
      <c r="A88" s="109">
        <v>44439</v>
      </c>
      <c r="B88" s="353">
        <v>0.73</v>
      </c>
      <c r="C88" s="353">
        <v>0.77</v>
      </c>
      <c r="D88" s="353">
        <v>0.85</v>
      </c>
      <c r="E88" s="353">
        <v>0.96</v>
      </c>
      <c r="F88" s="353">
        <v>1.08</v>
      </c>
      <c r="G88" s="353">
        <v>1.21</v>
      </c>
      <c r="H88" s="353">
        <v>1.33</v>
      </c>
      <c r="I88" s="353">
        <v>1.45</v>
      </c>
      <c r="J88" s="353">
        <v>1.56</v>
      </c>
      <c r="K88" s="353">
        <v>1.66</v>
      </c>
      <c r="L88" s="353">
        <v>1.75</v>
      </c>
      <c r="M88" s="353">
        <v>1.83</v>
      </c>
      <c r="N88" s="353">
        <v>1.9</v>
      </c>
      <c r="O88" s="353">
        <v>1.96</v>
      </c>
      <c r="P88" s="442">
        <v>2.0099999999999998</v>
      </c>
      <c r="Q88" s="353">
        <v>2.0499999999999998</v>
      </c>
      <c r="R88" s="353">
        <v>2.08</v>
      </c>
      <c r="S88" s="353">
        <v>2.1</v>
      </c>
      <c r="T88" s="353">
        <v>2.13</v>
      </c>
      <c r="U88" s="353">
        <v>2.15</v>
      </c>
      <c r="V88" s="353">
        <v>2.16</v>
      </c>
      <c r="W88" s="353">
        <v>2.16</v>
      </c>
      <c r="X88" s="353">
        <v>2.17</v>
      </c>
      <c r="Y88" s="353">
        <v>2.17</v>
      </c>
      <c r="Z88" s="353">
        <v>2.1800000000000002</v>
      </c>
      <c r="AA88" s="353">
        <v>2.1800000000000002</v>
      </c>
      <c r="AB88" s="353">
        <v>2.17</v>
      </c>
      <c r="AC88" s="353">
        <v>2.17</v>
      </c>
      <c r="AD88" s="353">
        <v>2.17</v>
      </c>
      <c r="AE88" s="353">
        <v>2.17</v>
      </c>
      <c r="AF88" s="353">
        <v>2.17</v>
      </c>
      <c r="AG88" s="353">
        <v>2.17</v>
      </c>
      <c r="AH88" s="353">
        <v>2.17</v>
      </c>
      <c r="AI88" s="353">
        <v>2.16</v>
      </c>
      <c r="AJ88" s="353">
        <v>2.16</v>
      </c>
      <c r="AK88" s="353">
        <v>2.16</v>
      </c>
      <c r="AL88" s="353">
        <v>2.16</v>
      </c>
      <c r="AM88" s="353">
        <v>2.16</v>
      </c>
      <c r="AN88" s="353">
        <v>2.16</v>
      </c>
      <c r="AO88" s="353">
        <v>2.16</v>
      </c>
      <c r="AP88" s="353">
        <v>2.16</v>
      </c>
      <c r="AQ88" s="353">
        <v>2.15</v>
      </c>
      <c r="AR88" s="353">
        <v>2.15</v>
      </c>
      <c r="AS88" s="353">
        <v>2.15</v>
      </c>
      <c r="AT88" s="353">
        <v>2.15</v>
      </c>
      <c r="AU88" s="353">
        <v>2.15</v>
      </c>
      <c r="AV88" s="353">
        <v>2.14</v>
      </c>
      <c r="AW88" s="353">
        <v>2.14</v>
      </c>
      <c r="AX88" s="353">
        <v>2.14</v>
      </c>
      <c r="AY88" s="353">
        <v>2.14</v>
      </c>
      <c r="BB88" s="353">
        <v>1.41</v>
      </c>
    </row>
    <row r="89" spans="1:54">
      <c r="A89" s="112">
        <v>44469</v>
      </c>
      <c r="B89" s="353">
        <v>0.7</v>
      </c>
      <c r="C89" s="353">
        <v>0.74</v>
      </c>
      <c r="D89" s="353">
        <v>0.82</v>
      </c>
      <c r="E89" s="353">
        <v>0.93</v>
      </c>
      <c r="F89" s="353">
        <v>1.05</v>
      </c>
      <c r="G89" s="353">
        <v>1.18</v>
      </c>
      <c r="H89" s="353">
        <v>1.3</v>
      </c>
      <c r="I89" s="353">
        <v>1.41</v>
      </c>
      <c r="J89" s="353">
        <v>1.52</v>
      </c>
      <c r="K89" s="353">
        <v>1.62</v>
      </c>
      <c r="L89" s="353">
        <v>1.72</v>
      </c>
      <c r="M89" s="353">
        <v>1.79</v>
      </c>
      <c r="N89" s="353">
        <v>1.86</v>
      </c>
      <c r="O89" s="353">
        <v>1.92</v>
      </c>
      <c r="P89" s="442">
        <v>1.98</v>
      </c>
      <c r="Q89" s="353">
        <v>2.0099999999999998</v>
      </c>
      <c r="R89" s="353">
        <v>2.04</v>
      </c>
      <c r="S89" s="353">
        <v>2.0699999999999998</v>
      </c>
      <c r="T89" s="353">
        <v>2.09</v>
      </c>
      <c r="U89" s="353">
        <v>2.11</v>
      </c>
      <c r="V89" s="353">
        <v>2.12</v>
      </c>
      <c r="W89" s="353">
        <v>2.13</v>
      </c>
      <c r="X89" s="353">
        <v>2.13</v>
      </c>
      <c r="Y89" s="353">
        <v>2.14</v>
      </c>
      <c r="Z89" s="353">
        <v>2.14</v>
      </c>
      <c r="AA89" s="353">
        <v>2.14</v>
      </c>
      <c r="AB89" s="353">
        <v>2.14</v>
      </c>
      <c r="AC89" s="353">
        <v>2.14</v>
      </c>
      <c r="AD89" s="353">
        <v>2.14</v>
      </c>
      <c r="AE89" s="353">
        <v>2.14</v>
      </c>
      <c r="AF89" s="353">
        <v>2.13</v>
      </c>
      <c r="AG89" s="353">
        <v>2.13</v>
      </c>
      <c r="AH89" s="353">
        <v>2.13</v>
      </c>
      <c r="AI89" s="353">
        <v>2.13</v>
      </c>
      <c r="AJ89" s="353">
        <v>2.13</v>
      </c>
      <c r="AK89" s="353">
        <v>2.13</v>
      </c>
      <c r="AL89" s="353">
        <v>2.13</v>
      </c>
      <c r="AM89" s="353">
        <v>2.13</v>
      </c>
      <c r="AN89" s="353">
        <v>2.12</v>
      </c>
      <c r="AO89" s="353">
        <v>2.12</v>
      </c>
      <c r="AP89" s="353">
        <v>2.12</v>
      </c>
      <c r="AQ89" s="353">
        <v>2.12</v>
      </c>
      <c r="AR89" s="353">
        <v>2.12</v>
      </c>
      <c r="AS89" s="353">
        <v>2.11</v>
      </c>
      <c r="AT89" s="353">
        <v>2.11</v>
      </c>
      <c r="AU89" s="353">
        <v>2.11</v>
      </c>
      <c r="AV89" s="353">
        <v>2.11</v>
      </c>
      <c r="AW89" s="353">
        <v>2.11</v>
      </c>
      <c r="AX89" s="353">
        <v>2.11</v>
      </c>
      <c r="AY89" s="353">
        <v>2.1</v>
      </c>
      <c r="BB89" s="353">
        <v>1.39</v>
      </c>
    </row>
    <row r="90" spans="1:54">
      <c r="A90" s="109">
        <v>44500</v>
      </c>
      <c r="B90" s="353">
        <v>0.67</v>
      </c>
      <c r="C90" s="353">
        <v>0.71</v>
      </c>
      <c r="D90" s="353">
        <v>0.79</v>
      </c>
      <c r="E90" s="353">
        <v>0.9</v>
      </c>
      <c r="F90" s="353">
        <v>1.02</v>
      </c>
      <c r="G90" s="353">
        <v>1.1499999999999999</v>
      </c>
      <c r="H90" s="353">
        <v>1.27</v>
      </c>
      <c r="I90" s="353">
        <v>1.38</v>
      </c>
      <c r="J90" s="353">
        <v>1.49</v>
      </c>
      <c r="K90" s="353">
        <v>1.59</v>
      </c>
      <c r="L90" s="353">
        <v>1.68</v>
      </c>
      <c r="M90" s="353">
        <v>1.76</v>
      </c>
      <c r="N90" s="353">
        <v>1.83</v>
      </c>
      <c r="O90" s="353">
        <v>1.89</v>
      </c>
      <c r="P90" s="442">
        <v>1.94</v>
      </c>
      <c r="Q90" s="353">
        <v>1.98</v>
      </c>
      <c r="R90" s="353">
        <v>2.0099999999999998</v>
      </c>
      <c r="S90" s="353">
        <v>2.0299999999999998</v>
      </c>
      <c r="T90" s="353">
        <v>2.06</v>
      </c>
      <c r="U90" s="353">
        <v>2.08</v>
      </c>
      <c r="V90" s="353">
        <v>2.09</v>
      </c>
      <c r="W90" s="353">
        <v>2.09</v>
      </c>
      <c r="X90" s="353">
        <v>2.1</v>
      </c>
      <c r="Y90" s="353">
        <v>2.1</v>
      </c>
      <c r="Z90" s="353">
        <v>2.11</v>
      </c>
      <c r="AA90" s="353">
        <v>2.11</v>
      </c>
      <c r="AB90" s="353">
        <v>2.11</v>
      </c>
      <c r="AC90" s="353">
        <v>2.1</v>
      </c>
      <c r="AD90" s="353">
        <v>2.1</v>
      </c>
      <c r="AE90" s="353">
        <v>2.1</v>
      </c>
      <c r="AF90" s="353">
        <v>2.1</v>
      </c>
      <c r="AG90" s="353">
        <v>2.1</v>
      </c>
      <c r="AH90" s="353">
        <v>2.1</v>
      </c>
      <c r="AI90" s="353">
        <v>2.1</v>
      </c>
      <c r="AJ90" s="353">
        <v>2.09</v>
      </c>
      <c r="AK90" s="353">
        <v>2.09</v>
      </c>
      <c r="AL90" s="353">
        <v>2.09</v>
      </c>
      <c r="AM90" s="353">
        <v>2.09</v>
      </c>
      <c r="AN90" s="353">
        <v>2.09</v>
      </c>
      <c r="AO90" s="353">
        <v>2.09</v>
      </c>
      <c r="AP90" s="353">
        <v>2.09</v>
      </c>
      <c r="AQ90" s="353">
        <v>2.08</v>
      </c>
      <c r="AR90" s="353">
        <v>2.08</v>
      </c>
      <c r="AS90" s="353">
        <v>2.08</v>
      </c>
      <c r="AT90" s="353">
        <v>2.08</v>
      </c>
      <c r="AU90" s="353">
        <v>2.08</v>
      </c>
      <c r="AV90" s="353">
        <v>2.0699999999999998</v>
      </c>
      <c r="AW90" s="353">
        <v>2.0699999999999998</v>
      </c>
      <c r="AX90" s="353">
        <v>2.0699999999999998</v>
      </c>
      <c r="AY90" s="353">
        <v>2.0699999999999998</v>
      </c>
      <c r="BB90" s="353">
        <v>1.37</v>
      </c>
    </row>
    <row r="91" spans="1:54">
      <c r="A91" s="112">
        <v>44530</v>
      </c>
      <c r="B91" s="353">
        <v>0.64</v>
      </c>
      <c r="C91" s="353">
        <v>0.68</v>
      </c>
      <c r="D91" s="353">
        <v>0.76</v>
      </c>
      <c r="E91" s="353">
        <v>0.87</v>
      </c>
      <c r="F91" s="353">
        <v>0.99</v>
      </c>
      <c r="G91" s="353">
        <v>1.1100000000000001</v>
      </c>
      <c r="H91" s="353">
        <v>1.23</v>
      </c>
      <c r="I91" s="353">
        <v>1.35</v>
      </c>
      <c r="J91" s="353">
        <v>1.45</v>
      </c>
      <c r="K91" s="353">
        <v>1.56</v>
      </c>
      <c r="L91" s="353">
        <v>1.65</v>
      </c>
      <c r="M91" s="353">
        <v>1.72</v>
      </c>
      <c r="N91" s="353">
        <v>1.79</v>
      </c>
      <c r="O91" s="353">
        <v>1.85</v>
      </c>
      <c r="P91" s="442">
        <v>1.9</v>
      </c>
      <c r="Q91" s="353">
        <v>1.94</v>
      </c>
      <c r="R91" s="353">
        <v>1.97</v>
      </c>
      <c r="S91" s="353">
        <v>2</v>
      </c>
      <c r="T91" s="353">
        <v>2.02</v>
      </c>
      <c r="U91" s="353">
        <v>2.04</v>
      </c>
      <c r="V91" s="353">
        <v>2.0499999999999998</v>
      </c>
      <c r="W91" s="353">
        <v>2.06</v>
      </c>
      <c r="X91" s="353">
        <v>2.06</v>
      </c>
      <c r="Y91" s="353">
        <v>2.0699999999999998</v>
      </c>
      <c r="Z91" s="353">
        <v>2.0699999999999998</v>
      </c>
      <c r="AA91" s="353">
        <v>2.0699999999999998</v>
      </c>
      <c r="AB91" s="353">
        <v>2.0699999999999998</v>
      </c>
      <c r="AC91" s="353">
        <v>2.0699999999999998</v>
      </c>
      <c r="AD91" s="353">
        <v>2.0699999999999998</v>
      </c>
      <c r="AE91" s="353">
        <v>2.0699999999999998</v>
      </c>
      <c r="AF91" s="353">
        <v>2.06</v>
      </c>
      <c r="AG91" s="353">
        <v>2.06</v>
      </c>
      <c r="AH91" s="353">
        <v>2.06</v>
      </c>
      <c r="AI91" s="353">
        <v>2.06</v>
      </c>
      <c r="AJ91" s="353">
        <v>2.06</v>
      </c>
      <c r="AK91" s="353">
        <v>2.06</v>
      </c>
      <c r="AL91" s="353">
        <v>2.06</v>
      </c>
      <c r="AM91" s="353">
        <v>2.0499999999999998</v>
      </c>
      <c r="AN91" s="353">
        <v>2.0499999999999998</v>
      </c>
      <c r="AO91" s="353">
        <v>2.0499999999999998</v>
      </c>
      <c r="AP91" s="353">
        <v>2.0499999999999998</v>
      </c>
      <c r="AQ91" s="353">
        <v>2.0499999999999998</v>
      </c>
      <c r="AR91" s="353">
        <v>2.0499999999999998</v>
      </c>
      <c r="AS91" s="353">
        <v>2.04</v>
      </c>
      <c r="AT91" s="353">
        <v>2.04</v>
      </c>
      <c r="AU91" s="353">
        <v>2.04</v>
      </c>
      <c r="AV91" s="353">
        <v>2.04</v>
      </c>
      <c r="AW91" s="353">
        <v>2.0299999999999998</v>
      </c>
      <c r="AX91" s="353">
        <v>2.0299999999999998</v>
      </c>
      <c r="AY91" s="353">
        <v>2.0299999999999998</v>
      </c>
      <c r="AZ91" s="500"/>
      <c r="BB91" s="353">
        <v>1.36</v>
      </c>
    </row>
    <row r="92" spans="1:54">
      <c r="A92" s="109">
        <v>44561</v>
      </c>
      <c r="B92" s="353">
        <v>0.61</v>
      </c>
      <c r="C92" s="353">
        <v>0.66</v>
      </c>
      <c r="D92" s="353">
        <v>0.74</v>
      </c>
      <c r="E92" s="353">
        <v>0.85</v>
      </c>
      <c r="F92" s="353">
        <v>0.96</v>
      </c>
      <c r="G92" s="353">
        <v>1.08</v>
      </c>
      <c r="H92" s="353">
        <v>1.2</v>
      </c>
      <c r="I92" s="353">
        <v>1.32</v>
      </c>
      <c r="J92" s="353">
        <v>1.42</v>
      </c>
      <c r="K92" s="353">
        <v>1.52</v>
      </c>
      <c r="L92" s="353">
        <v>1.62</v>
      </c>
      <c r="M92" s="353">
        <v>1.69</v>
      </c>
      <c r="N92" s="353">
        <v>1.76</v>
      </c>
      <c r="O92" s="353">
        <v>1.82</v>
      </c>
      <c r="P92" s="442">
        <v>1.87</v>
      </c>
      <c r="Q92" s="353">
        <v>1.91</v>
      </c>
      <c r="R92" s="353">
        <v>1.94</v>
      </c>
      <c r="S92" s="353">
        <v>1.96</v>
      </c>
      <c r="T92" s="353">
        <v>1.99</v>
      </c>
      <c r="U92" s="353">
        <v>2.0099999999999998</v>
      </c>
      <c r="V92" s="353">
        <v>2.02</v>
      </c>
      <c r="W92" s="353">
        <v>2.02</v>
      </c>
      <c r="X92" s="353">
        <v>2.0299999999999998</v>
      </c>
      <c r="Y92" s="353">
        <v>2.04</v>
      </c>
      <c r="Z92" s="353">
        <v>2.04</v>
      </c>
      <c r="AA92" s="353">
        <v>2.04</v>
      </c>
      <c r="AB92" s="353">
        <v>2.04</v>
      </c>
      <c r="AC92" s="353">
        <v>2.04</v>
      </c>
      <c r="AD92" s="353">
        <v>2.04</v>
      </c>
      <c r="AE92" s="353">
        <v>2.04</v>
      </c>
      <c r="AF92" s="353">
        <v>2.0299999999999998</v>
      </c>
      <c r="AG92" s="353">
        <v>2.0299999999999998</v>
      </c>
      <c r="AH92" s="353">
        <v>2.0299999999999998</v>
      </c>
      <c r="AI92" s="353">
        <v>2.0299999999999998</v>
      </c>
      <c r="AJ92" s="353">
        <v>2.0299999999999998</v>
      </c>
      <c r="AK92" s="353">
        <v>2.0299999999999998</v>
      </c>
      <c r="AL92" s="353">
        <v>2.0299999999999998</v>
      </c>
      <c r="AM92" s="353">
        <v>2.02</v>
      </c>
      <c r="AN92" s="353">
        <v>2.02</v>
      </c>
      <c r="AO92" s="353">
        <v>2.02</v>
      </c>
      <c r="AP92" s="353">
        <v>2.02</v>
      </c>
      <c r="AQ92" s="353">
        <v>2.02</v>
      </c>
      <c r="AR92" s="353">
        <v>2.0099999999999998</v>
      </c>
      <c r="AS92" s="353">
        <v>2.0099999999999998</v>
      </c>
      <c r="AT92" s="353">
        <v>2.0099999999999998</v>
      </c>
      <c r="AU92" s="353">
        <v>2.0099999999999998</v>
      </c>
      <c r="AV92" s="353">
        <v>2</v>
      </c>
      <c r="AW92" s="353">
        <v>2</v>
      </c>
      <c r="AX92" s="353">
        <v>2</v>
      </c>
      <c r="AY92" s="353">
        <v>2</v>
      </c>
      <c r="BB92" s="353">
        <v>1.35</v>
      </c>
    </row>
    <row r="93" spans="1:54">
      <c r="A93" s="112">
        <v>44592</v>
      </c>
      <c r="B93" s="353">
        <v>0.59</v>
      </c>
      <c r="C93" s="353">
        <v>0.64</v>
      </c>
      <c r="D93" s="353">
        <v>0.72</v>
      </c>
      <c r="E93" s="353">
        <v>0.83</v>
      </c>
      <c r="F93" s="353">
        <v>0.94</v>
      </c>
      <c r="G93" s="353">
        <v>1.06</v>
      </c>
      <c r="H93" s="353">
        <v>1.18</v>
      </c>
      <c r="I93" s="353">
        <v>1.29</v>
      </c>
      <c r="J93" s="353">
        <v>1.4</v>
      </c>
      <c r="K93" s="353">
        <v>1.5</v>
      </c>
      <c r="L93" s="353">
        <v>1.59</v>
      </c>
      <c r="M93" s="353">
        <v>1.67</v>
      </c>
      <c r="N93" s="353">
        <v>1.74</v>
      </c>
      <c r="O93" s="353">
        <v>1.79</v>
      </c>
      <c r="P93" s="442">
        <v>1.85</v>
      </c>
      <c r="Q93" s="353">
        <v>1.88</v>
      </c>
      <c r="R93" s="353">
        <v>1.91</v>
      </c>
      <c r="S93" s="353">
        <v>1.94</v>
      </c>
      <c r="T93" s="353">
        <v>1.96</v>
      </c>
      <c r="U93" s="353">
        <v>1.98</v>
      </c>
      <c r="V93" s="353">
        <v>1.99</v>
      </c>
      <c r="W93" s="353">
        <v>2</v>
      </c>
      <c r="X93" s="353">
        <v>2</v>
      </c>
      <c r="Y93" s="353">
        <v>2.0099999999999998</v>
      </c>
      <c r="Z93" s="353">
        <v>2.0099999999999998</v>
      </c>
      <c r="AA93" s="353">
        <v>2.0099999999999998</v>
      </c>
      <c r="AB93" s="353">
        <v>2.0099999999999998</v>
      </c>
      <c r="AC93" s="353">
        <v>2.0099999999999998</v>
      </c>
      <c r="AD93" s="353">
        <v>2.0099999999999998</v>
      </c>
      <c r="AE93" s="353">
        <v>2.0099999999999998</v>
      </c>
      <c r="AF93" s="353">
        <v>2.0099999999999998</v>
      </c>
      <c r="AG93" s="353">
        <v>2.0099999999999998</v>
      </c>
      <c r="AH93" s="353">
        <v>2</v>
      </c>
      <c r="AI93" s="353">
        <v>2</v>
      </c>
      <c r="AJ93" s="353">
        <v>2</v>
      </c>
      <c r="AK93" s="353">
        <v>2</v>
      </c>
      <c r="AL93" s="353">
        <v>2</v>
      </c>
      <c r="AM93" s="353">
        <v>2</v>
      </c>
      <c r="AN93" s="353">
        <v>2</v>
      </c>
      <c r="AO93" s="353">
        <v>1.99</v>
      </c>
      <c r="AP93" s="353">
        <v>1.99</v>
      </c>
      <c r="AQ93" s="353">
        <v>1.99</v>
      </c>
      <c r="AR93" s="353">
        <v>1.99</v>
      </c>
      <c r="AS93" s="353">
        <v>1.98</v>
      </c>
      <c r="AT93" s="353">
        <v>1.98</v>
      </c>
      <c r="AU93" s="353">
        <v>1.98</v>
      </c>
      <c r="AV93" s="353">
        <v>1.98</v>
      </c>
      <c r="AW93" s="353">
        <v>1.98</v>
      </c>
      <c r="AX93" s="353">
        <v>1.97</v>
      </c>
      <c r="AY93" s="353">
        <v>1.97</v>
      </c>
      <c r="BB93" s="353">
        <v>1.34</v>
      </c>
    </row>
    <row r="94" spans="1:54">
      <c r="A94" s="109">
        <v>44620</v>
      </c>
      <c r="B94" s="353">
        <v>0.56999999999999995</v>
      </c>
      <c r="C94" s="353">
        <v>0.62</v>
      </c>
      <c r="D94" s="353">
        <v>0.7</v>
      </c>
      <c r="E94" s="353">
        <v>0.81</v>
      </c>
      <c r="F94" s="353">
        <v>0.92</v>
      </c>
      <c r="G94" s="353">
        <v>1.05</v>
      </c>
      <c r="H94" s="353">
        <v>1.1599999999999999</v>
      </c>
      <c r="I94" s="353">
        <v>1.27</v>
      </c>
      <c r="J94" s="353">
        <v>1.38</v>
      </c>
      <c r="K94" s="353">
        <v>1.48</v>
      </c>
      <c r="L94" s="353">
        <v>1.57</v>
      </c>
      <c r="M94" s="353">
        <v>1.65</v>
      </c>
      <c r="N94" s="353">
        <v>1.72</v>
      </c>
      <c r="O94" s="353">
        <v>1.77</v>
      </c>
      <c r="P94" s="442">
        <v>1.82</v>
      </c>
      <c r="Q94" s="353">
        <v>1.86</v>
      </c>
      <c r="R94" s="353">
        <v>1.89</v>
      </c>
      <c r="S94" s="353">
        <v>1.92</v>
      </c>
      <c r="T94" s="353">
        <v>1.94</v>
      </c>
      <c r="U94" s="353">
        <v>1.96</v>
      </c>
      <c r="V94" s="353">
        <v>1.97</v>
      </c>
      <c r="W94" s="353">
        <v>1.98</v>
      </c>
      <c r="X94" s="353">
        <v>1.98</v>
      </c>
      <c r="Y94" s="353">
        <v>1.99</v>
      </c>
      <c r="Z94" s="353">
        <v>1.99</v>
      </c>
      <c r="AA94" s="353">
        <v>1.99</v>
      </c>
      <c r="AB94" s="353">
        <v>1.99</v>
      </c>
      <c r="AC94" s="353">
        <v>1.99</v>
      </c>
      <c r="AD94" s="353">
        <v>1.99</v>
      </c>
      <c r="AE94" s="353">
        <v>1.99</v>
      </c>
      <c r="AF94" s="353">
        <v>1.99</v>
      </c>
      <c r="AG94" s="353">
        <v>1.98</v>
      </c>
      <c r="AH94" s="353">
        <v>1.98</v>
      </c>
      <c r="AI94" s="353">
        <v>1.98</v>
      </c>
      <c r="AJ94" s="353">
        <v>1.98</v>
      </c>
      <c r="AK94" s="353">
        <v>1.98</v>
      </c>
      <c r="AL94" s="353">
        <v>1.98</v>
      </c>
      <c r="AM94" s="353">
        <v>1.97</v>
      </c>
      <c r="AN94" s="353">
        <v>1.97</v>
      </c>
      <c r="AO94" s="353">
        <v>1.97</v>
      </c>
      <c r="AP94" s="353">
        <v>1.97</v>
      </c>
      <c r="AQ94" s="353">
        <v>1.97</v>
      </c>
      <c r="AR94" s="353">
        <v>1.96</v>
      </c>
      <c r="AS94" s="353">
        <v>1.96</v>
      </c>
      <c r="AT94" s="353">
        <v>1.96</v>
      </c>
      <c r="AU94" s="353">
        <v>1.96</v>
      </c>
      <c r="AV94" s="353">
        <v>1.95</v>
      </c>
      <c r="AW94" s="353">
        <v>1.95</v>
      </c>
      <c r="AX94" s="353">
        <v>1.95</v>
      </c>
      <c r="AY94" s="353">
        <v>1.95</v>
      </c>
      <c r="BB94" s="353">
        <v>1.35</v>
      </c>
    </row>
    <row r="95" spans="1:54">
      <c r="A95" s="112">
        <v>44651</v>
      </c>
      <c r="B95" s="353">
        <v>0.55000000000000004</v>
      </c>
      <c r="C95" s="353">
        <v>0.61</v>
      </c>
      <c r="D95" s="353">
        <v>0.69</v>
      </c>
      <c r="E95" s="353">
        <v>0.8</v>
      </c>
      <c r="F95" s="353">
        <v>0.91</v>
      </c>
      <c r="G95" s="353">
        <v>1.03</v>
      </c>
      <c r="H95" s="353">
        <v>1.1399999999999999</v>
      </c>
      <c r="I95" s="353">
        <v>1.26</v>
      </c>
      <c r="J95" s="353">
        <v>1.36</v>
      </c>
      <c r="K95" s="353">
        <v>1.46</v>
      </c>
      <c r="L95" s="353">
        <v>1.55</v>
      </c>
      <c r="M95" s="353">
        <v>1.63</v>
      </c>
      <c r="N95" s="353">
        <v>1.7</v>
      </c>
      <c r="O95" s="353">
        <v>1.75</v>
      </c>
      <c r="P95" s="442">
        <v>1.81</v>
      </c>
      <c r="Q95" s="353">
        <v>1.84</v>
      </c>
      <c r="R95" s="353">
        <v>1.87</v>
      </c>
      <c r="S95" s="353">
        <v>1.9</v>
      </c>
      <c r="T95" s="353">
        <v>1.92</v>
      </c>
      <c r="U95" s="353">
        <v>1.94</v>
      </c>
      <c r="V95" s="353">
        <v>1.95</v>
      </c>
      <c r="W95" s="353">
        <v>1.96</v>
      </c>
      <c r="X95" s="353">
        <v>1.96</v>
      </c>
      <c r="Y95" s="353">
        <v>1.97</v>
      </c>
      <c r="Z95" s="353">
        <v>1.97</v>
      </c>
      <c r="AA95" s="353">
        <v>1.97</v>
      </c>
      <c r="AB95" s="353">
        <v>1.97</v>
      </c>
      <c r="AC95" s="353">
        <v>1.97</v>
      </c>
      <c r="AD95" s="353">
        <v>1.97</v>
      </c>
      <c r="AE95" s="353">
        <v>1.97</v>
      </c>
      <c r="AF95" s="353">
        <v>1.96</v>
      </c>
      <c r="AG95" s="353">
        <v>1.96</v>
      </c>
      <c r="AH95" s="353">
        <v>1.96</v>
      </c>
      <c r="AI95" s="353">
        <v>1.96</v>
      </c>
      <c r="AJ95" s="353">
        <v>1.96</v>
      </c>
      <c r="AK95" s="353">
        <v>1.96</v>
      </c>
      <c r="AL95" s="353">
        <v>1.95</v>
      </c>
      <c r="AM95" s="353">
        <v>1.95</v>
      </c>
      <c r="AN95" s="353">
        <v>1.95</v>
      </c>
      <c r="AO95" s="353">
        <v>1.95</v>
      </c>
      <c r="AP95" s="353">
        <v>1.95</v>
      </c>
      <c r="AQ95" s="353">
        <v>1.94</v>
      </c>
      <c r="AR95" s="353">
        <v>1.94</v>
      </c>
      <c r="AS95" s="353">
        <v>1.94</v>
      </c>
      <c r="AT95" s="353">
        <v>1.94</v>
      </c>
      <c r="AU95" s="353">
        <v>1.93</v>
      </c>
      <c r="AV95" s="353">
        <v>1.93</v>
      </c>
      <c r="AW95" s="353">
        <v>1.93</v>
      </c>
      <c r="AX95" s="353">
        <v>1.93</v>
      </c>
      <c r="AY95" s="353">
        <v>1.93</v>
      </c>
      <c r="BB95" s="353">
        <v>1.35</v>
      </c>
    </row>
    <row r="96" spans="1:54">
      <c r="A96" s="109">
        <v>44681</v>
      </c>
      <c r="B96" s="353">
        <v>0.54</v>
      </c>
      <c r="C96" s="353">
        <v>0.6</v>
      </c>
      <c r="D96" s="353">
        <v>0.69</v>
      </c>
      <c r="E96" s="353">
        <v>0.79</v>
      </c>
      <c r="F96" s="353">
        <v>0.9</v>
      </c>
      <c r="G96" s="353">
        <v>1.02</v>
      </c>
      <c r="H96" s="353">
        <v>1.1399999999999999</v>
      </c>
      <c r="I96" s="353">
        <v>1.25</v>
      </c>
      <c r="J96" s="353">
        <v>1.35</v>
      </c>
      <c r="K96" s="353">
        <v>1.45</v>
      </c>
      <c r="L96" s="353">
        <v>1.54</v>
      </c>
      <c r="M96" s="353">
        <v>1.62</v>
      </c>
      <c r="N96" s="353">
        <v>1.68</v>
      </c>
      <c r="O96" s="353">
        <v>1.74</v>
      </c>
      <c r="P96" s="442">
        <v>1.79</v>
      </c>
      <c r="Q96" s="353">
        <v>1.83</v>
      </c>
      <c r="R96" s="353">
        <v>1.85</v>
      </c>
      <c r="S96" s="353">
        <v>1.88</v>
      </c>
      <c r="T96" s="353">
        <v>1.9</v>
      </c>
      <c r="U96" s="353">
        <v>1.93</v>
      </c>
      <c r="V96" s="353">
        <v>1.93</v>
      </c>
      <c r="W96" s="353">
        <v>1.94</v>
      </c>
      <c r="X96" s="353">
        <v>1.95</v>
      </c>
      <c r="Y96" s="353">
        <v>1.95</v>
      </c>
      <c r="Z96" s="353">
        <v>1.96</v>
      </c>
      <c r="AA96" s="353">
        <v>1.96</v>
      </c>
      <c r="AB96" s="353">
        <v>1.95</v>
      </c>
      <c r="AC96" s="353">
        <v>1.95</v>
      </c>
      <c r="AD96" s="353">
        <v>1.95</v>
      </c>
      <c r="AE96" s="353">
        <v>1.95</v>
      </c>
      <c r="AF96" s="353">
        <v>1.95</v>
      </c>
      <c r="AG96" s="353">
        <v>1.95</v>
      </c>
      <c r="AH96" s="353">
        <v>1.94</v>
      </c>
      <c r="AI96" s="353">
        <v>1.94</v>
      </c>
      <c r="AJ96" s="353">
        <v>1.94</v>
      </c>
      <c r="AK96" s="353">
        <v>1.94</v>
      </c>
      <c r="AL96" s="353">
        <v>1.94</v>
      </c>
      <c r="AM96" s="353">
        <v>1.94</v>
      </c>
      <c r="AN96" s="353">
        <v>1.93</v>
      </c>
      <c r="AO96" s="353">
        <v>1.93</v>
      </c>
      <c r="AP96" s="353">
        <v>1.93</v>
      </c>
      <c r="AQ96" s="353">
        <v>1.93</v>
      </c>
      <c r="AR96" s="353">
        <v>1.92</v>
      </c>
      <c r="AS96" s="353">
        <v>1.92</v>
      </c>
      <c r="AT96" s="353">
        <v>1.92</v>
      </c>
      <c r="AU96" s="353">
        <v>1.91</v>
      </c>
      <c r="AV96" s="353">
        <v>1.91</v>
      </c>
      <c r="AW96" s="353">
        <v>1.91</v>
      </c>
      <c r="AX96" s="353">
        <v>1.91</v>
      </c>
      <c r="AY96" s="353">
        <v>1.91</v>
      </c>
      <c r="BB96" s="353">
        <v>1.36</v>
      </c>
    </row>
    <row r="97" spans="1:54">
      <c r="A97" s="112">
        <v>44712</v>
      </c>
      <c r="B97" s="353">
        <v>0.53</v>
      </c>
      <c r="C97" s="353">
        <v>0.6</v>
      </c>
      <c r="D97" s="353">
        <v>0.68</v>
      </c>
      <c r="E97" s="353">
        <v>0.79</v>
      </c>
      <c r="F97" s="353">
        <v>0.9</v>
      </c>
      <c r="G97" s="353">
        <v>1.02</v>
      </c>
      <c r="H97" s="353">
        <v>1.1299999999999999</v>
      </c>
      <c r="I97" s="353">
        <v>1.24</v>
      </c>
      <c r="J97" s="353">
        <v>1.35</v>
      </c>
      <c r="K97" s="353">
        <v>1.45</v>
      </c>
      <c r="L97" s="353">
        <v>1.54</v>
      </c>
      <c r="M97" s="353">
        <v>1.61</v>
      </c>
      <c r="N97" s="353">
        <v>1.68</v>
      </c>
      <c r="O97" s="353">
        <v>1.74</v>
      </c>
      <c r="P97" s="442">
        <v>1.79</v>
      </c>
      <c r="Q97" s="353">
        <v>1.82</v>
      </c>
      <c r="R97" s="353">
        <v>1.85</v>
      </c>
      <c r="S97" s="353">
        <v>1.88</v>
      </c>
      <c r="T97" s="353">
        <v>1.9</v>
      </c>
      <c r="U97" s="353">
        <v>1.92</v>
      </c>
      <c r="V97" s="353">
        <v>1.93</v>
      </c>
      <c r="W97" s="353">
        <v>1.93</v>
      </c>
      <c r="X97" s="353">
        <v>1.94</v>
      </c>
      <c r="Y97" s="353">
        <v>1.95</v>
      </c>
      <c r="Z97" s="353">
        <v>1.95</v>
      </c>
      <c r="AA97" s="353">
        <v>1.95</v>
      </c>
      <c r="AB97" s="353">
        <v>1.95</v>
      </c>
      <c r="AC97" s="353">
        <v>1.95</v>
      </c>
      <c r="AD97" s="353">
        <v>1.94</v>
      </c>
      <c r="AE97" s="353">
        <v>1.94</v>
      </c>
      <c r="AF97" s="353">
        <v>1.94</v>
      </c>
      <c r="AG97" s="353">
        <v>1.94</v>
      </c>
      <c r="AH97" s="353">
        <v>1.94</v>
      </c>
      <c r="AI97" s="353">
        <v>1.93</v>
      </c>
      <c r="AJ97" s="353">
        <v>1.93</v>
      </c>
      <c r="AK97" s="353">
        <v>1.93</v>
      </c>
      <c r="AL97" s="353">
        <v>1.93</v>
      </c>
      <c r="AM97" s="353">
        <v>1.93</v>
      </c>
      <c r="AN97" s="353">
        <v>1.93</v>
      </c>
      <c r="AO97" s="353">
        <v>1.92</v>
      </c>
      <c r="AP97" s="353">
        <v>1.92</v>
      </c>
      <c r="AQ97" s="353">
        <v>1.92</v>
      </c>
      <c r="AR97" s="353">
        <v>1.91</v>
      </c>
      <c r="AS97" s="353">
        <v>1.91</v>
      </c>
      <c r="AT97" s="353">
        <v>1.91</v>
      </c>
      <c r="AU97" s="353">
        <v>1.91</v>
      </c>
      <c r="AV97" s="353">
        <v>1.9</v>
      </c>
      <c r="AW97" s="353">
        <v>1.9</v>
      </c>
      <c r="AX97" s="353">
        <v>1.9</v>
      </c>
      <c r="AY97" s="353">
        <v>1.9</v>
      </c>
      <c r="BB97" s="353">
        <v>1.37</v>
      </c>
    </row>
    <row r="98" spans="1:54">
      <c r="A98" s="109">
        <v>44742</v>
      </c>
      <c r="B98" s="353">
        <v>0.52</v>
      </c>
      <c r="C98" s="353">
        <v>0.6</v>
      </c>
      <c r="D98" s="353">
        <v>0.69</v>
      </c>
      <c r="E98" s="353">
        <v>0.79</v>
      </c>
      <c r="F98" s="353">
        <v>0.9</v>
      </c>
      <c r="G98" s="353">
        <v>1.02</v>
      </c>
      <c r="H98" s="353">
        <v>1.1299999999999999</v>
      </c>
      <c r="I98" s="353">
        <v>1.24</v>
      </c>
      <c r="J98" s="353">
        <v>1.35</v>
      </c>
      <c r="K98" s="353">
        <v>1.44</v>
      </c>
      <c r="L98" s="353">
        <v>1.53</v>
      </c>
      <c r="M98" s="353">
        <v>1.61</v>
      </c>
      <c r="N98" s="353">
        <v>1.68</v>
      </c>
      <c r="O98" s="353">
        <v>1.73</v>
      </c>
      <c r="P98" s="442">
        <v>1.78</v>
      </c>
      <c r="Q98" s="353">
        <v>1.82</v>
      </c>
      <c r="R98" s="353">
        <v>1.85</v>
      </c>
      <c r="S98" s="353">
        <v>1.87</v>
      </c>
      <c r="T98" s="353">
        <v>1.9</v>
      </c>
      <c r="U98" s="353">
        <v>1.92</v>
      </c>
      <c r="V98" s="353">
        <v>1.92</v>
      </c>
      <c r="W98" s="353">
        <v>1.93</v>
      </c>
      <c r="X98" s="353">
        <v>1.94</v>
      </c>
      <c r="Y98" s="353">
        <v>1.94</v>
      </c>
      <c r="Z98" s="353">
        <v>1.95</v>
      </c>
      <c r="AA98" s="353">
        <v>1.94</v>
      </c>
      <c r="AB98" s="353">
        <v>1.94</v>
      </c>
      <c r="AC98" s="353">
        <v>1.94</v>
      </c>
      <c r="AD98" s="353">
        <v>1.94</v>
      </c>
      <c r="AE98" s="353">
        <v>1.94</v>
      </c>
      <c r="AF98" s="353">
        <v>1.93</v>
      </c>
      <c r="AG98" s="353">
        <v>1.93</v>
      </c>
      <c r="AH98" s="353">
        <v>1.93</v>
      </c>
      <c r="AI98" s="353">
        <v>1.93</v>
      </c>
      <c r="AJ98" s="353">
        <v>1.92</v>
      </c>
      <c r="AK98" s="353">
        <v>1.92</v>
      </c>
      <c r="AL98" s="353">
        <v>1.92</v>
      </c>
      <c r="AM98" s="353">
        <v>1.92</v>
      </c>
      <c r="AN98" s="353">
        <v>1.92</v>
      </c>
      <c r="AO98" s="353">
        <v>1.92</v>
      </c>
      <c r="AP98" s="353">
        <v>1.91</v>
      </c>
      <c r="AQ98" s="353">
        <v>1.91</v>
      </c>
      <c r="AR98" s="353">
        <v>1.9</v>
      </c>
      <c r="AS98" s="353">
        <v>1.9</v>
      </c>
      <c r="AT98" s="353">
        <v>1.9</v>
      </c>
      <c r="AU98" s="353">
        <v>1.9</v>
      </c>
      <c r="AV98" s="353">
        <v>1.89</v>
      </c>
      <c r="AW98" s="353">
        <v>1.89</v>
      </c>
      <c r="AX98" s="353">
        <v>1.89</v>
      </c>
      <c r="AY98" s="353">
        <v>1.89</v>
      </c>
      <c r="BB98" s="353">
        <v>1.38</v>
      </c>
    </row>
    <row r="99" spans="1:54">
      <c r="A99" s="112">
        <v>44773</v>
      </c>
      <c r="B99" s="353">
        <v>0.52</v>
      </c>
      <c r="C99" s="353">
        <v>0.6</v>
      </c>
      <c r="D99" s="353">
        <v>0.69</v>
      </c>
      <c r="E99" s="353">
        <v>0.79</v>
      </c>
      <c r="F99" s="353">
        <v>0.9</v>
      </c>
      <c r="G99" s="353">
        <v>1.02</v>
      </c>
      <c r="H99" s="353">
        <v>1.1299999999999999</v>
      </c>
      <c r="I99" s="353">
        <v>1.24</v>
      </c>
      <c r="J99" s="353">
        <v>1.34</v>
      </c>
      <c r="K99" s="353">
        <v>1.44</v>
      </c>
      <c r="L99" s="353">
        <v>1.53</v>
      </c>
      <c r="M99" s="353">
        <v>1.6</v>
      </c>
      <c r="N99" s="353">
        <v>1.67</v>
      </c>
      <c r="O99" s="353">
        <v>1.73</v>
      </c>
      <c r="P99" s="442">
        <v>1.78</v>
      </c>
      <c r="Q99" s="353">
        <v>1.81</v>
      </c>
      <c r="R99" s="353">
        <v>1.84</v>
      </c>
      <c r="S99" s="353">
        <v>1.86</v>
      </c>
      <c r="T99" s="353">
        <v>1.89</v>
      </c>
      <c r="U99" s="353">
        <v>1.91</v>
      </c>
      <c r="V99" s="353">
        <v>1.91</v>
      </c>
      <c r="W99" s="353">
        <v>1.92</v>
      </c>
      <c r="X99" s="353">
        <v>1.93</v>
      </c>
      <c r="Y99" s="353">
        <v>1.93</v>
      </c>
      <c r="Z99" s="353">
        <v>1.93</v>
      </c>
      <c r="AA99" s="353">
        <v>1.93</v>
      </c>
      <c r="AB99" s="353">
        <v>1.93</v>
      </c>
      <c r="AC99" s="353">
        <v>1.93</v>
      </c>
      <c r="AD99" s="353">
        <v>1.93</v>
      </c>
      <c r="AE99" s="353">
        <v>1.93</v>
      </c>
      <c r="AF99" s="353">
        <v>1.92</v>
      </c>
      <c r="AG99" s="353">
        <v>1.92</v>
      </c>
      <c r="AH99" s="353">
        <v>1.92</v>
      </c>
      <c r="AI99" s="353">
        <v>1.91</v>
      </c>
      <c r="AJ99" s="353">
        <v>1.91</v>
      </c>
      <c r="AK99" s="353">
        <v>1.91</v>
      </c>
      <c r="AL99" s="353">
        <v>1.91</v>
      </c>
      <c r="AM99" s="353">
        <v>1.9</v>
      </c>
      <c r="AN99" s="353">
        <v>1.9</v>
      </c>
      <c r="AO99" s="353">
        <v>1.9</v>
      </c>
      <c r="AP99" s="353">
        <v>1.9</v>
      </c>
      <c r="AQ99" s="353">
        <v>1.89</v>
      </c>
      <c r="AR99" s="353">
        <v>1.89</v>
      </c>
      <c r="AS99" s="353">
        <v>1.89</v>
      </c>
      <c r="AT99" s="353">
        <v>1.88</v>
      </c>
      <c r="AU99" s="353">
        <v>1.88</v>
      </c>
      <c r="AV99" s="353">
        <v>1.88</v>
      </c>
      <c r="AW99" s="353">
        <v>1.87</v>
      </c>
      <c r="AX99" s="353">
        <v>1.87</v>
      </c>
      <c r="AY99" s="353">
        <v>1.87</v>
      </c>
      <c r="BB99" s="353">
        <v>1.38</v>
      </c>
    </row>
    <row r="100" spans="1:54">
      <c r="A100" s="766">
        <v>44804</v>
      </c>
      <c r="B100" s="353">
        <v>0.53</v>
      </c>
      <c r="C100" s="353">
        <v>0.61</v>
      </c>
      <c r="D100" s="353">
        <v>0.69</v>
      </c>
      <c r="E100" s="353">
        <v>0.8</v>
      </c>
      <c r="F100" s="353">
        <v>0.91</v>
      </c>
      <c r="G100" s="353">
        <v>1.02</v>
      </c>
      <c r="H100" s="353">
        <v>1.1299999999999999</v>
      </c>
      <c r="I100" s="353">
        <v>1.24</v>
      </c>
      <c r="J100" s="353">
        <v>1.34</v>
      </c>
      <c r="K100" s="353">
        <v>1.44</v>
      </c>
      <c r="L100" s="353">
        <v>1.53</v>
      </c>
      <c r="M100" s="353">
        <v>1.6</v>
      </c>
      <c r="N100" s="353">
        <v>1.67</v>
      </c>
      <c r="O100" s="353">
        <v>1.72</v>
      </c>
      <c r="P100" s="442">
        <v>1.77</v>
      </c>
      <c r="Q100" s="353">
        <v>1.81</v>
      </c>
      <c r="R100" s="353">
        <v>1.84</v>
      </c>
      <c r="S100" s="353">
        <v>1.86</v>
      </c>
      <c r="T100" s="353">
        <v>1.88</v>
      </c>
      <c r="U100" s="353">
        <v>1.9</v>
      </c>
      <c r="V100" s="353">
        <v>1.91</v>
      </c>
      <c r="W100" s="353">
        <v>1.92</v>
      </c>
      <c r="X100" s="353">
        <v>1.92</v>
      </c>
      <c r="Y100" s="353">
        <v>1.93</v>
      </c>
      <c r="Z100" s="353">
        <v>1.93</v>
      </c>
      <c r="AA100" s="353">
        <v>1.93</v>
      </c>
      <c r="AB100" s="353">
        <v>1.92</v>
      </c>
      <c r="AC100" s="353">
        <v>1.92</v>
      </c>
      <c r="AD100" s="353">
        <v>1.92</v>
      </c>
      <c r="AE100" s="353">
        <v>1.92</v>
      </c>
      <c r="AF100" s="353">
        <v>1.92</v>
      </c>
      <c r="AG100" s="353">
        <v>1.91</v>
      </c>
      <c r="AH100" s="353">
        <v>1.91</v>
      </c>
      <c r="AI100" s="353">
        <v>1.91</v>
      </c>
      <c r="AJ100" s="353">
        <v>1.9</v>
      </c>
      <c r="AK100" s="353">
        <v>1.9</v>
      </c>
      <c r="AL100" s="353">
        <v>1.9</v>
      </c>
      <c r="AM100" s="353">
        <v>1.9</v>
      </c>
      <c r="AN100" s="353">
        <v>1.89</v>
      </c>
      <c r="AO100" s="353">
        <v>1.89</v>
      </c>
      <c r="AP100" s="353">
        <v>1.89</v>
      </c>
      <c r="AQ100" s="353">
        <v>1.88</v>
      </c>
      <c r="AR100" s="353">
        <v>1.88</v>
      </c>
      <c r="AS100" s="353">
        <v>1.88</v>
      </c>
      <c r="AT100" s="353">
        <v>1.87</v>
      </c>
      <c r="AU100" s="353">
        <v>1.87</v>
      </c>
      <c r="AV100" s="353">
        <v>1.87</v>
      </c>
      <c r="AW100" s="353">
        <v>1.86</v>
      </c>
      <c r="AX100" s="353">
        <v>1.86</v>
      </c>
      <c r="AY100" s="353">
        <v>1.86</v>
      </c>
      <c r="BB100" s="71">
        <v>1.38</v>
      </c>
    </row>
    <row r="101" spans="1:54">
      <c r="A101" s="766">
        <v>44834</v>
      </c>
      <c r="B101" s="353">
        <v>0.54</v>
      </c>
      <c r="C101" s="353">
        <v>0.62</v>
      </c>
      <c r="D101" s="353">
        <v>0.71</v>
      </c>
      <c r="E101" s="353">
        <v>0.81</v>
      </c>
      <c r="F101" s="353">
        <v>0.92</v>
      </c>
      <c r="G101" s="353">
        <v>1.03</v>
      </c>
      <c r="H101" s="353">
        <v>1.1399999999999999</v>
      </c>
      <c r="I101" s="353">
        <v>1.25</v>
      </c>
      <c r="J101" s="353">
        <v>1.35</v>
      </c>
      <c r="K101" s="353">
        <v>1.45</v>
      </c>
      <c r="L101" s="353">
        <v>1.53</v>
      </c>
      <c r="M101" s="353">
        <v>1.61</v>
      </c>
      <c r="N101" s="353">
        <v>1.67</v>
      </c>
      <c r="O101" s="353">
        <v>1.73</v>
      </c>
      <c r="P101" s="442">
        <v>1.78</v>
      </c>
      <c r="Q101" s="353">
        <v>1.81</v>
      </c>
      <c r="R101" s="353">
        <v>1.84</v>
      </c>
      <c r="S101" s="353">
        <v>1.86</v>
      </c>
      <c r="T101" s="353">
        <v>1.88</v>
      </c>
      <c r="U101" s="353">
        <v>1.9</v>
      </c>
      <c r="V101" s="353">
        <v>1.91</v>
      </c>
      <c r="W101" s="353">
        <v>1.91</v>
      </c>
      <c r="X101" s="353">
        <v>1.92</v>
      </c>
      <c r="Y101" s="353">
        <v>1.92</v>
      </c>
      <c r="Z101" s="353">
        <v>1.93</v>
      </c>
      <c r="AA101" s="353">
        <v>1.92</v>
      </c>
      <c r="AB101" s="353">
        <v>1.92</v>
      </c>
      <c r="AC101" s="353">
        <v>1.92</v>
      </c>
      <c r="AD101" s="353">
        <v>1.92</v>
      </c>
      <c r="AE101" s="353">
        <v>1.91</v>
      </c>
      <c r="AF101" s="353">
        <v>1.91</v>
      </c>
      <c r="AG101" s="353">
        <v>1.91</v>
      </c>
      <c r="AH101" s="353">
        <v>1.9</v>
      </c>
      <c r="AI101" s="353">
        <v>1.9</v>
      </c>
      <c r="AJ101" s="353">
        <v>1.9</v>
      </c>
      <c r="AK101" s="353">
        <v>1.89</v>
      </c>
      <c r="AL101" s="353">
        <v>1.89</v>
      </c>
      <c r="AM101" s="353">
        <v>1.89</v>
      </c>
      <c r="AN101" s="353">
        <v>1.89</v>
      </c>
      <c r="AO101" s="353">
        <v>1.88</v>
      </c>
      <c r="AP101" s="353">
        <v>1.88</v>
      </c>
      <c r="AQ101" s="353">
        <v>1.87</v>
      </c>
      <c r="AR101" s="353">
        <v>1.87</v>
      </c>
      <c r="AS101" s="353">
        <v>1.87</v>
      </c>
      <c r="AT101" s="353">
        <v>1.86</v>
      </c>
      <c r="AU101" s="353">
        <v>1.86</v>
      </c>
      <c r="AV101" s="353">
        <v>1.85</v>
      </c>
      <c r="AW101" s="353">
        <v>1.85</v>
      </c>
      <c r="AX101" s="353">
        <v>1.85</v>
      </c>
      <c r="AY101" s="353">
        <v>1.84</v>
      </c>
    </row>
    <row r="102" spans="1:54">
      <c r="A102" s="766">
        <v>44865</v>
      </c>
      <c r="B102" s="353">
        <v>0.56000000000000005</v>
      </c>
      <c r="C102" s="353">
        <v>0.64</v>
      </c>
      <c r="D102" s="353">
        <v>0.73</v>
      </c>
      <c r="E102" s="353">
        <v>0.83</v>
      </c>
      <c r="F102" s="353">
        <v>0.93</v>
      </c>
      <c r="G102" s="353">
        <v>1.04</v>
      </c>
      <c r="H102" s="353">
        <v>1.1499999999999999</v>
      </c>
      <c r="I102" s="353">
        <v>1.26</v>
      </c>
      <c r="J102" s="353">
        <v>1.36</v>
      </c>
      <c r="K102" s="353">
        <v>1.45</v>
      </c>
      <c r="L102" s="353">
        <v>1.54</v>
      </c>
      <c r="M102" s="353">
        <v>1.61</v>
      </c>
      <c r="N102" s="353">
        <v>1.68</v>
      </c>
      <c r="O102" s="353">
        <v>1.73</v>
      </c>
      <c r="P102" s="442">
        <v>1.78</v>
      </c>
      <c r="Q102" s="353">
        <v>1.81</v>
      </c>
      <c r="R102" s="353">
        <v>1.84</v>
      </c>
      <c r="S102" s="353">
        <v>1.86</v>
      </c>
      <c r="T102" s="353">
        <v>1.88</v>
      </c>
      <c r="U102" s="353">
        <v>1.9</v>
      </c>
      <c r="V102" s="353">
        <v>1.91</v>
      </c>
      <c r="W102" s="353">
        <v>1.91</v>
      </c>
      <c r="X102" s="353">
        <v>1.92</v>
      </c>
      <c r="Y102" s="353">
        <v>1.92</v>
      </c>
      <c r="Z102" s="353">
        <v>1.92</v>
      </c>
      <c r="AA102" s="353">
        <v>1.92</v>
      </c>
      <c r="AB102" s="353">
        <v>1.92</v>
      </c>
      <c r="AC102" s="353">
        <v>1.91</v>
      </c>
      <c r="AD102" s="353">
        <v>1.91</v>
      </c>
      <c r="AE102" s="353">
        <v>1.91</v>
      </c>
      <c r="AF102" s="353">
        <v>1.91</v>
      </c>
      <c r="AG102" s="353">
        <v>1.9</v>
      </c>
      <c r="AH102" s="353">
        <v>1.9</v>
      </c>
      <c r="AI102" s="353">
        <v>1.89</v>
      </c>
      <c r="AJ102" s="353">
        <v>1.89</v>
      </c>
      <c r="AK102" s="353">
        <v>1.89</v>
      </c>
      <c r="AL102" s="353">
        <v>1.88</v>
      </c>
      <c r="AM102" s="353">
        <v>1.88</v>
      </c>
      <c r="AN102" s="353">
        <v>1.88</v>
      </c>
      <c r="AO102" s="353">
        <v>1.88</v>
      </c>
      <c r="AP102" s="353">
        <v>1.87</v>
      </c>
      <c r="AQ102" s="353">
        <v>1.87</v>
      </c>
      <c r="AR102" s="353">
        <v>1.86</v>
      </c>
      <c r="AS102" s="353">
        <v>1.86</v>
      </c>
      <c r="AT102" s="353">
        <v>1.85</v>
      </c>
      <c r="AU102" s="353">
        <v>1.85</v>
      </c>
      <c r="AV102" s="353">
        <v>1.84</v>
      </c>
      <c r="AW102" s="353">
        <v>1.84</v>
      </c>
      <c r="AX102" s="353">
        <v>1.84</v>
      </c>
      <c r="AY102" s="353">
        <v>1.83</v>
      </c>
    </row>
    <row r="103" spans="1:54">
      <c r="A103" s="766">
        <v>44895</v>
      </c>
      <c r="B103" s="353">
        <v>0.56999999999999995</v>
      </c>
      <c r="C103" s="353">
        <v>0.66</v>
      </c>
      <c r="D103" s="353">
        <v>0.74</v>
      </c>
      <c r="E103" s="353">
        <v>0.84</v>
      </c>
      <c r="F103" s="353">
        <v>0.94</v>
      </c>
      <c r="G103" s="353">
        <v>1.05</v>
      </c>
      <c r="H103" s="353">
        <v>1.1599999999999999</v>
      </c>
      <c r="I103" s="353">
        <v>1.26</v>
      </c>
      <c r="J103" s="353">
        <v>1.36</v>
      </c>
      <c r="K103" s="353">
        <v>1.46</v>
      </c>
      <c r="L103" s="353">
        <v>1.54</v>
      </c>
      <c r="M103" s="353">
        <v>1.61</v>
      </c>
      <c r="N103" s="353">
        <v>1.68</v>
      </c>
      <c r="O103" s="353">
        <v>1.73</v>
      </c>
      <c r="P103" s="442">
        <v>1.78</v>
      </c>
      <c r="Q103" s="353">
        <v>1.81</v>
      </c>
      <c r="R103" s="353">
        <v>1.84</v>
      </c>
      <c r="S103" s="353">
        <v>1.86</v>
      </c>
      <c r="T103" s="353">
        <v>1.88</v>
      </c>
      <c r="U103" s="353">
        <v>1.9</v>
      </c>
      <c r="V103" s="353">
        <v>1.91</v>
      </c>
      <c r="W103" s="353">
        <v>1.91</v>
      </c>
      <c r="X103" s="353">
        <v>1.91</v>
      </c>
      <c r="Y103" s="353">
        <v>1.92</v>
      </c>
      <c r="Z103" s="353">
        <v>1.92</v>
      </c>
      <c r="AA103" s="353">
        <v>1.91</v>
      </c>
      <c r="AB103" s="353">
        <v>1.91</v>
      </c>
      <c r="AC103" s="353">
        <v>1.91</v>
      </c>
      <c r="AD103" s="353">
        <v>1.9</v>
      </c>
      <c r="AE103" s="353">
        <v>1.9</v>
      </c>
      <c r="AF103" s="353">
        <v>1.9</v>
      </c>
      <c r="AG103" s="353">
        <v>1.89</v>
      </c>
      <c r="AH103" s="353">
        <v>1.89</v>
      </c>
      <c r="AI103" s="353">
        <v>1.88</v>
      </c>
      <c r="AJ103" s="353">
        <v>1.88</v>
      </c>
      <c r="AK103" s="353">
        <v>1.88</v>
      </c>
      <c r="AL103" s="353">
        <v>1.87</v>
      </c>
      <c r="AM103" s="353">
        <v>1.87</v>
      </c>
      <c r="AN103" s="353">
        <v>1.87</v>
      </c>
      <c r="AO103" s="353">
        <v>1.87</v>
      </c>
      <c r="AP103" s="353">
        <v>1.86</v>
      </c>
      <c r="AQ103" s="353">
        <v>1.85</v>
      </c>
      <c r="AR103" s="353">
        <v>1.85</v>
      </c>
      <c r="AS103" s="353">
        <v>1.84</v>
      </c>
      <c r="AT103" s="353">
        <v>1.84</v>
      </c>
      <c r="AU103" s="353">
        <v>1.84</v>
      </c>
      <c r="AV103" s="353">
        <v>1.83</v>
      </c>
      <c r="AW103" s="353">
        <v>1.83</v>
      </c>
      <c r="AX103" s="353">
        <v>1.82</v>
      </c>
      <c r="AY103" s="353">
        <v>1.82</v>
      </c>
    </row>
    <row r="104" spans="1:54">
      <c r="A104" s="766">
        <v>44926</v>
      </c>
      <c r="B104" s="353">
        <v>0.59</v>
      </c>
      <c r="C104" s="353">
        <v>0.68</v>
      </c>
      <c r="D104" s="353">
        <v>0.76</v>
      </c>
      <c r="E104" s="353">
        <v>0.86</v>
      </c>
      <c r="F104" s="353">
        <v>0.96</v>
      </c>
      <c r="G104" s="353">
        <v>1.07</v>
      </c>
      <c r="H104" s="353">
        <v>1.17</v>
      </c>
      <c r="I104" s="353">
        <v>1.27</v>
      </c>
      <c r="J104" s="353">
        <v>1.37</v>
      </c>
      <c r="K104" s="353">
        <v>1.47</v>
      </c>
      <c r="L104" s="353">
        <v>1.55</v>
      </c>
      <c r="M104" s="353">
        <v>1.62</v>
      </c>
      <c r="N104" s="353">
        <v>1.68</v>
      </c>
      <c r="O104" s="353">
        <v>1.74</v>
      </c>
      <c r="P104" s="442">
        <v>1.78</v>
      </c>
      <c r="Q104" s="353">
        <v>1.81</v>
      </c>
      <c r="R104" s="353">
        <v>1.84</v>
      </c>
      <c r="S104" s="353">
        <v>1.86</v>
      </c>
      <c r="T104" s="353">
        <v>1.88</v>
      </c>
      <c r="U104" s="353">
        <v>1.9</v>
      </c>
      <c r="V104" s="353">
        <v>1.91</v>
      </c>
      <c r="W104" s="353">
        <v>1.91</v>
      </c>
      <c r="X104" s="353">
        <v>1.91</v>
      </c>
      <c r="Y104" s="353">
        <v>1.91</v>
      </c>
      <c r="Z104" s="353">
        <v>1.92</v>
      </c>
      <c r="AA104" s="353">
        <v>1.91</v>
      </c>
      <c r="AB104" s="353">
        <v>1.91</v>
      </c>
      <c r="AC104" s="353">
        <v>1.9</v>
      </c>
      <c r="AD104" s="353">
        <v>1.9</v>
      </c>
      <c r="AE104" s="353">
        <v>1.9</v>
      </c>
      <c r="AF104" s="353">
        <v>1.89</v>
      </c>
      <c r="AG104" s="353">
        <v>1.89</v>
      </c>
      <c r="AH104" s="353">
        <v>1.88</v>
      </c>
      <c r="AI104" s="353">
        <v>1.88</v>
      </c>
      <c r="AJ104" s="353">
        <v>1.87</v>
      </c>
      <c r="AK104" s="353">
        <v>1.87</v>
      </c>
      <c r="AL104" s="353">
        <v>1.87</v>
      </c>
      <c r="AM104" s="353">
        <v>1.86</v>
      </c>
      <c r="AN104" s="353">
        <v>1.86</v>
      </c>
      <c r="AO104" s="353">
        <v>1.86</v>
      </c>
      <c r="AP104" s="353">
        <v>1.85</v>
      </c>
      <c r="AQ104" s="353">
        <v>1.85</v>
      </c>
      <c r="AR104" s="353">
        <v>1.84</v>
      </c>
      <c r="AS104" s="353">
        <v>1.84</v>
      </c>
      <c r="AT104" s="353">
        <v>1.83</v>
      </c>
      <c r="AU104" s="353">
        <v>1.83</v>
      </c>
      <c r="AV104" s="353">
        <v>1.82</v>
      </c>
      <c r="AW104" s="353">
        <v>1.82</v>
      </c>
      <c r="AX104" s="353">
        <v>1.81</v>
      </c>
      <c r="AY104" s="353">
        <v>1.81</v>
      </c>
      <c r="AZ104" s="500"/>
    </row>
    <row r="105" spans="1:54">
      <c r="A105" s="766">
        <v>44957</v>
      </c>
      <c r="B105" s="353">
        <v>0.62</v>
      </c>
      <c r="C105" s="353">
        <v>0.7</v>
      </c>
      <c r="D105" s="353">
        <v>0.77</v>
      </c>
      <c r="E105" s="353">
        <v>0.87</v>
      </c>
      <c r="F105" s="353">
        <v>0.97</v>
      </c>
      <c r="G105" s="353">
        <v>1.08</v>
      </c>
      <c r="H105" s="353">
        <v>1.18</v>
      </c>
      <c r="I105" s="353">
        <v>1.28</v>
      </c>
      <c r="J105" s="353">
        <v>1.38</v>
      </c>
      <c r="K105" s="353">
        <v>1.47</v>
      </c>
      <c r="L105" s="353">
        <v>1.55</v>
      </c>
      <c r="M105" s="353">
        <v>1.62</v>
      </c>
      <c r="N105" s="353">
        <v>1.69</v>
      </c>
      <c r="O105" s="353">
        <v>1.74</v>
      </c>
      <c r="P105" s="442">
        <v>1.78</v>
      </c>
      <c r="Q105" s="353">
        <v>1.81</v>
      </c>
      <c r="R105" s="353">
        <v>1.84</v>
      </c>
      <c r="S105" s="353">
        <v>1.86</v>
      </c>
      <c r="T105" s="353">
        <v>1.88</v>
      </c>
      <c r="U105" s="353">
        <v>1.9</v>
      </c>
      <c r="V105" s="353">
        <v>1.9</v>
      </c>
      <c r="W105" s="353">
        <v>1.91</v>
      </c>
      <c r="X105" s="353">
        <v>1.91</v>
      </c>
      <c r="Y105" s="353">
        <v>1.91</v>
      </c>
      <c r="Z105" s="353">
        <v>1.91</v>
      </c>
      <c r="AA105" s="353">
        <v>1.91</v>
      </c>
      <c r="AB105" s="353">
        <v>1.9</v>
      </c>
      <c r="AC105" s="353">
        <v>1.9</v>
      </c>
      <c r="AD105" s="353">
        <v>1.9</v>
      </c>
      <c r="AE105" s="353">
        <v>1.89</v>
      </c>
      <c r="AF105" s="353">
        <v>1.89</v>
      </c>
      <c r="AG105" s="353">
        <v>1.88</v>
      </c>
      <c r="AH105" s="353">
        <v>1.88</v>
      </c>
      <c r="AI105" s="353">
        <v>1.87</v>
      </c>
      <c r="AJ105" s="353">
        <v>1.87</v>
      </c>
      <c r="AK105" s="353">
        <v>1.86</v>
      </c>
      <c r="AL105" s="353">
        <v>1.86</v>
      </c>
      <c r="AM105" s="353">
        <v>1.86</v>
      </c>
      <c r="AN105" s="353">
        <v>1.85</v>
      </c>
      <c r="AO105" s="353">
        <v>1.85</v>
      </c>
      <c r="AP105" s="353">
        <v>1.84</v>
      </c>
      <c r="AQ105" s="353">
        <v>1.84</v>
      </c>
      <c r="AR105" s="353">
        <v>1.83</v>
      </c>
      <c r="AS105" s="353">
        <v>1.83</v>
      </c>
      <c r="AT105" s="353">
        <v>1.82</v>
      </c>
      <c r="AU105" s="353">
        <v>1.82</v>
      </c>
      <c r="AV105" s="353">
        <v>1.81</v>
      </c>
      <c r="AW105" s="353">
        <v>1.81</v>
      </c>
      <c r="AX105" s="353">
        <v>1.8</v>
      </c>
      <c r="AY105" s="353">
        <v>1.8</v>
      </c>
      <c r="AZ105" s="500"/>
    </row>
    <row r="106" spans="1:54">
      <c r="A106" s="766">
        <v>44985</v>
      </c>
      <c r="B106" s="353">
        <v>0.64</v>
      </c>
      <c r="C106" s="353">
        <v>0.72</v>
      </c>
      <c r="D106" s="353">
        <v>0.8</v>
      </c>
      <c r="E106" s="353">
        <v>0.89</v>
      </c>
      <c r="F106" s="353">
        <v>0.99</v>
      </c>
      <c r="G106" s="353">
        <v>1.0900000000000001</v>
      </c>
      <c r="H106" s="353">
        <v>1.19</v>
      </c>
      <c r="I106" s="353">
        <v>1.29</v>
      </c>
      <c r="J106" s="353">
        <v>1.39</v>
      </c>
      <c r="K106" s="353">
        <v>1.48</v>
      </c>
      <c r="L106" s="353">
        <v>1.56</v>
      </c>
      <c r="M106" s="353">
        <v>1.63</v>
      </c>
      <c r="N106" s="353">
        <v>1.69</v>
      </c>
      <c r="O106" s="353">
        <v>1.74</v>
      </c>
      <c r="P106" s="442">
        <v>1.79</v>
      </c>
      <c r="Q106" s="353">
        <v>1.82</v>
      </c>
      <c r="R106" s="353">
        <v>1.84</v>
      </c>
      <c r="S106" s="353">
        <v>1.86</v>
      </c>
      <c r="T106" s="353">
        <v>1.88</v>
      </c>
      <c r="U106" s="353">
        <v>1.9</v>
      </c>
      <c r="V106" s="353">
        <v>1.9</v>
      </c>
      <c r="W106" s="353">
        <v>1.91</v>
      </c>
      <c r="X106" s="353">
        <v>1.91</v>
      </c>
      <c r="Y106" s="353">
        <v>1.91</v>
      </c>
      <c r="Z106" s="353">
        <v>1.91</v>
      </c>
      <c r="AA106" s="353">
        <v>1.91</v>
      </c>
      <c r="AB106" s="353">
        <v>1.9</v>
      </c>
      <c r="AC106" s="353">
        <v>1.9</v>
      </c>
      <c r="AD106" s="353">
        <v>1.89</v>
      </c>
      <c r="AE106" s="353">
        <v>1.89</v>
      </c>
      <c r="AF106" s="353">
        <v>1.88</v>
      </c>
      <c r="AG106" s="353">
        <v>1.88</v>
      </c>
      <c r="AH106" s="353">
        <v>1.87</v>
      </c>
      <c r="AI106" s="353">
        <v>1.87</v>
      </c>
      <c r="AJ106" s="353">
        <v>1.86</v>
      </c>
      <c r="AK106" s="353">
        <v>1.86</v>
      </c>
      <c r="AL106" s="353">
        <v>1.85</v>
      </c>
      <c r="AM106" s="353">
        <v>1.85</v>
      </c>
      <c r="AN106" s="353">
        <v>1.85</v>
      </c>
      <c r="AO106" s="353">
        <v>1.84</v>
      </c>
      <c r="AP106" s="353">
        <v>1.84</v>
      </c>
      <c r="AQ106" s="353">
        <v>1.83</v>
      </c>
      <c r="AR106" s="353">
        <v>1.82</v>
      </c>
      <c r="AS106" s="353">
        <v>1.82</v>
      </c>
      <c r="AT106" s="353">
        <v>1.81</v>
      </c>
      <c r="AU106" s="353">
        <v>1.81</v>
      </c>
      <c r="AV106" s="353">
        <v>1.8</v>
      </c>
      <c r="AW106" s="353">
        <v>1.8</v>
      </c>
      <c r="AX106" s="353">
        <v>1.79</v>
      </c>
      <c r="AY106" s="353">
        <v>1.79</v>
      </c>
      <c r="AZ106" s="500"/>
    </row>
    <row r="107" spans="1:54">
      <c r="A107" s="766">
        <v>45016</v>
      </c>
      <c r="B107" s="353">
        <v>0.66</v>
      </c>
      <c r="C107" s="353">
        <v>0.74</v>
      </c>
      <c r="D107" s="353">
        <v>0.82</v>
      </c>
      <c r="E107" s="353">
        <v>0.91</v>
      </c>
      <c r="F107" s="353">
        <v>1</v>
      </c>
      <c r="G107" s="353">
        <v>1.1100000000000001</v>
      </c>
      <c r="H107" s="353">
        <v>1.2</v>
      </c>
      <c r="I107" s="353">
        <v>1.3</v>
      </c>
      <c r="J107" s="353">
        <v>1.4</v>
      </c>
      <c r="K107" s="353">
        <v>1.49</v>
      </c>
      <c r="L107" s="353">
        <v>1.57</v>
      </c>
      <c r="M107" s="353">
        <v>1.64</v>
      </c>
      <c r="N107" s="353">
        <v>1.7</v>
      </c>
      <c r="O107" s="353">
        <v>1.75</v>
      </c>
      <c r="P107" s="442">
        <v>1.79</v>
      </c>
      <c r="Q107" s="353">
        <v>1.82</v>
      </c>
      <c r="R107" s="353">
        <v>1.84</v>
      </c>
      <c r="S107" s="353">
        <v>1.86</v>
      </c>
      <c r="T107" s="353">
        <v>1.88</v>
      </c>
      <c r="U107" s="353">
        <v>1.9</v>
      </c>
      <c r="V107" s="353">
        <v>1.9</v>
      </c>
      <c r="W107" s="353">
        <v>1.91</v>
      </c>
      <c r="X107" s="353">
        <v>1.91</v>
      </c>
      <c r="Y107" s="353">
        <v>1.91</v>
      </c>
      <c r="Z107" s="353">
        <v>1.91</v>
      </c>
      <c r="AA107" s="353">
        <v>1.9</v>
      </c>
      <c r="AB107" s="353">
        <v>1.9</v>
      </c>
      <c r="AC107" s="353">
        <v>1.89</v>
      </c>
      <c r="AD107" s="353">
        <v>1.89</v>
      </c>
      <c r="AE107" s="353">
        <v>1.89</v>
      </c>
      <c r="AF107" s="353">
        <v>1.88</v>
      </c>
      <c r="AG107" s="353">
        <v>1.87</v>
      </c>
      <c r="AH107" s="353">
        <v>1.87</v>
      </c>
      <c r="AI107" s="353">
        <v>1.86</v>
      </c>
      <c r="AJ107" s="353">
        <v>1.86</v>
      </c>
      <c r="AK107" s="353">
        <v>1.85</v>
      </c>
      <c r="AL107" s="353">
        <v>1.85</v>
      </c>
      <c r="AM107" s="353">
        <v>1.85</v>
      </c>
      <c r="AN107" s="353">
        <v>1.84</v>
      </c>
      <c r="AO107" s="353">
        <v>1.84</v>
      </c>
      <c r="AP107" s="353">
        <v>1.83</v>
      </c>
      <c r="AQ107" s="353">
        <v>1.82</v>
      </c>
      <c r="AR107" s="353">
        <v>1.82</v>
      </c>
      <c r="AS107" s="353">
        <v>1.81</v>
      </c>
      <c r="AT107" s="353">
        <v>1.81</v>
      </c>
      <c r="AU107" s="353">
        <v>1.8</v>
      </c>
      <c r="AV107" s="353">
        <v>1.8</v>
      </c>
      <c r="AW107" s="353">
        <v>1.79</v>
      </c>
      <c r="AX107" s="353">
        <v>1.79</v>
      </c>
      <c r="AY107" s="353">
        <v>1.78</v>
      </c>
      <c r="AZ107" s="500"/>
    </row>
    <row r="108" spans="1:54">
      <c r="A108" s="766">
        <v>45046</v>
      </c>
      <c r="B108" s="353">
        <v>0.69</v>
      </c>
      <c r="C108" s="353">
        <v>0.76</v>
      </c>
      <c r="D108" s="353">
        <v>0.84</v>
      </c>
      <c r="E108" s="353">
        <v>0.92</v>
      </c>
      <c r="F108" s="353">
        <v>1.02</v>
      </c>
      <c r="G108" s="353">
        <v>1.1200000000000001</v>
      </c>
      <c r="H108" s="353">
        <v>1.22</v>
      </c>
      <c r="I108" s="353">
        <v>1.31</v>
      </c>
      <c r="J108" s="353">
        <v>1.41</v>
      </c>
      <c r="K108" s="353">
        <v>1.5</v>
      </c>
      <c r="L108" s="353">
        <v>1.58</v>
      </c>
      <c r="M108" s="353">
        <v>1.64</v>
      </c>
      <c r="N108" s="353">
        <v>1.7</v>
      </c>
      <c r="O108" s="353">
        <v>1.75</v>
      </c>
      <c r="P108" s="442">
        <v>1.8</v>
      </c>
      <c r="Q108" s="353">
        <v>1.82</v>
      </c>
      <c r="R108" s="353">
        <v>1.85</v>
      </c>
      <c r="S108" s="353">
        <v>1.87</v>
      </c>
      <c r="T108" s="353">
        <v>1.89</v>
      </c>
      <c r="U108" s="353">
        <v>1.9</v>
      </c>
      <c r="V108" s="353">
        <v>1.91</v>
      </c>
      <c r="W108" s="353">
        <v>1.91</v>
      </c>
      <c r="X108" s="353">
        <v>1.91</v>
      </c>
      <c r="Y108" s="353">
        <v>1.91</v>
      </c>
      <c r="Z108" s="353">
        <v>1.91</v>
      </c>
      <c r="AA108" s="353">
        <v>1.9</v>
      </c>
      <c r="AB108" s="353">
        <v>1.9</v>
      </c>
      <c r="AC108" s="353">
        <v>1.89</v>
      </c>
      <c r="AD108" s="353">
        <v>1.89</v>
      </c>
      <c r="AE108" s="353">
        <v>1.89</v>
      </c>
      <c r="AF108" s="353">
        <v>1.88</v>
      </c>
      <c r="AG108" s="353">
        <v>1.87</v>
      </c>
      <c r="AH108" s="353">
        <v>1.87</v>
      </c>
      <c r="AI108" s="353">
        <v>1.86</v>
      </c>
      <c r="AJ108" s="353">
        <v>1.86</v>
      </c>
      <c r="AK108" s="353">
        <v>1.85</v>
      </c>
      <c r="AL108" s="353">
        <v>1.85</v>
      </c>
      <c r="AM108" s="353">
        <v>1.84</v>
      </c>
      <c r="AN108" s="353">
        <v>1.84</v>
      </c>
      <c r="AO108" s="353">
        <v>1.83</v>
      </c>
      <c r="AP108" s="353">
        <v>1.83</v>
      </c>
      <c r="AQ108" s="353">
        <v>1.82</v>
      </c>
      <c r="AR108" s="353">
        <v>1.81</v>
      </c>
      <c r="AS108" s="353">
        <v>1.81</v>
      </c>
      <c r="AT108" s="353">
        <v>1.8</v>
      </c>
      <c r="AU108" s="353">
        <v>1.8</v>
      </c>
      <c r="AV108" s="353">
        <v>1.79</v>
      </c>
      <c r="AW108" s="353">
        <v>1.79</v>
      </c>
      <c r="AX108" s="353">
        <v>1.78</v>
      </c>
      <c r="AY108" s="353">
        <v>1.78</v>
      </c>
      <c r="AZ108" s="500"/>
    </row>
    <row r="109" spans="1:54">
      <c r="A109" s="766">
        <v>45077</v>
      </c>
      <c r="B109" s="353">
        <v>0.72</v>
      </c>
      <c r="C109" s="353">
        <v>0.79</v>
      </c>
      <c r="D109" s="353">
        <v>0.86</v>
      </c>
      <c r="E109" s="353">
        <v>0.94</v>
      </c>
      <c r="F109" s="353">
        <v>1.03</v>
      </c>
      <c r="G109" s="353">
        <v>1.1299999999999999</v>
      </c>
      <c r="H109" s="353">
        <v>1.23</v>
      </c>
      <c r="I109" s="353">
        <v>1.32</v>
      </c>
      <c r="J109" s="353">
        <v>1.41</v>
      </c>
      <c r="K109" s="353">
        <v>1.5</v>
      </c>
      <c r="L109" s="353">
        <v>1.58</v>
      </c>
      <c r="M109" s="353">
        <v>1.65</v>
      </c>
      <c r="N109" s="353">
        <v>1.71</v>
      </c>
      <c r="O109" s="353">
        <v>1.76</v>
      </c>
      <c r="P109" s="442">
        <v>1.8</v>
      </c>
      <c r="Q109" s="353">
        <v>1.83</v>
      </c>
      <c r="R109" s="353">
        <v>1.85</v>
      </c>
      <c r="S109" s="353">
        <v>1.87</v>
      </c>
      <c r="T109" s="353">
        <v>1.89</v>
      </c>
      <c r="U109" s="353">
        <v>1.9</v>
      </c>
      <c r="V109" s="353">
        <v>1.91</v>
      </c>
      <c r="W109" s="353">
        <v>1.91</v>
      </c>
      <c r="X109" s="353">
        <v>1.91</v>
      </c>
      <c r="Y109" s="353">
        <v>1.91</v>
      </c>
      <c r="Z109" s="353">
        <v>1.91</v>
      </c>
      <c r="AA109" s="353">
        <v>1.9</v>
      </c>
      <c r="AB109" s="353">
        <v>1.9</v>
      </c>
      <c r="AC109" s="353">
        <v>1.89</v>
      </c>
      <c r="AD109" s="353">
        <v>1.89</v>
      </c>
      <c r="AE109" s="353">
        <v>1.88</v>
      </c>
      <c r="AF109" s="353">
        <v>1.88</v>
      </c>
      <c r="AG109" s="353">
        <v>1.87</v>
      </c>
      <c r="AH109" s="353">
        <v>1.86</v>
      </c>
      <c r="AI109" s="353">
        <v>1.86</v>
      </c>
      <c r="AJ109" s="353">
        <v>1.85</v>
      </c>
      <c r="AK109" s="353">
        <v>1.85</v>
      </c>
      <c r="AL109" s="353">
        <v>1.84</v>
      </c>
      <c r="AM109" s="353">
        <v>1.84</v>
      </c>
      <c r="AN109" s="353">
        <v>1.83</v>
      </c>
      <c r="AO109" s="353">
        <v>1.83</v>
      </c>
      <c r="AP109" s="353">
        <v>1.82</v>
      </c>
      <c r="AQ109" s="353">
        <v>1.81</v>
      </c>
      <c r="AR109" s="353">
        <v>1.81</v>
      </c>
      <c r="AS109" s="353">
        <v>1.8</v>
      </c>
      <c r="AT109" s="353">
        <v>1.8</v>
      </c>
      <c r="AU109" s="353">
        <v>1.79</v>
      </c>
      <c r="AV109" s="353">
        <v>1.78</v>
      </c>
      <c r="AW109" s="353">
        <v>1.78</v>
      </c>
      <c r="AX109" s="353">
        <v>1.77</v>
      </c>
      <c r="AY109" s="353">
        <v>1.77</v>
      </c>
      <c r="AZ109" s="500"/>
    </row>
    <row r="110" spans="1:54">
      <c r="A110" s="766">
        <v>45107</v>
      </c>
      <c r="B110" s="353">
        <v>0.74</v>
      </c>
      <c r="C110" s="353">
        <v>0.81</v>
      </c>
      <c r="D110" s="353">
        <v>0.88</v>
      </c>
      <c r="E110" s="353">
        <v>0.96</v>
      </c>
      <c r="F110" s="353">
        <v>1.05</v>
      </c>
      <c r="G110" s="353">
        <v>1.1399999999999999</v>
      </c>
      <c r="H110" s="353">
        <v>1.24</v>
      </c>
      <c r="I110" s="353">
        <v>1.33</v>
      </c>
      <c r="J110" s="353">
        <v>1.42</v>
      </c>
      <c r="K110" s="353">
        <v>1.51</v>
      </c>
      <c r="L110" s="353">
        <v>1.59</v>
      </c>
      <c r="M110" s="353">
        <v>1.65</v>
      </c>
      <c r="N110" s="353">
        <v>1.71</v>
      </c>
      <c r="O110" s="353">
        <v>1.76</v>
      </c>
      <c r="P110" s="442">
        <v>1.8</v>
      </c>
      <c r="Q110" s="353">
        <v>1.83</v>
      </c>
      <c r="R110" s="353">
        <v>1.85</v>
      </c>
      <c r="S110" s="353">
        <v>1.87</v>
      </c>
      <c r="T110" s="353">
        <v>1.89</v>
      </c>
      <c r="U110" s="353">
        <v>1.9</v>
      </c>
      <c r="V110" s="353">
        <v>1.9</v>
      </c>
      <c r="W110" s="353">
        <v>1.91</v>
      </c>
      <c r="X110" s="353">
        <v>1.91</v>
      </c>
      <c r="Y110" s="353">
        <v>1.91</v>
      </c>
      <c r="Z110" s="353">
        <v>1.91</v>
      </c>
      <c r="AA110" s="353">
        <v>1.9</v>
      </c>
      <c r="AB110" s="353">
        <v>1.9</v>
      </c>
      <c r="AC110" s="353">
        <v>1.89</v>
      </c>
      <c r="AD110" s="353">
        <v>1.88</v>
      </c>
      <c r="AE110" s="353">
        <v>1.88</v>
      </c>
      <c r="AF110" s="353">
        <v>1.87</v>
      </c>
      <c r="AG110" s="353">
        <v>1.87</v>
      </c>
      <c r="AH110" s="353">
        <v>1.86</v>
      </c>
      <c r="AI110" s="353">
        <v>1.85</v>
      </c>
      <c r="AJ110" s="353">
        <v>1.85</v>
      </c>
      <c r="AK110" s="353">
        <v>1.84</v>
      </c>
      <c r="AL110" s="353">
        <v>1.84</v>
      </c>
      <c r="AM110" s="353">
        <v>1.83</v>
      </c>
      <c r="AN110" s="353">
        <v>1.83</v>
      </c>
      <c r="AO110" s="353">
        <v>1.82</v>
      </c>
      <c r="AP110" s="353">
        <v>1.82</v>
      </c>
      <c r="AQ110" s="353">
        <v>1.81</v>
      </c>
      <c r="AR110" s="353">
        <v>1.8</v>
      </c>
      <c r="AS110" s="353">
        <v>1.79</v>
      </c>
      <c r="AT110" s="353">
        <v>1.79</v>
      </c>
      <c r="AU110" s="353">
        <v>1.78</v>
      </c>
      <c r="AV110" s="353">
        <v>1.78</v>
      </c>
      <c r="AW110" s="353">
        <v>1.77</v>
      </c>
      <c r="AX110" s="353">
        <v>1.77</v>
      </c>
      <c r="AY110" s="353">
        <v>1.76</v>
      </c>
      <c r="AZ110" s="500"/>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41">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6">
        <v>45169</v>
      </c>
      <c r="B112" s="353">
        <v>0.8</v>
      </c>
      <c r="C112" s="353">
        <v>0.86</v>
      </c>
      <c r="D112" s="353">
        <v>0.92</v>
      </c>
      <c r="E112" s="353">
        <v>0.99</v>
      </c>
      <c r="F112" s="353">
        <v>1.08</v>
      </c>
      <c r="G112" s="353">
        <v>1.17</v>
      </c>
      <c r="H112" s="353">
        <v>1.26</v>
      </c>
      <c r="I112" s="353">
        <v>1.35</v>
      </c>
      <c r="J112" s="353">
        <v>1.44</v>
      </c>
      <c r="K112" s="353">
        <v>1.52</v>
      </c>
      <c r="L112" s="353">
        <v>1.6</v>
      </c>
      <c r="M112" s="353">
        <v>1.66</v>
      </c>
      <c r="N112" s="353">
        <v>1.72</v>
      </c>
      <c r="O112" s="353">
        <v>1.77</v>
      </c>
      <c r="P112" s="442">
        <v>1.81</v>
      </c>
      <c r="Q112" s="353">
        <v>1.83</v>
      </c>
      <c r="R112" s="353">
        <v>1.85</v>
      </c>
      <c r="S112" s="353">
        <v>1.87</v>
      </c>
      <c r="T112" s="353">
        <v>1.89</v>
      </c>
      <c r="U112" s="353">
        <v>1.9</v>
      </c>
      <c r="V112" s="353">
        <v>1.9</v>
      </c>
      <c r="W112" s="353">
        <v>1.9</v>
      </c>
      <c r="X112" s="353">
        <v>1.9</v>
      </c>
      <c r="Y112" s="353">
        <v>1.9</v>
      </c>
      <c r="Z112" s="353">
        <v>1.9</v>
      </c>
      <c r="AA112" s="353">
        <v>1.9</v>
      </c>
      <c r="AB112" s="353">
        <v>1.89</v>
      </c>
      <c r="AC112" s="353">
        <v>1.89</v>
      </c>
      <c r="AD112" s="353">
        <v>1.88</v>
      </c>
      <c r="AE112" s="353">
        <v>1.87</v>
      </c>
      <c r="AF112" s="353">
        <v>1.87</v>
      </c>
      <c r="AG112" s="353">
        <v>1.86</v>
      </c>
      <c r="AH112" s="353">
        <v>1.85</v>
      </c>
      <c r="AI112" s="353">
        <v>1.85</v>
      </c>
      <c r="AJ112" s="353">
        <v>1.84</v>
      </c>
      <c r="AK112" s="353">
        <v>1.83</v>
      </c>
      <c r="AL112" s="353">
        <v>1.83</v>
      </c>
      <c r="AM112" s="353">
        <v>1.82</v>
      </c>
      <c r="AN112" s="353">
        <v>1.82</v>
      </c>
      <c r="AO112" s="353">
        <v>1.81</v>
      </c>
      <c r="AP112" s="353">
        <v>1.81</v>
      </c>
      <c r="AQ112" s="353">
        <v>1.8</v>
      </c>
      <c r="AR112" s="353">
        <v>1.79</v>
      </c>
      <c r="AS112" s="353">
        <v>1.78</v>
      </c>
      <c r="AT112" s="353">
        <v>1.78</v>
      </c>
      <c r="AU112" s="353">
        <v>1.77</v>
      </c>
      <c r="AV112" s="353">
        <v>1.76</v>
      </c>
      <c r="AW112" s="353">
        <v>1.76</v>
      </c>
      <c r="AX112" s="353">
        <v>1.75</v>
      </c>
      <c r="AY112" s="353">
        <v>1.75</v>
      </c>
      <c r="AZ112" s="500"/>
    </row>
    <row r="113" spans="1:52">
      <c r="A113" s="766">
        <v>45199</v>
      </c>
      <c r="B113" s="353">
        <v>0.83</v>
      </c>
      <c r="C113" s="353">
        <v>0.89</v>
      </c>
      <c r="D113" s="353">
        <v>0.94</v>
      </c>
      <c r="E113" s="353">
        <v>1.01</v>
      </c>
      <c r="F113" s="353">
        <v>1.0900000000000001</v>
      </c>
      <c r="G113" s="353">
        <v>1.18</v>
      </c>
      <c r="H113" s="353">
        <v>1.27</v>
      </c>
      <c r="I113" s="353">
        <v>1.36</v>
      </c>
      <c r="J113" s="353">
        <v>1.45</v>
      </c>
      <c r="K113" s="353">
        <v>1.53</v>
      </c>
      <c r="L113" s="353">
        <v>1.61</v>
      </c>
      <c r="M113" s="353">
        <v>1.67</v>
      </c>
      <c r="N113" s="353">
        <v>1.72</v>
      </c>
      <c r="O113" s="353">
        <v>1.77</v>
      </c>
      <c r="P113" s="442">
        <v>1.81</v>
      </c>
      <c r="Q113" s="353">
        <v>1.84</v>
      </c>
      <c r="R113" s="353">
        <v>1.86</v>
      </c>
      <c r="S113" s="353">
        <v>1.88</v>
      </c>
      <c r="T113" s="353">
        <v>1.89</v>
      </c>
      <c r="U113" s="353">
        <v>1.91</v>
      </c>
      <c r="V113" s="353">
        <v>1.91</v>
      </c>
      <c r="W113" s="353">
        <v>1.91</v>
      </c>
      <c r="X113" s="353">
        <v>1.91</v>
      </c>
      <c r="Y113" s="353">
        <v>1.91</v>
      </c>
      <c r="Z113" s="353">
        <v>1.91</v>
      </c>
      <c r="AA113" s="353">
        <v>1.9</v>
      </c>
      <c r="AB113" s="353">
        <v>1.89</v>
      </c>
      <c r="AC113" s="353">
        <v>1.89</v>
      </c>
      <c r="AD113" s="353">
        <v>1.88</v>
      </c>
      <c r="AE113" s="353">
        <v>1.88</v>
      </c>
      <c r="AF113" s="353">
        <v>1.87</v>
      </c>
      <c r="AG113" s="353">
        <v>1.86</v>
      </c>
      <c r="AH113" s="353">
        <v>1.85</v>
      </c>
      <c r="AI113" s="353">
        <v>1.85</v>
      </c>
      <c r="AJ113" s="353">
        <v>1.84</v>
      </c>
      <c r="AK113" s="353">
        <v>1.83</v>
      </c>
      <c r="AL113" s="353">
        <v>1.83</v>
      </c>
      <c r="AM113" s="353">
        <v>1.82</v>
      </c>
      <c r="AN113" s="353">
        <v>1.82</v>
      </c>
      <c r="AO113" s="353">
        <v>1.81</v>
      </c>
      <c r="AP113" s="353">
        <v>1.8</v>
      </c>
      <c r="AQ113" s="353">
        <v>1.8</v>
      </c>
      <c r="AR113" s="353">
        <v>1.79</v>
      </c>
      <c r="AS113" s="353">
        <v>1.78</v>
      </c>
      <c r="AT113" s="353">
        <v>1.77</v>
      </c>
      <c r="AU113" s="353">
        <v>1.77</v>
      </c>
      <c r="AV113" s="353">
        <v>1.76</v>
      </c>
      <c r="AW113" s="353">
        <v>1.76</v>
      </c>
      <c r="AX113" s="353">
        <v>1.75</v>
      </c>
      <c r="AY113" s="353">
        <v>1.74</v>
      </c>
      <c r="AZ113" s="500"/>
    </row>
    <row r="114" spans="1:52">
      <c r="A114" s="766">
        <v>45230</v>
      </c>
      <c r="B114" s="353">
        <v>0.86</v>
      </c>
      <c r="C114" s="353">
        <v>0.91</v>
      </c>
      <c r="D114" s="353">
        <v>0.96</v>
      </c>
      <c r="E114" s="353">
        <v>1.03</v>
      </c>
      <c r="F114" s="353">
        <v>1.1100000000000001</v>
      </c>
      <c r="G114" s="353">
        <v>1.2</v>
      </c>
      <c r="H114" s="353">
        <v>1.28</v>
      </c>
      <c r="I114" s="353">
        <v>1.37</v>
      </c>
      <c r="J114" s="353">
        <v>1.46</v>
      </c>
      <c r="K114" s="353">
        <v>1.54</v>
      </c>
      <c r="L114" s="353">
        <v>1.62</v>
      </c>
      <c r="M114" s="353">
        <v>1.68</v>
      </c>
      <c r="N114" s="353">
        <v>1.73</v>
      </c>
      <c r="O114" s="353">
        <v>1.78</v>
      </c>
      <c r="P114" s="442">
        <v>1.82</v>
      </c>
      <c r="Q114" s="353">
        <v>1.84</v>
      </c>
      <c r="R114" s="353">
        <v>1.86</v>
      </c>
      <c r="S114" s="353">
        <v>1.88</v>
      </c>
      <c r="T114" s="353">
        <v>1.9</v>
      </c>
      <c r="U114" s="353">
        <v>1.91</v>
      </c>
      <c r="V114" s="353">
        <v>1.91</v>
      </c>
      <c r="W114" s="353">
        <v>1.91</v>
      </c>
      <c r="X114" s="353">
        <v>1.91</v>
      </c>
      <c r="Y114" s="353">
        <v>1.91</v>
      </c>
      <c r="Z114" s="353">
        <v>1.91</v>
      </c>
      <c r="AA114" s="353">
        <v>1.9</v>
      </c>
      <c r="AB114" s="353">
        <v>1.9</v>
      </c>
      <c r="AC114" s="353">
        <v>1.89</v>
      </c>
      <c r="AD114" s="353">
        <v>1.88</v>
      </c>
      <c r="AE114" s="353">
        <v>1.88</v>
      </c>
      <c r="AF114" s="353">
        <v>1.87</v>
      </c>
      <c r="AG114" s="353">
        <v>1.86</v>
      </c>
      <c r="AH114" s="353">
        <v>1.85</v>
      </c>
      <c r="AI114" s="353">
        <v>1.85</v>
      </c>
      <c r="AJ114" s="353">
        <v>1.84</v>
      </c>
      <c r="AK114" s="353">
        <v>1.83</v>
      </c>
      <c r="AL114" s="353">
        <v>1.83</v>
      </c>
      <c r="AM114" s="353">
        <v>1.82</v>
      </c>
      <c r="AN114" s="353">
        <v>1.82</v>
      </c>
      <c r="AO114" s="353">
        <v>1.81</v>
      </c>
      <c r="AP114" s="353">
        <v>1.8</v>
      </c>
      <c r="AQ114" s="353">
        <v>1.8</v>
      </c>
      <c r="AR114" s="353">
        <v>1.79</v>
      </c>
      <c r="AS114" s="353">
        <v>1.78</v>
      </c>
      <c r="AT114" s="353">
        <v>1.77</v>
      </c>
      <c r="AU114" s="353">
        <v>1.77</v>
      </c>
      <c r="AV114" s="353">
        <v>1.76</v>
      </c>
      <c r="AW114" s="353">
        <v>1.75</v>
      </c>
      <c r="AX114" s="353">
        <v>1.75</v>
      </c>
      <c r="AY114" s="353">
        <v>1.74</v>
      </c>
      <c r="AZ114" s="500"/>
    </row>
    <row r="115" spans="1:52">
      <c r="A115" s="766">
        <v>45260</v>
      </c>
      <c r="B115" s="353">
        <v>0.89</v>
      </c>
      <c r="C115" s="353">
        <v>0.93</v>
      </c>
      <c r="D115" s="353">
        <v>0.98</v>
      </c>
      <c r="E115" s="353">
        <v>1.05</v>
      </c>
      <c r="F115" s="353">
        <v>1.1200000000000001</v>
      </c>
      <c r="G115" s="353">
        <v>1.21</v>
      </c>
      <c r="H115" s="353">
        <v>1.29</v>
      </c>
      <c r="I115" s="353">
        <v>1.38</v>
      </c>
      <c r="J115" s="353">
        <v>1.46</v>
      </c>
      <c r="K115" s="353">
        <v>1.55</v>
      </c>
      <c r="L115" s="353">
        <v>1.62</v>
      </c>
      <c r="M115" s="353">
        <v>1.68</v>
      </c>
      <c r="N115" s="353">
        <v>1.74</v>
      </c>
      <c r="O115" s="353">
        <v>1.78</v>
      </c>
      <c r="P115" s="442">
        <v>1.82</v>
      </c>
      <c r="Q115" s="353">
        <v>1.85</v>
      </c>
      <c r="R115" s="353">
        <v>1.87</v>
      </c>
      <c r="S115" s="353">
        <v>1.88</v>
      </c>
      <c r="T115" s="353">
        <v>1.9</v>
      </c>
      <c r="U115" s="353">
        <v>1.91</v>
      </c>
      <c r="V115" s="353">
        <v>1.91</v>
      </c>
      <c r="W115" s="353">
        <v>1.91</v>
      </c>
      <c r="X115" s="353">
        <v>1.91</v>
      </c>
      <c r="Y115" s="353">
        <v>1.91</v>
      </c>
      <c r="Z115" s="353">
        <v>1.91</v>
      </c>
      <c r="AA115" s="353">
        <v>1.9</v>
      </c>
      <c r="AB115" s="353">
        <v>1.9</v>
      </c>
      <c r="AC115" s="353">
        <v>1.89</v>
      </c>
      <c r="AD115" s="353">
        <v>1.88</v>
      </c>
      <c r="AE115" s="353">
        <v>1.88</v>
      </c>
      <c r="AF115" s="353">
        <v>1.87</v>
      </c>
      <c r="AG115" s="353">
        <v>1.86</v>
      </c>
      <c r="AH115" s="353">
        <v>1.85</v>
      </c>
      <c r="AI115" s="353">
        <v>1.85</v>
      </c>
      <c r="AJ115" s="353">
        <v>1.84</v>
      </c>
      <c r="AK115" s="353">
        <v>1.83</v>
      </c>
      <c r="AL115" s="353">
        <v>1.83</v>
      </c>
      <c r="AM115" s="353">
        <v>1.82</v>
      </c>
      <c r="AN115" s="353">
        <v>1.82</v>
      </c>
      <c r="AO115" s="353">
        <v>1.81</v>
      </c>
      <c r="AP115" s="353">
        <v>1.8</v>
      </c>
      <c r="AQ115" s="353">
        <v>1.79</v>
      </c>
      <c r="AR115" s="353">
        <v>1.78</v>
      </c>
      <c r="AS115" s="353">
        <v>1.78</v>
      </c>
      <c r="AT115" s="353">
        <v>1.77</v>
      </c>
      <c r="AU115" s="353">
        <v>1.76</v>
      </c>
      <c r="AV115" s="353">
        <v>1.76</v>
      </c>
      <c r="AW115" s="353">
        <v>1.75</v>
      </c>
      <c r="AX115" s="353">
        <v>1.74</v>
      </c>
      <c r="AY115" s="353">
        <v>1.74</v>
      </c>
      <c r="AZ115" s="500"/>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41">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6">
        <v>45322</v>
      </c>
      <c r="B117" s="353">
        <v>0.94</v>
      </c>
      <c r="C117" s="353">
        <v>0.97</v>
      </c>
      <c r="D117" s="353">
        <v>1.01</v>
      </c>
      <c r="E117" s="353">
        <v>1.07</v>
      </c>
      <c r="F117" s="353">
        <v>1.1399999999999999</v>
      </c>
      <c r="G117" s="353">
        <v>1.23</v>
      </c>
      <c r="H117" s="353">
        <v>1.31</v>
      </c>
      <c r="I117" s="353">
        <v>1.39</v>
      </c>
      <c r="J117" s="353">
        <v>1.47</v>
      </c>
      <c r="K117" s="353">
        <v>1.55</v>
      </c>
      <c r="L117" s="353">
        <v>1.62</v>
      </c>
      <c r="M117" s="353">
        <v>1.68</v>
      </c>
      <c r="N117" s="353">
        <v>1.74</v>
      </c>
      <c r="O117" s="353">
        <v>1.78</v>
      </c>
      <c r="P117" s="442">
        <v>1.82</v>
      </c>
      <c r="Q117" s="353">
        <v>1.84</v>
      </c>
      <c r="R117" s="353">
        <v>1.86</v>
      </c>
      <c r="S117" s="353">
        <v>1.88</v>
      </c>
      <c r="T117" s="353">
        <v>1.89</v>
      </c>
      <c r="U117" s="353">
        <v>1.91</v>
      </c>
      <c r="V117" s="353">
        <v>1.91</v>
      </c>
      <c r="W117" s="353">
        <v>1.91</v>
      </c>
      <c r="X117" s="353">
        <v>1.9</v>
      </c>
      <c r="Y117" s="353">
        <v>1.9</v>
      </c>
      <c r="Z117" s="353">
        <v>1.9</v>
      </c>
      <c r="AA117" s="353">
        <v>1.89</v>
      </c>
      <c r="AB117" s="353">
        <v>1.89</v>
      </c>
      <c r="AC117" s="353">
        <v>1.88</v>
      </c>
      <c r="AD117" s="353">
        <v>1.87</v>
      </c>
      <c r="AE117" s="353">
        <v>1.87</v>
      </c>
      <c r="AF117" s="353">
        <v>1.86</v>
      </c>
      <c r="AG117" s="353">
        <v>1.85</v>
      </c>
      <c r="AH117" s="353">
        <v>1.84</v>
      </c>
      <c r="AI117" s="353">
        <v>1.84</v>
      </c>
      <c r="AJ117" s="353">
        <v>1.83</v>
      </c>
      <c r="AK117" s="353">
        <v>1.82</v>
      </c>
      <c r="AL117" s="353">
        <v>1.82</v>
      </c>
      <c r="AM117" s="353">
        <v>1.81</v>
      </c>
      <c r="AN117" s="353">
        <v>1.8</v>
      </c>
      <c r="AO117" s="353">
        <v>1.8</v>
      </c>
      <c r="AP117" s="353">
        <v>1.79</v>
      </c>
      <c r="AQ117" s="353">
        <v>1.78</v>
      </c>
      <c r="AR117" s="353">
        <v>1.77</v>
      </c>
      <c r="AS117" s="353">
        <v>1.76</v>
      </c>
      <c r="AT117" s="353">
        <v>1.76</v>
      </c>
      <c r="AU117" s="353">
        <v>1.75</v>
      </c>
      <c r="AV117" s="353">
        <v>1.74</v>
      </c>
      <c r="AW117" s="353">
        <v>1.73</v>
      </c>
      <c r="AX117" s="353">
        <v>1.73</v>
      </c>
      <c r="AY117" s="353">
        <v>1.72</v>
      </c>
    </row>
    <row r="118" spans="1:52">
      <c r="A118" s="766">
        <v>45351</v>
      </c>
      <c r="B118" s="353">
        <v>0.96</v>
      </c>
      <c r="C118" s="353">
        <v>0.99</v>
      </c>
      <c r="D118" s="353">
        <v>1.03</v>
      </c>
      <c r="E118" s="353">
        <v>1.0900000000000001</v>
      </c>
      <c r="F118" s="353">
        <v>1.1599999999999999</v>
      </c>
      <c r="G118" s="353">
        <v>1.24</v>
      </c>
      <c r="H118" s="353">
        <v>1.32</v>
      </c>
      <c r="I118" s="353">
        <v>1.4</v>
      </c>
      <c r="J118" s="353">
        <v>1.48</v>
      </c>
      <c r="K118" s="353">
        <v>1.56</v>
      </c>
      <c r="L118" s="353">
        <v>1.63</v>
      </c>
      <c r="M118" s="353">
        <v>1.69</v>
      </c>
      <c r="N118" s="353">
        <v>1.74</v>
      </c>
      <c r="O118" s="353">
        <v>1.79</v>
      </c>
      <c r="P118" s="442">
        <v>1.82</v>
      </c>
      <c r="Q118" s="353">
        <v>1.85</v>
      </c>
      <c r="R118" s="353">
        <v>1.86</v>
      </c>
      <c r="S118" s="353">
        <v>1.88</v>
      </c>
      <c r="T118" s="353">
        <v>1.89</v>
      </c>
      <c r="U118" s="353">
        <v>1.91</v>
      </c>
      <c r="V118" s="353">
        <v>1.91</v>
      </c>
      <c r="W118" s="353">
        <v>1.91</v>
      </c>
      <c r="X118" s="353">
        <v>1.9</v>
      </c>
      <c r="Y118" s="353">
        <v>1.9</v>
      </c>
      <c r="Z118" s="353">
        <v>1.9</v>
      </c>
      <c r="AA118" s="353">
        <v>1.89</v>
      </c>
      <c r="AB118" s="353">
        <v>1.89</v>
      </c>
      <c r="AC118" s="353">
        <v>1.88</v>
      </c>
      <c r="AD118" s="353">
        <v>1.87</v>
      </c>
      <c r="AE118" s="353">
        <v>1.86</v>
      </c>
      <c r="AF118" s="353">
        <v>1.86</v>
      </c>
      <c r="AG118" s="353">
        <v>1.85</v>
      </c>
      <c r="AH118" s="353">
        <v>1.84</v>
      </c>
      <c r="AI118" s="353">
        <v>1.83</v>
      </c>
      <c r="AJ118" s="353">
        <v>1.82</v>
      </c>
      <c r="AK118" s="353">
        <v>1.82</v>
      </c>
      <c r="AL118" s="353">
        <v>1.81</v>
      </c>
      <c r="AM118" s="353">
        <v>1.81</v>
      </c>
      <c r="AN118" s="353">
        <v>1.8</v>
      </c>
      <c r="AO118" s="353">
        <v>1.79</v>
      </c>
      <c r="AP118" s="353">
        <v>1.78</v>
      </c>
      <c r="AQ118" s="353">
        <v>1.78</v>
      </c>
      <c r="AR118" s="353">
        <v>1.77</v>
      </c>
      <c r="AS118" s="353">
        <v>1.76</v>
      </c>
      <c r="AT118" s="353">
        <v>1.75</v>
      </c>
      <c r="AU118" s="353">
        <v>1.74</v>
      </c>
      <c r="AV118" s="353">
        <v>1.74</v>
      </c>
      <c r="AW118" s="353">
        <v>1.73</v>
      </c>
      <c r="AX118" s="353">
        <v>1.72</v>
      </c>
      <c r="AY118" s="353">
        <v>1.72</v>
      </c>
    </row>
    <row r="119" spans="1:52">
      <c r="A119" s="766">
        <v>45382</v>
      </c>
      <c r="B119" s="353">
        <v>0.99</v>
      </c>
      <c r="C119" s="353">
        <v>1.01</v>
      </c>
      <c r="D119" s="353">
        <v>1.05</v>
      </c>
      <c r="E119" s="353">
        <v>1.1000000000000001</v>
      </c>
      <c r="F119" s="353">
        <v>1.17</v>
      </c>
      <c r="G119" s="353">
        <v>1.25</v>
      </c>
      <c r="H119" s="353">
        <v>1.33</v>
      </c>
      <c r="I119" s="353">
        <v>1.41</v>
      </c>
      <c r="J119" s="353">
        <v>1.49</v>
      </c>
      <c r="K119" s="353">
        <v>1.56</v>
      </c>
      <c r="L119" s="353">
        <v>1.63</v>
      </c>
      <c r="M119" s="353">
        <v>1.69</v>
      </c>
      <c r="N119" s="353">
        <v>1.74</v>
      </c>
      <c r="O119" s="353">
        <v>1.79</v>
      </c>
      <c r="P119" s="442">
        <v>1.83</v>
      </c>
      <c r="Q119" s="353">
        <v>1.85</v>
      </c>
      <c r="R119" s="353">
        <v>1.86</v>
      </c>
      <c r="S119" s="353">
        <v>1.88</v>
      </c>
      <c r="T119" s="353">
        <v>1.89</v>
      </c>
      <c r="U119" s="353">
        <v>1.91</v>
      </c>
      <c r="V119" s="353">
        <v>1.9</v>
      </c>
      <c r="W119" s="353">
        <v>1.9</v>
      </c>
      <c r="X119" s="353">
        <v>1.9</v>
      </c>
      <c r="Y119" s="353">
        <v>1.9</v>
      </c>
      <c r="Z119" s="353">
        <v>1.9</v>
      </c>
      <c r="AA119" s="353">
        <v>1.89</v>
      </c>
      <c r="AB119" s="353">
        <v>1.88</v>
      </c>
      <c r="AC119" s="353">
        <v>1.87</v>
      </c>
      <c r="AD119" s="353">
        <v>1.87</v>
      </c>
      <c r="AE119" s="353">
        <v>1.86</v>
      </c>
      <c r="AF119" s="353">
        <v>1.85</v>
      </c>
      <c r="AG119" s="353">
        <v>1.84</v>
      </c>
      <c r="AH119" s="353">
        <v>1.83</v>
      </c>
      <c r="AI119" s="353">
        <v>1.83</v>
      </c>
      <c r="AJ119" s="353">
        <v>1.82</v>
      </c>
      <c r="AK119" s="353">
        <v>1.81</v>
      </c>
      <c r="AL119" s="353">
        <v>1.81</v>
      </c>
      <c r="AM119" s="353">
        <v>1.8</v>
      </c>
      <c r="AN119" s="353">
        <v>1.79</v>
      </c>
      <c r="AO119" s="353">
        <v>1.79</v>
      </c>
      <c r="AP119" s="353">
        <v>1.78</v>
      </c>
      <c r="AQ119" s="353">
        <v>1.77</v>
      </c>
      <c r="AR119" s="353">
        <v>1.76</v>
      </c>
      <c r="AS119" s="353">
        <v>1.75</v>
      </c>
      <c r="AT119" s="353">
        <v>1.74</v>
      </c>
      <c r="AU119" s="353">
        <v>1.74</v>
      </c>
      <c r="AV119" s="353">
        <v>1.73</v>
      </c>
      <c r="AW119" s="353">
        <v>1.72</v>
      </c>
      <c r="AX119" s="353">
        <v>1.71</v>
      </c>
      <c r="AY119" s="353">
        <v>1.71</v>
      </c>
    </row>
    <row r="120" spans="1:52">
      <c r="A120" s="766">
        <v>45412</v>
      </c>
      <c r="B120" s="353">
        <v>1.02</v>
      </c>
      <c r="C120" s="353">
        <v>1.04</v>
      </c>
      <c r="D120" s="353">
        <v>1.07</v>
      </c>
      <c r="E120" s="353">
        <v>1.1200000000000001</v>
      </c>
      <c r="F120" s="353">
        <v>1.19</v>
      </c>
      <c r="G120" s="353">
        <v>1.26</v>
      </c>
      <c r="H120" s="353">
        <v>1.34</v>
      </c>
      <c r="I120" s="353">
        <v>1.42</v>
      </c>
      <c r="J120" s="353">
        <v>1.49</v>
      </c>
      <c r="K120" s="353">
        <v>1.57</v>
      </c>
      <c r="L120" s="353">
        <v>1.64</v>
      </c>
      <c r="M120" s="353">
        <v>1.7</v>
      </c>
      <c r="N120" s="353">
        <v>1.75</v>
      </c>
      <c r="O120" s="353">
        <v>1.79</v>
      </c>
      <c r="P120" s="442">
        <v>1.83</v>
      </c>
      <c r="Q120" s="353">
        <v>1.85</v>
      </c>
      <c r="R120" s="353">
        <v>1.87</v>
      </c>
      <c r="S120" s="353">
        <v>1.88</v>
      </c>
      <c r="T120" s="353">
        <v>1.9</v>
      </c>
      <c r="U120" s="353">
        <v>1.91</v>
      </c>
      <c r="V120" s="353">
        <v>1.91</v>
      </c>
      <c r="W120" s="353">
        <v>1.9</v>
      </c>
      <c r="X120" s="353">
        <v>1.9</v>
      </c>
      <c r="Y120" s="353">
        <v>1.9</v>
      </c>
      <c r="Z120" s="353">
        <v>1.9</v>
      </c>
      <c r="AA120" s="353">
        <v>1.89</v>
      </c>
      <c r="AB120" s="353">
        <v>1.88</v>
      </c>
      <c r="AC120" s="353">
        <v>1.87</v>
      </c>
      <c r="AD120" s="353">
        <v>1.87</v>
      </c>
      <c r="AE120" s="353">
        <v>1.86</v>
      </c>
      <c r="AF120" s="353">
        <v>1.85</v>
      </c>
      <c r="AG120" s="353">
        <v>1.84</v>
      </c>
      <c r="AH120" s="353">
        <v>1.83</v>
      </c>
      <c r="AI120" s="353">
        <v>1.82</v>
      </c>
      <c r="AJ120" s="353">
        <v>1.82</v>
      </c>
      <c r="AK120" s="353">
        <v>1.81</v>
      </c>
      <c r="AL120" s="353">
        <v>1.8</v>
      </c>
      <c r="AM120" s="353">
        <v>1.8</v>
      </c>
      <c r="AN120" s="353">
        <v>1.79</v>
      </c>
      <c r="AO120" s="353">
        <v>1.79</v>
      </c>
      <c r="AP120" s="353">
        <v>1.78</v>
      </c>
      <c r="AQ120" s="353">
        <v>1.77</v>
      </c>
      <c r="AR120" s="353">
        <v>1.76</v>
      </c>
      <c r="AS120" s="353">
        <v>1.75</v>
      </c>
      <c r="AT120" s="353">
        <v>1.74</v>
      </c>
      <c r="AU120" s="353">
        <v>1.73</v>
      </c>
      <c r="AV120" s="353">
        <v>1.72</v>
      </c>
      <c r="AW120" s="353">
        <v>1.72</v>
      </c>
      <c r="AX120" s="353">
        <v>1.71</v>
      </c>
      <c r="AY120" s="353">
        <v>1.7</v>
      </c>
    </row>
    <row r="121" spans="1:52">
      <c r="A121" s="766">
        <v>45443</v>
      </c>
      <c r="B121" s="353">
        <v>1.04</v>
      </c>
      <c r="C121" s="353">
        <v>1.06</v>
      </c>
      <c r="D121" s="353">
        <v>1.0900000000000001</v>
      </c>
      <c r="E121" s="353">
        <v>1.1399999999999999</v>
      </c>
      <c r="F121" s="353">
        <v>1.2</v>
      </c>
      <c r="G121" s="353">
        <v>1.28</v>
      </c>
      <c r="H121" s="353">
        <v>1.35</v>
      </c>
      <c r="I121" s="353">
        <v>1.43</v>
      </c>
      <c r="J121" s="353">
        <v>1.51</v>
      </c>
      <c r="K121" s="353">
        <v>1.58</v>
      </c>
      <c r="L121" s="353">
        <v>1.65</v>
      </c>
      <c r="M121" s="353">
        <v>1.7</v>
      </c>
      <c r="N121" s="353">
        <v>1.75</v>
      </c>
      <c r="O121" s="353">
        <v>1.8</v>
      </c>
      <c r="P121" s="442">
        <v>1.83</v>
      </c>
      <c r="Q121" s="353">
        <v>1.85</v>
      </c>
      <c r="R121" s="353">
        <v>1.87</v>
      </c>
      <c r="S121" s="353">
        <v>1.89</v>
      </c>
      <c r="T121" s="353">
        <v>1.9</v>
      </c>
      <c r="U121" s="353">
        <v>1.91</v>
      </c>
      <c r="V121" s="353">
        <v>1.91</v>
      </c>
      <c r="W121" s="353">
        <v>1.91</v>
      </c>
      <c r="X121" s="353">
        <v>1.9</v>
      </c>
      <c r="Y121" s="353">
        <v>1.9</v>
      </c>
      <c r="Z121" s="353">
        <v>1.9</v>
      </c>
      <c r="AA121" s="353">
        <v>1.89</v>
      </c>
      <c r="AB121" s="353">
        <v>1.88</v>
      </c>
      <c r="AC121" s="353">
        <v>1.87</v>
      </c>
      <c r="AD121" s="353">
        <v>1.87</v>
      </c>
      <c r="AE121" s="353">
        <v>1.86</v>
      </c>
      <c r="AF121" s="353">
        <v>1.85</v>
      </c>
      <c r="AG121" s="353">
        <v>1.84</v>
      </c>
      <c r="AH121" s="353">
        <v>1.83</v>
      </c>
      <c r="AI121" s="353">
        <v>1.82</v>
      </c>
      <c r="AJ121" s="353">
        <v>1.82</v>
      </c>
      <c r="AK121" s="353">
        <v>1.81</v>
      </c>
      <c r="AL121" s="353">
        <v>1.8</v>
      </c>
      <c r="AM121" s="353">
        <v>1.8</v>
      </c>
      <c r="AN121" s="353">
        <v>1.79</v>
      </c>
      <c r="AO121" s="353">
        <v>1.78</v>
      </c>
      <c r="AP121" s="353">
        <v>1.77</v>
      </c>
      <c r="AQ121" s="353">
        <v>1.76</v>
      </c>
      <c r="AR121" s="353">
        <v>1.75</v>
      </c>
      <c r="AS121" s="353">
        <v>1.75</v>
      </c>
      <c r="AT121" s="353">
        <v>1.74</v>
      </c>
      <c r="AU121" s="353">
        <v>1.73</v>
      </c>
      <c r="AV121" s="353">
        <v>1.72</v>
      </c>
      <c r="AW121" s="353">
        <v>1.71</v>
      </c>
      <c r="AX121" s="353">
        <v>1.71</v>
      </c>
      <c r="AY121" s="353">
        <v>1.7</v>
      </c>
    </row>
    <row r="122" spans="1:52">
      <c r="A122" s="766">
        <v>45473</v>
      </c>
      <c r="B122" s="353">
        <v>1.07</v>
      </c>
      <c r="C122" s="353">
        <v>1.0900000000000001</v>
      </c>
      <c r="D122" s="353">
        <v>1.1100000000000001</v>
      </c>
      <c r="E122" s="353">
        <v>1.1599999999999999</v>
      </c>
      <c r="F122" s="353">
        <v>1.22</v>
      </c>
      <c r="G122" s="353">
        <v>1.29</v>
      </c>
      <c r="H122" s="353">
        <v>1.37</v>
      </c>
      <c r="I122" s="353">
        <v>1.44</v>
      </c>
      <c r="J122" s="353">
        <v>1.52</v>
      </c>
      <c r="K122" s="353">
        <v>1.59</v>
      </c>
      <c r="L122" s="353">
        <v>1.66</v>
      </c>
      <c r="M122" s="353">
        <v>1.71</v>
      </c>
      <c r="N122" s="353">
        <v>1.76</v>
      </c>
      <c r="O122" s="353">
        <v>1.8</v>
      </c>
      <c r="P122" s="442">
        <v>1.84</v>
      </c>
      <c r="Q122" s="353">
        <v>1.86</v>
      </c>
      <c r="R122" s="353">
        <v>1.88</v>
      </c>
      <c r="S122" s="353">
        <v>1.89</v>
      </c>
      <c r="T122" s="353">
        <v>1.9</v>
      </c>
      <c r="U122" s="353">
        <v>1.92</v>
      </c>
      <c r="V122" s="353">
        <v>1.91</v>
      </c>
      <c r="W122" s="353">
        <v>1.91</v>
      </c>
      <c r="X122" s="353">
        <v>1.91</v>
      </c>
      <c r="Y122" s="353">
        <v>1.9</v>
      </c>
      <c r="Z122" s="353">
        <v>1.9</v>
      </c>
      <c r="AA122" s="353">
        <v>1.89</v>
      </c>
      <c r="AB122" s="353">
        <v>1.88</v>
      </c>
      <c r="AC122" s="353">
        <v>1.88</v>
      </c>
      <c r="AD122" s="353">
        <v>1.87</v>
      </c>
      <c r="AE122" s="353">
        <v>1.86</v>
      </c>
      <c r="AF122" s="353">
        <v>1.85</v>
      </c>
      <c r="AG122" s="353">
        <v>1.84</v>
      </c>
      <c r="AH122" s="353">
        <v>1.83</v>
      </c>
      <c r="AI122" s="353">
        <v>1.82</v>
      </c>
      <c r="AJ122" s="353">
        <v>1.82</v>
      </c>
      <c r="AK122" s="353">
        <v>1.81</v>
      </c>
      <c r="AL122" s="353">
        <v>1.8</v>
      </c>
      <c r="AM122" s="353">
        <v>1.79</v>
      </c>
      <c r="AN122" s="353">
        <v>1.79</v>
      </c>
      <c r="AO122" s="353">
        <v>1.78</v>
      </c>
      <c r="AP122" s="353">
        <v>1.77</v>
      </c>
      <c r="AQ122" s="353">
        <v>1.76</v>
      </c>
      <c r="AR122" s="353">
        <v>1.75</v>
      </c>
      <c r="AS122" s="353">
        <v>1.74</v>
      </c>
      <c r="AT122" s="353">
        <v>1.73</v>
      </c>
      <c r="AU122" s="353">
        <v>1.73</v>
      </c>
      <c r="AV122" s="353">
        <v>1.72</v>
      </c>
      <c r="AW122" s="353">
        <v>1.71</v>
      </c>
      <c r="AX122" s="353">
        <v>1.7</v>
      </c>
      <c r="AY122" s="353">
        <v>1.7</v>
      </c>
    </row>
    <row r="123" spans="1:52">
      <c r="A123" s="766">
        <v>45504</v>
      </c>
      <c r="B123" s="353">
        <v>1.0900000000000001</v>
      </c>
      <c r="C123" s="353">
        <v>1.1100000000000001</v>
      </c>
      <c r="D123" s="353">
        <v>1.1299999999999999</v>
      </c>
      <c r="E123" s="353">
        <v>1.18</v>
      </c>
      <c r="F123" s="353">
        <v>1.24</v>
      </c>
      <c r="G123" s="353">
        <v>1.31</v>
      </c>
      <c r="H123" s="353">
        <v>1.38</v>
      </c>
      <c r="I123" s="353">
        <v>1.45</v>
      </c>
      <c r="J123" s="353">
        <v>1.53</v>
      </c>
      <c r="K123" s="353">
        <v>1.6</v>
      </c>
      <c r="L123" s="353">
        <v>1.67</v>
      </c>
      <c r="M123" s="353">
        <v>1.72</v>
      </c>
      <c r="N123" s="353">
        <v>1.77</v>
      </c>
      <c r="O123" s="353">
        <v>1.81</v>
      </c>
      <c r="P123" s="442">
        <v>1.85</v>
      </c>
      <c r="Q123" s="353">
        <v>1.87</v>
      </c>
      <c r="R123" s="353">
        <v>1.88</v>
      </c>
      <c r="S123" s="353">
        <v>1.9</v>
      </c>
      <c r="T123" s="353">
        <v>1.91</v>
      </c>
      <c r="U123" s="353">
        <v>1.92</v>
      </c>
      <c r="V123" s="353">
        <v>1.92</v>
      </c>
      <c r="W123" s="353">
        <v>1.91</v>
      </c>
      <c r="X123" s="353">
        <v>1.91</v>
      </c>
      <c r="Y123" s="353">
        <v>1.91</v>
      </c>
      <c r="Z123" s="353">
        <v>1.9</v>
      </c>
      <c r="AA123" s="353">
        <v>1.89</v>
      </c>
      <c r="AB123" s="353">
        <v>1.89</v>
      </c>
      <c r="AC123" s="353">
        <v>1.88</v>
      </c>
      <c r="AD123" s="353">
        <v>1.87</v>
      </c>
      <c r="AE123" s="353">
        <v>1.86</v>
      </c>
      <c r="AF123" s="353">
        <v>1.85</v>
      </c>
      <c r="AG123" s="353">
        <v>1.84</v>
      </c>
      <c r="AH123" s="353">
        <v>1.83</v>
      </c>
      <c r="AI123" s="353">
        <v>1.82</v>
      </c>
      <c r="AJ123" s="353">
        <v>1.82</v>
      </c>
      <c r="AK123" s="353">
        <v>1.81</v>
      </c>
      <c r="AL123" s="353">
        <v>1.8</v>
      </c>
      <c r="AM123" s="353">
        <v>1.79</v>
      </c>
      <c r="AN123" s="353">
        <v>1.79</v>
      </c>
      <c r="AO123" s="353">
        <v>1.78</v>
      </c>
      <c r="AP123" s="353">
        <v>1.77</v>
      </c>
      <c r="AQ123" s="353">
        <v>1.76</v>
      </c>
      <c r="AR123" s="353">
        <v>1.75</v>
      </c>
      <c r="AS123" s="353">
        <v>1.74</v>
      </c>
      <c r="AT123" s="353">
        <v>1.73</v>
      </c>
      <c r="AU123" s="353">
        <v>1.72</v>
      </c>
      <c r="AV123" s="353">
        <v>1.72</v>
      </c>
      <c r="AW123" s="353">
        <v>1.71</v>
      </c>
      <c r="AX123" s="353">
        <v>1.7</v>
      </c>
      <c r="AY123" s="353">
        <v>1.69</v>
      </c>
    </row>
    <row r="124" spans="1:52">
      <c r="A124" s="766">
        <v>45535</v>
      </c>
      <c r="B124" s="353">
        <v>1.1200000000000001</v>
      </c>
      <c r="C124" s="353">
        <v>1.1299999999999999</v>
      </c>
      <c r="D124" s="353">
        <v>1.1499999999999999</v>
      </c>
      <c r="E124" s="353">
        <v>1.2</v>
      </c>
      <c r="F124" s="353">
        <v>1.26</v>
      </c>
      <c r="G124" s="353">
        <v>1.32</v>
      </c>
      <c r="H124" s="353">
        <v>1.39</v>
      </c>
      <c r="I124" s="353">
        <v>1.47</v>
      </c>
      <c r="J124" s="353">
        <v>1.54</v>
      </c>
      <c r="K124" s="353">
        <v>1.61</v>
      </c>
      <c r="L124" s="353">
        <v>1.68</v>
      </c>
      <c r="M124" s="353">
        <v>1.73</v>
      </c>
      <c r="N124" s="353">
        <v>1.78</v>
      </c>
      <c r="O124" s="353">
        <v>1.82</v>
      </c>
      <c r="P124" s="442">
        <v>1.86</v>
      </c>
      <c r="Q124" s="353">
        <v>1.88</v>
      </c>
      <c r="R124" s="353">
        <v>1.89</v>
      </c>
      <c r="S124" s="353">
        <v>1.9</v>
      </c>
      <c r="T124" s="353">
        <v>1.92</v>
      </c>
      <c r="U124" s="353">
        <v>1.93</v>
      </c>
      <c r="V124" s="353">
        <v>1.92</v>
      </c>
      <c r="W124" s="353">
        <v>1.92</v>
      </c>
      <c r="X124" s="353">
        <v>1.92</v>
      </c>
      <c r="Y124" s="353">
        <v>1.91</v>
      </c>
      <c r="Z124" s="353">
        <v>1.91</v>
      </c>
      <c r="AA124" s="353">
        <v>1.9</v>
      </c>
      <c r="AB124" s="353">
        <v>1.89</v>
      </c>
      <c r="AC124" s="353">
        <v>1.88</v>
      </c>
      <c r="AD124" s="353">
        <v>1.87</v>
      </c>
      <c r="AE124" s="353">
        <v>1.87</v>
      </c>
      <c r="AF124" s="353">
        <v>1.86</v>
      </c>
      <c r="AG124" s="353">
        <v>1.85</v>
      </c>
      <c r="AH124" s="353">
        <v>1.84</v>
      </c>
      <c r="AI124" s="353">
        <v>1.83</v>
      </c>
      <c r="AJ124" s="353">
        <v>1.82</v>
      </c>
      <c r="AK124" s="353">
        <v>1.81</v>
      </c>
      <c r="AL124" s="353">
        <v>1.8</v>
      </c>
      <c r="AM124" s="353">
        <v>1.8</v>
      </c>
      <c r="AN124" s="353">
        <v>1.79</v>
      </c>
      <c r="AO124" s="353">
        <v>1.78</v>
      </c>
      <c r="AP124" s="353">
        <v>1.77</v>
      </c>
      <c r="AQ124" s="353">
        <v>1.76</v>
      </c>
      <c r="AR124" s="353">
        <v>1.75</v>
      </c>
      <c r="AS124" s="353">
        <v>1.74</v>
      </c>
      <c r="AT124" s="353">
        <v>1.73</v>
      </c>
      <c r="AU124" s="353">
        <v>1.73</v>
      </c>
      <c r="AV124" s="353">
        <v>1.72</v>
      </c>
      <c r="AW124" s="353">
        <v>1.71</v>
      </c>
      <c r="AX124" s="353">
        <v>1.7</v>
      </c>
      <c r="AY124" s="353">
        <v>1.7</v>
      </c>
    </row>
    <row r="125" spans="1:52">
      <c r="A125" s="766">
        <v>45565</v>
      </c>
      <c r="B125" s="353">
        <v>1.1399999999999999</v>
      </c>
      <c r="C125" s="353">
        <v>1.1499999999999999</v>
      </c>
      <c r="D125" s="353">
        <v>1.17</v>
      </c>
      <c r="E125" s="353">
        <v>1.21</v>
      </c>
      <c r="F125" s="353">
        <v>1.27</v>
      </c>
      <c r="G125" s="353">
        <v>1.34</v>
      </c>
      <c r="H125" s="353">
        <v>1.41</v>
      </c>
      <c r="I125" s="353">
        <v>1.48</v>
      </c>
      <c r="J125" s="353">
        <v>1.55</v>
      </c>
      <c r="K125" s="353">
        <v>1.62</v>
      </c>
      <c r="L125" s="353">
        <v>1.69</v>
      </c>
      <c r="M125" s="353">
        <v>1.74</v>
      </c>
      <c r="N125" s="353">
        <v>1.79</v>
      </c>
      <c r="O125" s="353">
        <v>1.83</v>
      </c>
      <c r="P125" s="442">
        <v>1.87</v>
      </c>
      <c r="Q125" s="353">
        <v>1.88</v>
      </c>
      <c r="R125" s="353">
        <v>1.9</v>
      </c>
      <c r="S125" s="353">
        <v>1.91</v>
      </c>
      <c r="T125" s="353">
        <v>1.92</v>
      </c>
      <c r="U125" s="353">
        <v>1.93</v>
      </c>
      <c r="V125" s="353">
        <v>1.93</v>
      </c>
      <c r="W125" s="353">
        <v>1.93</v>
      </c>
      <c r="X125" s="353">
        <v>1.92</v>
      </c>
      <c r="Y125" s="353">
        <v>1.92</v>
      </c>
      <c r="Z125" s="353">
        <v>1.91</v>
      </c>
      <c r="AA125" s="353">
        <v>1.9</v>
      </c>
      <c r="AB125" s="353">
        <v>1.89</v>
      </c>
      <c r="AC125" s="353">
        <v>1.89</v>
      </c>
      <c r="AD125" s="353">
        <v>1.88</v>
      </c>
      <c r="AE125" s="353">
        <v>1.87</v>
      </c>
      <c r="AF125" s="353">
        <v>1.86</v>
      </c>
      <c r="AG125" s="353">
        <v>1.85</v>
      </c>
      <c r="AH125" s="353">
        <v>1.84</v>
      </c>
      <c r="AI125" s="353">
        <v>1.83</v>
      </c>
      <c r="AJ125" s="353">
        <v>1.82</v>
      </c>
      <c r="AK125" s="353">
        <v>1.81</v>
      </c>
      <c r="AL125" s="353">
        <v>1.81</v>
      </c>
      <c r="AM125" s="353">
        <v>1.8</v>
      </c>
      <c r="AN125" s="353">
        <v>1.79</v>
      </c>
      <c r="AO125" s="353">
        <v>1.79</v>
      </c>
      <c r="AP125" s="353">
        <v>1.77</v>
      </c>
      <c r="AQ125" s="353">
        <v>1.76</v>
      </c>
      <c r="AR125" s="353">
        <v>1.75</v>
      </c>
      <c r="AS125" s="353">
        <v>1.74</v>
      </c>
      <c r="AT125" s="353">
        <v>1.74</v>
      </c>
      <c r="AU125" s="353">
        <v>1.73</v>
      </c>
      <c r="AV125" s="353">
        <v>1.72</v>
      </c>
      <c r="AW125" s="353">
        <v>1.71</v>
      </c>
      <c r="AX125" s="353">
        <v>1.7</v>
      </c>
      <c r="AY125" s="353">
        <v>1.7</v>
      </c>
    </row>
    <row r="126" spans="1:52">
      <c r="A126" s="766">
        <v>45596</v>
      </c>
      <c r="B126" s="353">
        <v>1.1599999999999999</v>
      </c>
      <c r="C126" s="353">
        <v>1.17</v>
      </c>
      <c r="D126" s="353">
        <v>1.19</v>
      </c>
      <c r="E126" s="353">
        <v>1.23</v>
      </c>
      <c r="F126" s="353">
        <v>1.29</v>
      </c>
      <c r="G126" s="353">
        <v>1.36</v>
      </c>
      <c r="H126" s="353">
        <v>1.42</v>
      </c>
      <c r="I126" s="353">
        <v>1.5</v>
      </c>
      <c r="J126" s="353">
        <v>1.57</v>
      </c>
      <c r="K126" s="353">
        <v>1.64</v>
      </c>
      <c r="L126" s="353">
        <v>1.7</v>
      </c>
      <c r="M126" s="353">
        <v>1.75</v>
      </c>
      <c r="N126" s="353">
        <v>1.8</v>
      </c>
      <c r="O126" s="353">
        <v>1.84</v>
      </c>
      <c r="P126" s="442">
        <v>1.88</v>
      </c>
      <c r="Q126" s="353">
        <v>1.89</v>
      </c>
      <c r="R126" s="353">
        <v>1.91</v>
      </c>
      <c r="S126" s="353">
        <v>1.92</v>
      </c>
      <c r="T126" s="353">
        <v>1.93</v>
      </c>
      <c r="U126" s="353">
        <v>1.94</v>
      </c>
      <c r="V126" s="353">
        <v>1.94</v>
      </c>
      <c r="W126" s="353">
        <v>1.93</v>
      </c>
      <c r="X126" s="353">
        <v>1.93</v>
      </c>
      <c r="Y126" s="353">
        <v>1.92</v>
      </c>
      <c r="Z126" s="353">
        <v>1.92</v>
      </c>
      <c r="AA126" s="353">
        <v>1.91</v>
      </c>
      <c r="AB126" s="353">
        <v>1.9</v>
      </c>
      <c r="AC126" s="353">
        <v>1.89</v>
      </c>
      <c r="AD126" s="353">
        <v>1.88</v>
      </c>
      <c r="AE126" s="353">
        <v>1.87</v>
      </c>
      <c r="AF126" s="353">
        <v>1.86</v>
      </c>
      <c r="AG126" s="353">
        <v>1.85</v>
      </c>
      <c r="AH126" s="353">
        <v>1.84</v>
      </c>
      <c r="AI126" s="353">
        <v>1.83</v>
      </c>
      <c r="AJ126" s="353">
        <v>1.82</v>
      </c>
      <c r="AK126" s="353">
        <v>1.82</v>
      </c>
      <c r="AL126" s="353">
        <v>1.81</v>
      </c>
      <c r="AM126" s="353">
        <v>1.8</v>
      </c>
      <c r="AN126" s="353">
        <v>1.79</v>
      </c>
      <c r="AO126" s="353">
        <v>1.79</v>
      </c>
      <c r="AP126" s="353">
        <v>1.78</v>
      </c>
      <c r="AQ126" s="353">
        <v>1.77</v>
      </c>
      <c r="AR126" s="353">
        <v>1.76</v>
      </c>
      <c r="AS126" s="353">
        <v>1.75</v>
      </c>
      <c r="AT126" s="353">
        <v>1.74</v>
      </c>
      <c r="AU126" s="353">
        <v>1.73</v>
      </c>
      <c r="AV126" s="353">
        <v>1.72</v>
      </c>
      <c r="AW126" s="353">
        <v>1.71</v>
      </c>
      <c r="AX126" s="353">
        <v>1.7</v>
      </c>
      <c r="AY126" s="353">
        <v>1.69</v>
      </c>
    </row>
    <row r="127" spans="1:52">
      <c r="A127" s="766">
        <v>45626</v>
      </c>
      <c r="B127" s="353">
        <v>1.18</v>
      </c>
      <c r="C127" s="353">
        <v>1.18</v>
      </c>
      <c r="D127" s="353">
        <v>1.2</v>
      </c>
      <c r="E127" s="353">
        <v>1.25</v>
      </c>
      <c r="F127" s="353">
        <v>1.31</v>
      </c>
      <c r="G127" s="353">
        <v>1.37</v>
      </c>
      <c r="H127" s="353">
        <v>1.44</v>
      </c>
      <c r="I127" s="353">
        <v>1.51</v>
      </c>
      <c r="J127" s="353">
        <v>1.58</v>
      </c>
      <c r="K127" s="353">
        <v>1.65</v>
      </c>
      <c r="L127" s="353">
        <v>1.71</v>
      </c>
      <c r="M127" s="353">
        <v>1.76</v>
      </c>
      <c r="N127" s="353">
        <v>1.81</v>
      </c>
      <c r="O127" s="353">
        <v>1.85</v>
      </c>
      <c r="P127" s="353">
        <v>1.88</v>
      </c>
      <c r="Q127" s="353">
        <v>1.9</v>
      </c>
      <c r="R127" s="353">
        <v>1.91</v>
      </c>
      <c r="S127" s="353">
        <v>1.93</v>
      </c>
      <c r="T127" s="353">
        <v>1.94</v>
      </c>
      <c r="U127" s="353">
        <v>1.95</v>
      </c>
      <c r="V127" s="353">
        <v>1.94</v>
      </c>
      <c r="W127" s="353">
        <v>1.94</v>
      </c>
      <c r="X127" s="353">
        <v>1.93</v>
      </c>
      <c r="Y127" s="353">
        <v>1.93</v>
      </c>
      <c r="Z127" s="353">
        <v>1.92</v>
      </c>
      <c r="AA127" s="353">
        <v>1.91</v>
      </c>
      <c r="AB127" s="353">
        <v>1.9</v>
      </c>
      <c r="AC127" s="353">
        <v>1.89</v>
      </c>
      <c r="AD127" s="353">
        <v>1.89</v>
      </c>
      <c r="AE127" s="353">
        <v>1.88</v>
      </c>
      <c r="AF127" s="353">
        <v>1.87</v>
      </c>
      <c r="AG127" s="353">
        <v>1.86</v>
      </c>
      <c r="AH127" s="353">
        <v>1.85</v>
      </c>
      <c r="AI127" s="353">
        <v>1.84</v>
      </c>
      <c r="AJ127" s="353">
        <v>1.83</v>
      </c>
      <c r="AK127" s="353">
        <v>1.82</v>
      </c>
      <c r="AL127" s="353">
        <v>1.81</v>
      </c>
      <c r="AM127" s="353">
        <v>1.8</v>
      </c>
      <c r="AN127" s="353">
        <v>1.8</v>
      </c>
      <c r="AO127" s="353">
        <v>1.79</v>
      </c>
      <c r="AP127" s="353">
        <v>1.78</v>
      </c>
      <c r="AQ127" s="353">
        <v>1.77</v>
      </c>
      <c r="AR127" s="353">
        <v>1.76</v>
      </c>
      <c r="AS127" s="353">
        <v>1.75</v>
      </c>
      <c r="AT127" s="353">
        <v>1.74</v>
      </c>
      <c r="AU127" s="353">
        <v>1.73</v>
      </c>
      <c r="AV127" s="353">
        <v>1.72</v>
      </c>
      <c r="AW127" s="353">
        <v>1.71</v>
      </c>
      <c r="AX127" s="353">
        <v>1.7</v>
      </c>
      <c r="AY127" s="353">
        <v>1.7</v>
      </c>
    </row>
    <row r="128" spans="1:52">
      <c r="A128" s="766">
        <v>45657</v>
      </c>
      <c r="B128" s="353">
        <v>1.2</v>
      </c>
      <c r="C128" s="353">
        <v>1.2</v>
      </c>
      <c r="D128" s="353">
        <v>1.22</v>
      </c>
      <c r="E128" s="353">
        <v>1.27</v>
      </c>
      <c r="F128" s="353">
        <v>1.32</v>
      </c>
      <c r="G128" s="353">
        <v>1.39</v>
      </c>
      <c r="H128" s="353">
        <v>1.46</v>
      </c>
      <c r="I128" s="353">
        <v>1.53</v>
      </c>
      <c r="J128" s="353">
        <v>1.6</v>
      </c>
      <c r="K128" s="353">
        <v>1.66</v>
      </c>
      <c r="L128" s="353">
        <v>1.73</v>
      </c>
      <c r="M128" s="353">
        <v>1.78</v>
      </c>
      <c r="N128" s="353">
        <v>1.82</v>
      </c>
      <c r="O128" s="353">
        <v>1.86</v>
      </c>
      <c r="P128" s="353">
        <v>1.9</v>
      </c>
      <c r="Q128" s="353">
        <v>1.91</v>
      </c>
      <c r="R128" s="353">
        <v>1.93</v>
      </c>
      <c r="S128" s="353">
        <v>1.94</v>
      </c>
      <c r="T128" s="353">
        <v>1.95</v>
      </c>
      <c r="U128" s="353">
        <v>1.96</v>
      </c>
      <c r="V128" s="353">
        <v>1.95</v>
      </c>
      <c r="W128" s="353">
        <v>1.95</v>
      </c>
      <c r="X128" s="353">
        <v>1.94</v>
      </c>
      <c r="Y128" s="353">
        <v>1.94</v>
      </c>
      <c r="Z128" s="353">
        <v>1.93</v>
      </c>
      <c r="AA128" s="353">
        <v>1.92</v>
      </c>
      <c r="AB128" s="353">
        <v>1.91</v>
      </c>
      <c r="AC128" s="353">
        <v>1.9</v>
      </c>
      <c r="AD128" s="353">
        <v>1.89</v>
      </c>
      <c r="AE128" s="353">
        <v>1.88</v>
      </c>
      <c r="AF128" s="353">
        <v>1.87</v>
      </c>
      <c r="AG128" s="353">
        <v>1.86</v>
      </c>
      <c r="AH128" s="353">
        <v>1.85</v>
      </c>
      <c r="AI128" s="353">
        <v>1.84</v>
      </c>
      <c r="AJ128" s="353">
        <v>1.83</v>
      </c>
      <c r="AK128" s="353">
        <v>1.82</v>
      </c>
      <c r="AL128" s="353">
        <v>1.82</v>
      </c>
      <c r="AM128" s="353">
        <v>1.81</v>
      </c>
      <c r="AN128" s="353">
        <v>1.8</v>
      </c>
      <c r="AO128" s="353">
        <v>1.79</v>
      </c>
      <c r="AP128" s="353">
        <v>1.78</v>
      </c>
      <c r="AQ128" s="353">
        <v>1.77</v>
      </c>
      <c r="AR128" s="353">
        <v>1.76</v>
      </c>
      <c r="AS128" s="353">
        <v>1.75</v>
      </c>
      <c r="AT128" s="353">
        <v>1.74</v>
      </c>
      <c r="AU128" s="353">
        <v>1.73</v>
      </c>
      <c r="AV128" s="353">
        <v>1.72</v>
      </c>
      <c r="AW128" s="353">
        <v>1.71</v>
      </c>
      <c r="AX128" s="353">
        <v>1.71</v>
      </c>
      <c r="AY128" s="353">
        <v>1.7</v>
      </c>
    </row>
    <row r="129" spans="1:51">
      <c r="A129" s="766">
        <v>45688</v>
      </c>
      <c r="B129" s="353">
        <v>1.54</v>
      </c>
      <c r="C129" s="353">
        <v>1.52</v>
      </c>
      <c r="D129" s="353">
        <v>1.51</v>
      </c>
      <c r="E129" s="353">
        <v>1.53</v>
      </c>
      <c r="F129" s="353">
        <v>1.57</v>
      </c>
      <c r="G129" s="353">
        <v>1.61</v>
      </c>
      <c r="H129" s="353">
        <v>1.66</v>
      </c>
      <c r="I129" s="353">
        <v>1.71</v>
      </c>
      <c r="J129" s="353">
        <v>1.76</v>
      </c>
      <c r="K129" s="353">
        <v>1.81</v>
      </c>
      <c r="L129" s="353">
        <v>1.85</v>
      </c>
      <c r="M129" s="353">
        <v>1.89</v>
      </c>
      <c r="N129" s="353">
        <v>1.93</v>
      </c>
      <c r="O129" s="353">
        <v>1.96</v>
      </c>
      <c r="P129" s="353">
        <v>1.98</v>
      </c>
      <c r="Q129" s="353">
        <v>1.98</v>
      </c>
      <c r="R129" s="353">
        <v>1.99</v>
      </c>
      <c r="S129" s="353">
        <v>1.99</v>
      </c>
      <c r="T129" s="353">
        <v>1.99</v>
      </c>
      <c r="U129" s="353">
        <v>2</v>
      </c>
      <c r="V129" s="353">
        <v>1.98</v>
      </c>
      <c r="W129" s="353">
        <v>1.97</v>
      </c>
      <c r="X129" s="353">
        <v>1.96</v>
      </c>
      <c r="Y129" s="353">
        <v>1.95</v>
      </c>
      <c r="Z129" s="353">
        <v>1.94</v>
      </c>
      <c r="AA129" s="353">
        <v>1.92</v>
      </c>
      <c r="AB129" s="353">
        <v>1.9</v>
      </c>
      <c r="AC129" s="353">
        <v>1.89</v>
      </c>
      <c r="AD129" s="353">
        <v>1.88</v>
      </c>
      <c r="AE129" s="353">
        <v>1.86</v>
      </c>
      <c r="AF129" s="353">
        <v>1.85</v>
      </c>
      <c r="AG129" s="353">
        <v>1.83</v>
      </c>
      <c r="AH129" s="353">
        <v>1.82</v>
      </c>
      <c r="AI129" s="353">
        <v>1.8</v>
      </c>
      <c r="AJ129" s="353">
        <v>1.79</v>
      </c>
      <c r="AK129" s="353">
        <v>1.78</v>
      </c>
      <c r="AL129" s="353">
        <v>1.77</v>
      </c>
      <c r="AM129" s="353">
        <v>1.76</v>
      </c>
      <c r="AN129" s="353">
        <v>1.75</v>
      </c>
      <c r="AO129" s="353">
        <v>1.74</v>
      </c>
      <c r="AP129" s="353">
        <v>1.72</v>
      </c>
      <c r="AQ129" s="353">
        <v>1.71</v>
      </c>
      <c r="AR129" s="353">
        <v>1.7</v>
      </c>
      <c r="AS129" s="353">
        <v>1.69</v>
      </c>
      <c r="AT129" s="353">
        <v>1.68</v>
      </c>
      <c r="AU129" s="353">
        <v>1.66</v>
      </c>
      <c r="AV129" s="353">
        <v>1.65</v>
      </c>
      <c r="AW129" s="353">
        <v>1.64</v>
      </c>
      <c r="AX129" s="353">
        <v>1.64</v>
      </c>
      <c r="AY129" s="353">
        <v>1.63</v>
      </c>
    </row>
    <row r="130" spans="1:51">
      <c r="A130" s="766">
        <v>45716</v>
      </c>
      <c r="B130" s="353">
        <v>1.24</v>
      </c>
      <c r="C130" s="353">
        <v>1.24</v>
      </c>
      <c r="D130" s="353">
        <v>1.26</v>
      </c>
      <c r="E130" s="353">
        <v>1.3</v>
      </c>
      <c r="F130" s="353">
        <v>1.36</v>
      </c>
      <c r="G130" s="353">
        <v>1.43</v>
      </c>
      <c r="H130" s="353">
        <v>1.49</v>
      </c>
      <c r="I130" s="353">
        <v>1.56</v>
      </c>
      <c r="J130" s="353">
        <v>1.63</v>
      </c>
      <c r="K130" s="353">
        <v>1.7</v>
      </c>
      <c r="L130" s="353">
        <v>1.76</v>
      </c>
      <c r="M130" s="353">
        <v>1.81</v>
      </c>
      <c r="N130" s="353">
        <v>1.85</v>
      </c>
      <c r="O130" s="353">
        <v>1.89</v>
      </c>
      <c r="P130" s="353">
        <v>1.93</v>
      </c>
      <c r="Q130" s="353">
        <v>1.94</v>
      </c>
      <c r="R130" s="353">
        <v>1.95</v>
      </c>
      <c r="S130" s="353">
        <v>1.96</v>
      </c>
      <c r="T130" s="353">
        <v>1.97</v>
      </c>
      <c r="U130" s="353">
        <v>1.98</v>
      </c>
      <c r="V130" s="353">
        <v>1.98</v>
      </c>
      <c r="W130" s="353">
        <v>1.97</v>
      </c>
      <c r="X130" s="353">
        <v>1.97</v>
      </c>
      <c r="Y130" s="353">
        <v>1.96</v>
      </c>
      <c r="Z130" s="353">
        <v>1.96</v>
      </c>
      <c r="AA130" s="353">
        <v>1.94</v>
      </c>
      <c r="AB130" s="353">
        <v>1.93</v>
      </c>
      <c r="AC130" s="353">
        <v>1.92</v>
      </c>
      <c r="AD130" s="353">
        <v>1.91</v>
      </c>
      <c r="AE130" s="353">
        <v>1.9</v>
      </c>
      <c r="AF130" s="353">
        <v>1.89</v>
      </c>
      <c r="AG130" s="353">
        <v>1.88</v>
      </c>
      <c r="AH130" s="353">
        <v>1.87</v>
      </c>
      <c r="AI130" s="353">
        <v>1.86</v>
      </c>
      <c r="AJ130" s="353">
        <v>1.85</v>
      </c>
      <c r="AK130" s="353">
        <v>1.84</v>
      </c>
      <c r="AL130" s="353">
        <v>1.83</v>
      </c>
      <c r="AM130" s="353">
        <v>1.83</v>
      </c>
      <c r="AN130" s="353">
        <v>1.82</v>
      </c>
      <c r="AO130" s="353">
        <v>1.81</v>
      </c>
      <c r="AP130" s="353">
        <v>1.8</v>
      </c>
      <c r="AQ130" s="353">
        <v>1.79</v>
      </c>
      <c r="AR130" s="353">
        <v>1.78</v>
      </c>
      <c r="AS130" s="353">
        <v>1.77</v>
      </c>
      <c r="AT130" s="353">
        <v>1.76</v>
      </c>
      <c r="AU130" s="353">
        <v>1.75</v>
      </c>
      <c r="AV130" s="353">
        <v>1.74</v>
      </c>
      <c r="AW130" s="353">
        <v>1.73</v>
      </c>
      <c r="AX130" s="353">
        <v>1.72</v>
      </c>
      <c r="AY130" s="353">
        <v>1.71</v>
      </c>
    </row>
    <row r="131" spans="1:51">
      <c r="A131" s="766">
        <v>45747</v>
      </c>
      <c r="B131" s="353">
        <v>1.26</v>
      </c>
      <c r="C131" s="353">
        <v>1.26</v>
      </c>
      <c r="D131" s="353">
        <v>1.28</v>
      </c>
      <c r="E131" s="353">
        <v>1.32</v>
      </c>
      <c r="F131" s="353">
        <v>1.38</v>
      </c>
      <c r="G131" s="353">
        <v>1.45</v>
      </c>
      <c r="H131" s="353">
        <v>1.51</v>
      </c>
      <c r="I131" s="353">
        <v>1.58</v>
      </c>
      <c r="J131" s="353">
        <v>1.65</v>
      </c>
      <c r="K131" s="353">
        <v>1.72</v>
      </c>
      <c r="L131" s="353">
        <v>1.78</v>
      </c>
      <c r="M131" s="353">
        <v>1.83</v>
      </c>
      <c r="N131" s="353">
        <v>1.87</v>
      </c>
      <c r="O131" s="353">
        <v>1.91</v>
      </c>
      <c r="P131" s="353">
        <v>1.95</v>
      </c>
      <c r="Q131" s="353">
        <v>1.96</v>
      </c>
      <c r="R131" s="353">
        <v>1.97</v>
      </c>
      <c r="S131" s="353">
        <v>1.98</v>
      </c>
      <c r="T131" s="353">
        <v>1.99</v>
      </c>
      <c r="U131" s="353">
        <v>2</v>
      </c>
      <c r="V131" s="353">
        <v>2</v>
      </c>
      <c r="W131" s="353">
        <v>1.99</v>
      </c>
      <c r="X131" s="353">
        <v>1.98</v>
      </c>
      <c r="Y131" s="353">
        <v>1.98</v>
      </c>
      <c r="Z131" s="353">
        <v>1.97</v>
      </c>
      <c r="AA131" s="353">
        <v>1.96</v>
      </c>
      <c r="AB131" s="353">
        <v>1.95</v>
      </c>
      <c r="AC131" s="353">
        <v>1.94</v>
      </c>
      <c r="AD131" s="353">
        <v>1.93</v>
      </c>
      <c r="AE131" s="353">
        <v>1.92</v>
      </c>
      <c r="AF131" s="353">
        <v>1.91</v>
      </c>
      <c r="AG131" s="353">
        <v>1.9</v>
      </c>
      <c r="AH131" s="353">
        <v>1.89</v>
      </c>
      <c r="AI131" s="353">
        <v>1.88</v>
      </c>
      <c r="AJ131" s="353">
        <v>1.87</v>
      </c>
      <c r="AK131" s="353">
        <v>1.86</v>
      </c>
      <c r="AL131" s="353">
        <v>1.85</v>
      </c>
      <c r="AM131" s="353">
        <v>1.84</v>
      </c>
      <c r="AN131" s="353">
        <v>1.83</v>
      </c>
      <c r="AO131" s="353">
        <v>1.83</v>
      </c>
      <c r="AP131" s="353">
        <v>1.82</v>
      </c>
      <c r="AQ131" s="353">
        <v>1.8</v>
      </c>
      <c r="AR131" s="353">
        <v>1.79</v>
      </c>
      <c r="AS131" s="353">
        <v>1.78</v>
      </c>
      <c r="AT131" s="353">
        <v>1.77</v>
      </c>
      <c r="AU131" s="353">
        <v>1.76</v>
      </c>
      <c r="AV131" s="353">
        <v>1.75</v>
      </c>
      <c r="AW131" s="353">
        <v>1.75</v>
      </c>
      <c r="AX131" s="353">
        <v>1.74</v>
      </c>
      <c r="AY131" s="353">
        <v>1.73</v>
      </c>
    </row>
    <row r="132" spans="1:51">
      <c r="A132" s="111"/>
      <c r="B132" s="126"/>
      <c r="C132" s="126"/>
      <c r="D132" s="126"/>
      <c r="E132" s="126"/>
      <c r="F132" s="126"/>
      <c r="G132" s="126"/>
      <c r="H132" s="126"/>
      <c r="I132" s="126"/>
      <c r="J132" s="126"/>
      <c r="K132" s="126"/>
      <c r="L132" s="126"/>
      <c r="M132" s="126"/>
      <c r="N132" s="126"/>
      <c r="O132" s="126"/>
      <c r="P132" s="441"/>
      <c r="Q132" s="126"/>
      <c r="R132" s="126"/>
      <c r="S132" s="126"/>
      <c r="T132" s="126"/>
      <c r="U132" s="126"/>
      <c r="V132" s="126"/>
      <c r="W132" s="126"/>
      <c r="X132" s="126"/>
      <c r="Y132" s="126"/>
      <c r="Z132" s="126"/>
      <c r="AA132" s="126"/>
      <c r="AB132" s="126"/>
      <c r="AC132" s="126"/>
      <c r="AD132" s="126"/>
      <c r="AE132" s="126"/>
      <c r="AF132" s="126"/>
      <c r="AG132" s="126"/>
      <c r="AH132" s="126"/>
      <c r="AI132" s="126"/>
      <c r="AJ132" s="126"/>
      <c r="AK132" s="126"/>
      <c r="AL132" s="126"/>
      <c r="AM132" s="126"/>
      <c r="AN132" s="126"/>
      <c r="AO132" s="126"/>
      <c r="AP132" s="126"/>
      <c r="AQ132" s="126"/>
      <c r="AR132" s="126"/>
      <c r="AS132" s="126"/>
      <c r="AT132" s="126"/>
      <c r="AU132" s="126"/>
      <c r="AV132" s="126"/>
      <c r="AW132" s="126"/>
      <c r="AX132" s="126"/>
      <c r="AY132" s="126"/>
    </row>
    <row r="133" spans="1:51">
      <c r="A133" s="111"/>
      <c r="B133" s="126"/>
      <c r="C133" s="126"/>
      <c r="D133" s="126"/>
      <c r="E133" s="126"/>
      <c r="F133" s="126"/>
      <c r="G133" s="126"/>
      <c r="H133" s="126"/>
      <c r="I133" s="126"/>
      <c r="J133" s="126"/>
      <c r="K133" s="126"/>
      <c r="L133" s="126"/>
      <c r="M133" s="126"/>
      <c r="N133" s="126"/>
      <c r="O133" s="126"/>
      <c r="P133" s="441"/>
      <c r="Q133" s="126"/>
      <c r="R133" s="126"/>
      <c r="S133" s="126"/>
      <c r="T133" s="126"/>
      <c r="U133" s="126"/>
      <c r="V133" s="126"/>
      <c r="W133" s="126"/>
      <c r="X133" s="126"/>
      <c r="Y133" s="126"/>
      <c r="Z133" s="126"/>
      <c r="AA133" s="126"/>
      <c r="AB133" s="126"/>
      <c r="AC133" s="126"/>
      <c r="AD133" s="126"/>
      <c r="AE133" s="126"/>
      <c r="AF133" s="126"/>
      <c r="AG133" s="126"/>
      <c r="AH133" s="126"/>
      <c r="AI133" s="126"/>
      <c r="AJ133" s="126"/>
      <c r="AK133" s="126"/>
      <c r="AL133" s="126"/>
      <c r="AM133" s="126"/>
      <c r="AN133" s="126"/>
      <c r="AO133" s="126"/>
      <c r="AP133" s="126"/>
      <c r="AQ133" s="126"/>
      <c r="AR133" s="126"/>
      <c r="AS133" s="126"/>
      <c r="AT133" s="126"/>
      <c r="AU133" s="126"/>
      <c r="AV133" s="126"/>
      <c r="AW133" s="126"/>
      <c r="AX133" s="126"/>
      <c r="AY133" s="126"/>
    </row>
    <row r="134" spans="1:51">
      <c r="A134" s="111"/>
      <c r="B134" s="126"/>
      <c r="C134" s="126"/>
      <c r="D134" s="126"/>
      <c r="E134" s="126"/>
      <c r="F134" s="126"/>
      <c r="G134" s="126"/>
      <c r="H134" s="126"/>
      <c r="I134" s="126"/>
      <c r="J134" s="126"/>
      <c r="K134" s="126"/>
      <c r="L134" s="126"/>
      <c r="M134" s="126"/>
      <c r="N134" s="126"/>
      <c r="O134" s="126"/>
      <c r="P134" s="441"/>
      <c r="Q134" s="126"/>
      <c r="R134" s="126"/>
      <c r="S134" s="126"/>
      <c r="T134" s="126"/>
      <c r="U134" s="126"/>
      <c r="V134" s="126"/>
      <c r="W134" s="126"/>
      <c r="X134" s="126"/>
      <c r="Y134" s="126"/>
      <c r="Z134" s="126"/>
      <c r="AA134" s="126"/>
      <c r="AB134" s="126"/>
      <c r="AC134" s="126"/>
      <c r="AD134" s="126"/>
      <c r="AE134" s="126"/>
      <c r="AF134" s="126"/>
      <c r="AG134" s="126"/>
      <c r="AH134" s="126"/>
      <c r="AI134" s="126"/>
      <c r="AJ134" s="126"/>
      <c r="AK134" s="126"/>
      <c r="AL134" s="126"/>
      <c r="AM134" s="126"/>
      <c r="AN134" s="126"/>
      <c r="AO134" s="126"/>
      <c r="AP134" s="126"/>
      <c r="AQ134" s="126"/>
      <c r="AR134" s="126"/>
      <c r="AS134" s="126"/>
      <c r="AT134" s="126"/>
      <c r="AU134" s="126"/>
      <c r="AV134" s="126"/>
      <c r="AW134" s="126"/>
      <c r="AX134" s="126"/>
      <c r="AY134" s="126"/>
    </row>
    <row r="135" spans="1:51">
      <c r="A135" s="111"/>
      <c r="B135" s="126"/>
      <c r="C135" s="126"/>
      <c r="D135" s="126"/>
      <c r="E135" s="126"/>
      <c r="F135" s="126"/>
      <c r="G135" s="126"/>
      <c r="H135" s="126"/>
      <c r="I135" s="126"/>
      <c r="J135" s="126"/>
      <c r="K135" s="126"/>
      <c r="L135" s="126"/>
      <c r="M135" s="126"/>
      <c r="N135" s="126"/>
      <c r="O135" s="126"/>
      <c r="P135" s="441"/>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row>
    <row r="136" spans="1:51">
      <c r="A136" s="111"/>
      <c r="B136" s="126"/>
      <c r="C136" s="126"/>
      <c r="D136" s="126"/>
      <c r="E136" s="126"/>
      <c r="F136" s="126"/>
      <c r="G136" s="126"/>
      <c r="H136" s="126"/>
      <c r="I136" s="126"/>
      <c r="J136" s="126"/>
      <c r="K136" s="126"/>
      <c r="L136" s="126"/>
      <c r="M136" s="126"/>
      <c r="N136" s="126"/>
      <c r="O136" s="126"/>
      <c r="P136" s="441"/>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row>
    <row r="137" spans="1:51">
      <c r="A137" s="111"/>
      <c r="B137" s="126"/>
      <c r="C137" s="126"/>
      <c r="D137" s="126"/>
      <c r="E137" s="126"/>
      <c r="F137" s="126"/>
      <c r="G137" s="126"/>
      <c r="H137" s="126"/>
      <c r="I137" s="126"/>
      <c r="J137" s="126"/>
      <c r="K137" s="126"/>
      <c r="L137" s="126"/>
      <c r="M137" s="126"/>
      <c r="N137" s="126"/>
      <c r="O137" s="126"/>
      <c r="P137" s="441"/>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row>
    <row r="138" spans="1:51">
      <c r="A138" s="111"/>
      <c r="B138" s="126"/>
      <c r="C138" s="126"/>
      <c r="D138" s="126"/>
      <c r="E138" s="126"/>
      <c r="F138" s="126"/>
      <c r="G138" s="126"/>
      <c r="H138" s="126"/>
      <c r="I138" s="126"/>
      <c r="J138" s="126"/>
      <c r="K138" s="126"/>
      <c r="L138" s="126"/>
      <c r="M138" s="126"/>
      <c r="N138" s="126"/>
      <c r="O138" s="126"/>
      <c r="P138" s="441"/>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row>
    <row r="139" spans="1:51">
      <c r="A139" s="111"/>
      <c r="B139" s="126"/>
      <c r="C139" s="126"/>
      <c r="D139" s="126"/>
      <c r="E139" s="126"/>
      <c r="F139" s="126"/>
      <c r="G139" s="126"/>
      <c r="H139" s="126"/>
      <c r="I139" s="126"/>
      <c r="J139" s="126"/>
      <c r="K139" s="126"/>
      <c r="L139" s="126"/>
      <c r="M139" s="126"/>
      <c r="N139" s="126"/>
      <c r="O139" s="126"/>
      <c r="P139" s="441"/>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row>
    <row r="140" spans="1:51">
      <c r="A140" s="111"/>
      <c r="B140" s="126"/>
      <c r="C140" s="126"/>
      <c r="D140" s="126"/>
      <c r="E140" s="126"/>
      <c r="F140" s="126"/>
      <c r="G140" s="126"/>
      <c r="H140" s="126"/>
      <c r="I140" s="126"/>
      <c r="J140" s="126"/>
      <c r="K140" s="126"/>
      <c r="L140" s="126"/>
      <c r="M140" s="126"/>
      <c r="N140" s="126"/>
      <c r="O140" s="126"/>
      <c r="P140" s="441"/>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row>
    <row r="141" spans="1:51">
      <c r="A141" s="111"/>
      <c r="B141" s="126"/>
      <c r="C141" s="126"/>
      <c r="D141" s="126"/>
      <c r="E141" s="126"/>
      <c r="F141" s="126"/>
      <c r="G141" s="126"/>
      <c r="H141" s="126"/>
      <c r="I141" s="126"/>
      <c r="J141" s="126"/>
      <c r="K141" s="126"/>
      <c r="L141" s="126"/>
      <c r="M141" s="126"/>
      <c r="N141" s="126"/>
      <c r="O141" s="126"/>
      <c r="P141" s="441"/>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row>
    <row r="142" spans="1:51">
      <c r="A142" s="111"/>
      <c r="B142" s="126"/>
      <c r="C142" s="126"/>
      <c r="D142" s="126"/>
      <c r="E142" s="126"/>
      <c r="F142" s="126"/>
      <c r="G142" s="126"/>
      <c r="H142" s="126"/>
      <c r="I142" s="126"/>
      <c r="J142" s="126"/>
      <c r="K142" s="126"/>
      <c r="L142" s="126"/>
      <c r="M142" s="126"/>
      <c r="N142" s="126"/>
      <c r="O142" s="126"/>
      <c r="P142" s="441"/>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row>
    <row r="143" spans="1:51">
      <c r="A143" s="111"/>
      <c r="B143" s="126"/>
      <c r="C143" s="126"/>
      <c r="D143" s="126"/>
      <c r="E143" s="126"/>
      <c r="F143" s="126"/>
      <c r="G143" s="126"/>
      <c r="H143" s="126"/>
      <c r="I143" s="126"/>
      <c r="J143" s="126"/>
      <c r="K143" s="126"/>
      <c r="L143" s="126"/>
      <c r="M143" s="126"/>
      <c r="N143" s="126"/>
      <c r="O143" s="126"/>
      <c r="P143" s="441"/>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row>
    <row r="144" spans="1:51">
      <c r="A144" s="111"/>
      <c r="B144" s="126"/>
      <c r="C144" s="126"/>
      <c r="D144" s="126"/>
      <c r="E144" s="126"/>
      <c r="F144" s="126"/>
      <c r="G144" s="126"/>
      <c r="H144" s="126"/>
      <c r="I144" s="126"/>
      <c r="J144" s="126"/>
      <c r="K144" s="126"/>
      <c r="L144" s="126"/>
      <c r="M144" s="126"/>
      <c r="N144" s="126"/>
      <c r="O144" s="126"/>
      <c r="P144" s="441"/>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row>
    <row r="145" spans="1:51">
      <c r="A145" s="111"/>
      <c r="B145" s="126"/>
      <c r="C145" s="126"/>
      <c r="D145" s="126"/>
      <c r="E145" s="126"/>
      <c r="F145" s="126"/>
      <c r="G145" s="126"/>
      <c r="H145" s="126"/>
      <c r="I145" s="126"/>
      <c r="J145" s="126"/>
      <c r="K145" s="126"/>
      <c r="L145" s="126"/>
      <c r="M145" s="126"/>
      <c r="N145" s="126"/>
      <c r="O145" s="126"/>
      <c r="P145" s="441"/>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row>
    <row r="146" spans="1:51">
      <c r="A146" s="111"/>
      <c r="B146" s="126"/>
      <c r="C146" s="126"/>
      <c r="D146" s="126"/>
      <c r="E146" s="126"/>
      <c r="F146" s="126"/>
      <c r="G146" s="126"/>
      <c r="H146" s="126"/>
      <c r="I146" s="126"/>
      <c r="J146" s="126"/>
      <c r="K146" s="126"/>
      <c r="L146" s="126"/>
      <c r="M146" s="126"/>
      <c r="N146" s="126"/>
      <c r="O146" s="126"/>
      <c r="P146" s="441"/>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row>
    <row r="147" spans="1:51">
      <c r="A147" s="111"/>
      <c r="B147" s="126"/>
      <c r="C147" s="126"/>
      <c r="D147" s="126"/>
      <c r="E147" s="126"/>
      <c r="F147" s="126"/>
      <c r="G147" s="126"/>
      <c r="H147" s="126"/>
      <c r="I147" s="126"/>
      <c r="J147" s="126"/>
      <c r="K147" s="126"/>
      <c r="L147" s="126"/>
      <c r="M147" s="126"/>
      <c r="N147" s="126"/>
      <c r="O147" s="126"/>
      <c r="P147" s="441"/>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41"/>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41"/>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41"/>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41"/>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41"/>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41"/>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41"/>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41"/>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41"/>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41"/>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41"/>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41"/>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41"/>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41"/>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41"/>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41"/>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41"/>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41"/>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41"/>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41"/>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41"/>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41"/>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41"/>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41"/>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41"/>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41"/>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41"/>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41"/>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41"/>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41"/>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41"/>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41"/>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41"/>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41"/>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41"/>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41"/>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41"/>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41"/>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41"/>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41"/>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41"/>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41"/>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41"/>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41"/>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41"/>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41"/>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41"/>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41"/>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41"/>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41"/>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41"/>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41"/>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25"/>
  <cols>
    <col min="1" max="1" width="28.125" customWidth="1"/>
    <col min="4" max="4" width="14" customWidth="1"/>
  </cols>
  <sheetData>
    <row r="1" spans="1:6" ht="15">
      <c r="A1" t="s">
        <v>1755</v>
      </c>
      <c r="B1" s="409" t="s">
        <v>867</v>
      </c>
    </row>
    <row r="2" spans="1:6" ht="15">
      <c r="B2" s="409" t="s">
        <v>868</v>
      </c>
    </row>
    <row r="4" spans="1:6" ht="15">
      <c r="A4" t="s">
        <v>1756</v>
      </c>
      <c r="B4" s="409" t="s">
        <v>866</v>
      </c>
    </row>
    <row r="5" spans="1:6" ht="15">
      <c r="A5" t="s">
        <v>1757</v>
      </c>
      <c r="B5" s="1751" t="s">
        <v>851</v>
      </c>
    </row>
    <row r="6" spans="1:6" ht="15.75">
      <c r="A6" t="s">
        <v>1758</v>
      </c>
      <c r="B6" s="1752" t="str">
        <f>CHAR(98)</f>
        <v>b</v>
      </c>
    </row>
    <row r="7" spans="1:6" ht="15">
      <c r="A7" t="s">
        <v>1765</v>
      </c>
      <c r="B7" s="1764" t="s">
        <v>881</v>
      </c>
      <c r="C7" s="1751" t="s">
        <v>1768</v>
      </c>
      <c r="D7" s="1751" t="s">
        <v>1769</v>
      </c>
      <c r="E7" s="1751" t="s">
        <v>1770</v>
      </c>
    </row>
    <row r="8" spans="1:6" ht="15">
      <c r="A8" t="s">
        <v>1759</v>
      </c>
      <c r="B8" s="409" t="s">
        <v>972</v>
      </c>
    </row>
    <row r="9" spans="1:6" ht="15">
      <c r="A9" t="s">
        <v>1760</v>
      </c>
      <c r="B9" s="409" t="s">
        <v>850</v>
      </c>
    </row>
    <row r="10" spans="1:6" ht="15">
      <c r="A10" t="s">
        <v>1761</v>
      </c>
      <c r="B10" s="1751" t="s">
        <v>1584</v>
      </c>
    </row>
    <row r="11" spans="1:6" ht="87.75">
      <c r="A11" t="s">
        <v>690</v>
      </c>
      <c r="B11" s="1330" t="s">
        <v>1762</v>
      </c>
      <c r="C11" s="1761"/>
      <c r="D11" s="1817"/>
    </row>
    <row r="12" spans="1:6" ht="20.25">
      <c r="A12" t="s">
        <v>1763</v>
      </c>
      <c r="B12" s="1762" t="s">
        <v>1764</v>
      </c>
    </row>
    <row r="13" spans="1:6" ht="15">
      <c r="A13" t="s">
        <v>1766</v>
      </c>
      <c r="B13" s="1763" t="s">
        <v>829</v>
      </c>
      <c r="F13" s="1763"/>
    </row>
    <row r="14" spans="1:6" ht="15.75">
      <c r="A14" t="s">
        <v>175</v>
      </c>
      <c r="B14" s="767" t="s">
        <v>1767</v>
      </c>
      <c r="E14" t="str">
        <f>"Jörn "&amp;Delta&amp;divers&amp;Durchschnitt&amp;Mann&amp;Frau</f>
        <v>Jörn Δ⚩Ø</v>
      </c>
    </row>
    <row r="15" spans="1:6" ht="15.75">
      <c r="A15" t="s">
        <v>176</v>
      </c>
      <c r="B15" s="767" t="s">
        <v>1767</v>
      </c>
    </row>
    <row r="16" spans="1:6" ht="16.5">
      <c r="A16" t="s">
        <v>1771</v>
      </c>
      <c r="B16" s="1819"/>
    </row>
    <row r="17" spans="2:6">
      <c r="B17" t="s">
        <v>866</v>
      </c>
    </row>
    <row r="18" spans="2:6" ht="15.75">
      <c r="B18" t="s">
        <v>1794</v>
      </c>
      <c r="F18" s="767"/>
    </row>
    <row r="23" spans="2:6">
      <c r="D23" s="1818">
        <f>Text</f>
        <v>0</v>
      </c>
    </row>
    <row r="28" spans="2:6" ht="15">
      <c r="C28" s="1776"/>
    </row>
    <row r="35" spans="18:18">
      <c r="R35" t="s">
        <v>1793</v>
      </c>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25"/>
  <cols>
    <col min="2" max="3" width="16.125" customWidth="1"/>
    <col min="4" max="4" width="11.125" bestFit="1" customWidth="1"/>
    <col min="5" max="7" width="11.125" customWidth="1"/>
  </cols>
  <sheetData>
    <row r="5" spans="2:4">
      <c r="C5" t="s">
        <v>1641</v>
      </c>
    </row>
    <row r="6" spans="2:4">
      <c r="B6" t="s">
        <v>191</v>
      </c>
      <c r="C6" s="149">
        <v>100000</v>
      </c>
    </row>
    <row r="7" spans="2:4">
      <c r="B7" t="s">
        <v>1642</v>
      </c>
      <c r="C7">
        <v>19</v>
      </c>
    </row>
    <row r="8" spans="2:4">
      <c r="B8" t="s">
        <v>250</v>
      </c>
      <c r="C8" s="59">
        <v>0.02</v>
      </c>
      <c r="D8" s="146">
        <f>IF(C8="",5.5%,C8)</f>
        <v>0.02</v>
      </c>
    </row>
    <row r="9" spans="2:4">
      <c r="B9" t="s">
        <v>1643</v>
      </c>
      <c r="C9" s="149">
        <f>VLOOKUP(C7,Abzinsungstabelle§12BewG,2)*C6</f>
        <v>36200</v>
      </c>
      <c r="D9" s="149">
        <f>ROUND(-PV(D8,C7,,1,1),2)*C6</f>
        <v>69000</v>
      </c>
    </row>
    <row r="17" spans="2:7">
      <c r="B17" t="s">
        <v>538</v>
      </c>
    </row>
    <row r="18" spans="2:7" ht="17.25">
      <c r="B18" s="1507">
        <v>1</v>
      </c>
      <c r="C18" s="1507">
        <v>0.94799999999999995</v>
      </c>
      <c r="E18" s="1505"/>
    </row>
    <row r="19" spans="2:7" ht="17.25">
      <c r="B19" s="1507">
        <v>2</v>
      </c>
      <c r="C19" s="1507">
        <v>0.89800000000000002</v>
      </c>
      <c r="E19" s="1505"/>
    </row>
    <row r="20" spans="2:7" ht="17.25">
      <c r="B20" s="1507">
        <v>3</v>
      </c>
      <c r="C20" s="1507">
        <v>0.85199999999999998</v>
      </c>
      <c r="E20" s="1505"/>
    </row>
    <row r="21" spans="2:7" ht="17.25">
      <c r="B21" s="1507">
        <v>4</v>
      </c>
      <c r="C21" s="1507">
        <v>0.80700000000000005</v>
      </c>
      <c r="E21" s="1505"/>
    </row>
    <row r="22" spans="2:7" ht="17.25">
      <c r="B22" s="1507">
        <v>5</v>
      </c>
      <c r="C22" s="1507">
        <v>0.76500000000000001</v>
      </c>
      <c r="E22" s="1505"/>
    </row>
    <row r="23" spans="2:7" ht="17.25">
      <c r="B23" s="1507">
        <v>6</v>
      </c>
      <c r="C23" s="1507">
        <v>0.72499999999999998</v>
      </c>
      <c r="E23" s="1505"/>
    </row>
    <row r="24" spans="2:7" ht="17.25">
      <c r="B24" s="1507">
        <v>7</v>
      </c>
      <c r="C24" s="1507">
        <v>0.68700000000000006</v>
      </c>
      <c r="E24" s="1505"/>
    </row>
    <row r="25" spans="2:7" ht="17.25">
      <c r="B25" s="1507">
        <v>8</v>
      </c>
      <c r="C25" s="1507">
        <v>0.65200000000000002</v>
      </c>
      <c r="E25" s="1505"/>
      <c r="G25">
        <v>100000</v>
      </c>
    </row>
    <row r="26" spans="2:7" ht="17.25">
      <c r="B26" s="1507">
        <v>9</v>
      </c>
      <c r="C26" s="1507">
        <v>0.61799999999999999</v>
      </c>
      <c r="E26" s="1505"/>
      <c r="G26" s="149">
        <f>-PV(5.5%,15,,G25,1)</f>
        <v>44793.304810907481</v>
      </c>
    </row>
    <row r="27" spans="2:7" ht="17.25">
      <c r="B27" s="1507">
        <v>10</v>
      </c>
      <c r="C27" s="1507">
        <v>0.58499999999999996</v>
      </c>
      <c r="E27" s="1505"/>
      <c r="F27" s="1505"/>
    </row>
    <row r="28" spans="2:7" ht="17.25">
      <c r="B28" s="1507">
        <v>11</v>
      </c>
      <c r="C28" s="1507">
        <v>0.55500000000000005</v>
      </c>
      <c r="E28" s="1505"/>
    </row>
    <row r="29" spans="2:7" ht="17.25">
      <c r="B29" s="1507">
        <v>12</v>
      </c>
      <c r="C29" s="1507">
        <v>0.52600000000000002</v>
      </c>
      <c r="E29" s="1505"/>
    </row>
    <row r="30" spans="2:7" ht="17.25">
      <c r="B30" s="1507">
        <v>13</v>
      </c>
      <c r="C30" s="1507">
        <v>0.499</v>
      </c>
      <c r="E30" s="1505"/>
      <c r="F30">
        <f>100000*C36</f>
        <v>36200</v>
      </c>
    </row>
    <row r="31" spans="2:7" ht="17.25">
      <c r="B31" s="1507">
        <v>14</v>
      </c>
      <c r="C31" s="1507">
        <v>0.47299999999999998</v>
      </c>
      <c r="E31" s="1505"/>
    </row>
    <row r="32" spans="2:7" ht="17.25">
      <c r="B32" s="1507">
        <v>15</v>
      </c>
      <c r="C32" s="1507">
        <v>0.44800000000000001</v>
      </c>
      <c r="E32" s="1505"/>
    </row>
    <row r="33" spans="2:5" ht="17.25">
      <c r="B33" s="1507">
        <v>16</v>
      </c>
      <c r="C33" s="1507">
        <v>0.42499999999999999</v>
      </c>
      <c r="E33" s="1505"/>
    </row>
    <row r="34" spans="2:5" ht="17.25">
      <c r="B34" s="1507">
        <v>17</v>
      </c>
      <c r="C34" s="1507">
        <v>0.40200000000000002</v>
      </c>
      <c r="E34" s="1505"/>
    </row>
    <row r="35" spans="2:5" ht="17.25">
      <c r="B35" s="1507">
        <v>18</v>
      </c>
      <c r="C35" s="1507">
        <v>0.38100000000000001</v>
      </c>
      <c r="E35" s="1505"/>
    </row>
    <row r="36" spans="2:5" ht="17.25">
      <c r="B36" s="1507">
        <v>19</v>
      </c>
      <c r="C36" s="1507">
        <v>0.36199999999999999</v>
      </c>
      <c r="E36" s="1505"/>
    </row>
    <row r="37" spans="2:5" ht="17.25">
      <c r="B37" s="1507">
        <v>20</v>
      </c>
      <c r="C37" s="1507">
        <v>0.34300000000000003</v>
      </c>
      <c r="E37" s="1505"/>
    </row>
    <row r="38" spans="2:5" ht="17.25">
      <c r="B38" s="1507">
        <v>21</v>
      </c>
      <c r="C38" s="1507">
        <v>0.32500000000000001</v>
      </c>
      <c r="E38" s="1505"/>
    </row>
    <row r="39" spans="2:5" ht="17.25">
      <c r="B39" s="1507">
        <v>22</v>
      </c>
      <c r="C39" s="1507">
        <v>0.308</v>
      </c>
      <c r="E39" s="1505"/>
    </row>
    <row r="40" spans="2:5" ht="17.25">
      <c r="B40" s="1507">
        <v>23</v>
      </c>
      <c r="C40" s="1507">
        <v>0.29199999999999998</v>
      </c>
      <c r="E40" s="1505"/>
    </row>
    <row r="41" spans="2:5" ht="17.25">
      <c r="B41" s="1507">
        <v>24</v>
      </c>
      <c r="C41" s="1507">
        <v>0.27700000000000002</v>
      </c>
      <c r="E41" s="1505"/>
    </row>
    <row r="42" spans="2:5" ht="17.25">
      <c r="B42" s="1507">
        <v>25</v>
      </c>
      <c r="C42" s="1507">
        <v>0.26200000000000001</v>
      </c>
      <c r="E42" s="1505"/>
    </row>
    <row r="43" spans="2:5" ht="17.25">
      <c r="B43" s="1507">
        <v>26</v>
      </c>
      <c r="C43" s="1507">
        <v>0.249</v>
      </c>
      <c r="E43" s="1505"/>
    </row>
    <row r="44" spans="2:5" ht="17.25">
      <c r="B44" s="1507">
        <v>27</v>
      </c>
      <c r="C44" s="1507">
        <v>0.23599999999999999</v>
      </c>
      <c r="E44" s="1505"/>
    </row>
    <row r="45" spans="2:5" ht="17.25">
      <c r="B45" s="1507">
        <v>28</v>
      </c>
      <c r="C45" s="1507">
        <v>0.223</v>
      </c>
      <c r="E45" s="1505"/>
    </row>
    <row r="46" spans="2:5" ht="17.25">
      <c r="B46" s="1507">
        <v>29</v>
      </c>
      <c r="C46" s="1507">
        <v>0.21199999999999999</v>
      </c>
      <c r="E46" s="1505"/>
    </row>
    <row r="47" spans="2:5" ht="17.25">
      <c r="B47" s="1507">
        <v>30</v>
      </c>
      <c r="C47" s="1507">
        <v>0.20100000000000001</v>
      </c>
      <c r="E47" s="1505"/>
    </row>
    <row r="48" spans="2:5" ht="17.25">
      <c r="B48" s="1507">
        <v>31</v>
      </c>
      <c r="C48" s="1507">
        <v>0.19</v>
      </c>
      <c r="E48" s="1505"/>
    </row>
    <row r="49" spans="2:5" ht="17.25">
      <c r="B49" s="1507">
        <v>32</v>
      </c>
      <c r="C49" s="1507">
        <v>0.18</v>
      </c>
      <c r="E49" s="1505"/>
    </row>
    <row r="50" spans="2:5" ht="17.25">
      <c r="B50" s="1507">
        <v>33</v>
      </c>
      <c r="C50" s="1507">
        <v>0.17100000000000001</v>
      </c>
      <c r="E50" s="1505"/>
    </row>
    <row r="51" spans="2:5" ht="17.25">
      <c r="B51" s="1507">
        <v>34</v>
      </c>
      <c r="C51" s="1507">
        <v>0.16200000000000001</v>
      </c>
      <c r="E51" s="1505"/>
    </row>
    <row r="52" spans="2:5" ht="17.25">
      <c r="B52" s="1507">
        <v>35</v>
      </c>
      <c r="C52" s="1507">
        <v>0.154</v>
      </c>
      <c r="E52" s="1505"/>
    </row>
    <row r="53" spans="2:5" ht="17.25">
      <c r="B53" s="1507">
        <v>36</v>
      </c>
      <c r="C53" s="1507">
        <v>0.14599999999999999</v>
      </c>
      <c r="E53" s="1505"/>
    </row>
    <row r="54" spans="2:5" ht="17.25">
      <c r="B54" s="1507">
        <v>37</v>
      </c>
      <c r="C54" s="1507">
        <v>0.13800000000000001</v>
      </c>
      <c r="E54" s="1505"/>
    </row>
    <row r="55" spans="2:5" ht="17.25">
      <c r="B55" s="1507">
        <v>38</v>
      </c>
      <c r="C55" s="1507">
        <v>0.13100000000000001</v>
      </c>
      <c r="E55" s="1505"/>
    </row>
    <row r="56" spans="2:5" ht="17.25">
      <c r="B56" s="1507">
        <v>39</v>
      </c>
      <c r="C56" s="1507">
        <v>0.124</v>
      </c>
      <c r="E56" s="1505"/>
    </row>
    <row r="57" spans="2:5" ht="17.25">
      <c r="B57" s="1507">
        <v>40</v>
      </c>
      <c r="C57" s="1507">
        <v>0.11700000000000001</v>
      </c>
      <c r="E57" s="1505"/>
    </row>
    <row r="58" spans="2:5" ht="17.25">
      <c r="B58" s="1507">
        <v>41</v>
      </c>
      <c r="C58" s="1507">
        <v>0.111</v>
      </c>
      <c r="E58" s="1505"/>
    </row>
    <row r="59" spans="2:5" ht="17.25">
      <c r="B59" s="1507">
        <v>42</v>
      </c>
      <c r="C59" s="1507">
        <v>0.106</v>
      </c>
      <c r="E59" s="1505"/>
    </row>
    <row r="60" spans="2:5" ht="17.25">
      <c r="B60" s="1507">
        <v>43</v>
      </c>
      <c r="C60" s="1507">
        <v>0.1</v>
      </c>
      <c r="E60" s="1505"/>
    </row>
    <row r="61" spans="2:5" ht="17.25">
      <c r="B61" s="1507">
        <v>44</v>
      </c>
      <c r="C61" s="1507">
        <v>9.5000000000000001E-2</v>
      </c>
      <c r="E61" s="1505"/>
    </row>
    <row r="62" spans="2:5" ht="17.25">
      <c r="B62" s="1507">
        <v>45</v>
      </c>
      <c r="C62" s="1507">
        <v>0.09</v>
      </c>
      <c r="E62" s="1505"/>
    </row>
    <row r="63" spans="2:5" ht="17.25">
      <c r="B63" s="1507">
        <v>46</v>
      </c>
      <c r="C63" s="1507">
        <v>8.5000000000000006E-2</v>
      </c>
      <c r="E63" s="1505"/>
    </row>
    <row r="64" spans="2:5" ht="17.25">
      <c r="B64" s="1507">
        <v>47</v>
      </c>
      <c r="C64" s="1507">
        <v>8.1000000000000003E-2</v>
      </c>
      <c r="E64" s="1505"/>
    </row>
    <row r="65" spans="2:5" ht="17.25">
      <c r="B65" s="1507">
        <v>48</v>
      </c>
      <c r="C65" s="1507">
        <v>7.6999999999999999E-2</v>
      </c>
      <c r="E65" s="1505"/>
    </row>
    <row r="66" spans="2:5" ht="17.25">
      <c r="B66" s="1507">
        <v>49</v>
      </c>
      <c r="C66" s="1507">
        <v>7.2999999999999995E-2</v>
      </c>
      <c r="E66" s="1505"/>
    </row>
    <row r="67" spans="2:5" ht="17.25">
      <c r="B67" s="1507">
        <v>50</v>
      </c>
      <c r="C67" s="1507">
        <v>6.9000000000000006E-2</v>
      </c>
      <c r="E67" s="1505"/>
    </row>
    <row r="68" spans="2:5" ht="17.25">
      <c r="B68" s="1507">
        <v>51</v>
      </c>
      <c r="C68" s="1507">
        <v>6.5000000000000002E-2</v>
      </c>
      <c r="E68" s="1505"/>
    </row>
    <row r="69" spans="2:5" ht="17.25">
      <c r="B69" s="1507">
        <v>52</v>
      </c>
      <c r="C69" s="1507">
        <v>6.2E-2</v>
      </c>
      <c r="E69" s="1505"/>
    </row>
    <row r="70" spans="2:5" ht="17.25">
      <c r="B70" s="1507">
        <v>53</v>
      </c>
      <c r="C70" s="1507">
        <v>5.8999999999999997E-2</v>
      </c>
      <c r="E70" s="1505"/>
    </row>
    <row r="71" spans="2:5" ht="17.25">
      <c r="B71" s="1507">
        <v>54</v>
      </c>
      <c r="C71" s="1507">
        <v>5.6000000000000001E-2</v>
      </c>
      <c r="E71" s="1505"/>
    </row>
    <row r="72" spans="2:5" ht="17.25">
      <c r="B72" s="1507">
        <v>55</v>
      </c>
      <c r="C72" s="1507">
        <v>5.2999999999999999E-2</v>
      </c>
      <c r="E72" s="1505"/>
    </row>
    <row r="73" spans="2:5" ht="17.25">
      <c r="B73" s="1507">
        <v>56</v>
      </c>
      <c r="C73" s="1507">
        <v>0.05</v>
      </c>
      <c r="E73" s="1505"/>
    </row>
    <row r="74" spans="2:5" ht="17.25">
      <c r="B74" s="1507">
        <v>57</v>
      </c>
      <c r="C74" s="1507">
        <v>4.7E-2</v>
      </c>
      <c r="E74" s="1505"/>
    </row>
    <row r="75" spans="2:5" ht="17.25">
      <c r="B75" s="1507">
        <v>58</v>
      </c>
      <c r="C75" s="1507">
        <v>4.4999999999999998E-2</v>
      </c>
      <c r="E75" s="1505"/>
    </row>
    <row r="76" spans="2:5" ht="17.25">
      <c r="B76" s="1507">
        <v>59</v>
      </c>
      <c r="C76" s="1507">
        <v>4.2000000000000003E-2</v>
      </c>
      <c r="E76" s="1505"/>
    </row>
    <row r="77" spans="2:5" ht="17.25">
      <c r="B77" s="1507">
        <v>60</v>
      </c>
      <c r="C77" s="1507">
        <v>0.04</v>
      </c>
      <c r="E77" s="1505"/>
    </row>
    <row r="78" spans="2:5" ht="17.25">
      <c r="B78" s="1507">
        <v>61</v>
      </c>
      <c r="C78" s="1507">
        <v>3.7999999999999999E-2</v>
      </c>
      <c r="E78" s="1505"/>
    </row>
    <row r="79" spans="2:5" ht="17.25">
      <c r="B79" s="1507">
        <v>62</v>
      </c>
      <c r="C79" s="1507">
        <v>3.5999999999999997E-2</v>
      </c>
      <c r="E79" s="1505"/>
    </row>
    <row r="80" spans="2:5" ht="17.25">
      <c r="B80" s="1507">
        <v>63</v>
      </c>
      <c r="C80" s="1507">
        <v>3.4000000000000002E-2</v>
      </c>
      <c r="E80" s="1505"/>
    </row>
    <row r="81" spans="2:5" ht="17.25">
      <c r="B81" s="1507">
        <v>64</v>
      </c>
      <c r="C81" s="1507">
        <v>3.2000000000000001E-2</v>
      </c>
      <c r="E81" s="1505"/>
    </row>
    <row r="82" spans="2:5" ht="17.25">
      <c r="B82" s="1507">
        <v>65</v>
      </c>
      <c r="C82" s="1507">
        <v>3.1E-2</v>
      </c>
      <c r="E82" s="1505"/>
    </row>
    <row r="83" spans="2:5" ht="17.25">
      <c r="B83" s="1507">
        <v>66</v>
      </c>
      <c r="C83" s="1507">
        <v>2.9000000000000001E-2</v>
      </c>
      <c r="E83" s="1505"/>
    </row>
    <row r="84" spans="2:5" ht="17.25">
      <c r="B84" s="1507">
        <v>67</v>
      </c>
      <c r="C84" s="1507">
        <v>2.8000000000000001E-2</v>
      </c>
      <c r="E84" s="1505"/>
    </row>
    <row r="85" spans="2:5" ht="17.25">
      <c r="B85" s="1507">
        <v>68</v>
      </c>
      <c r="C85" s="1507">
        <v>0.02</v>
      </c>
      <c r="E85" s="1505"/>
    </row>
    <row r="86" spans="2:5" ht="17.25">
      <c r="B86" s="1507">
        <v>69</v>
      </c>
      <c r="C86" s="1507">
        <v>2.5000000000000001E-2</v>
      </c>
      <c r="E86" s="1505"/>
    </row>
    <row r="87" spans="2:5" ht="17.25">
      <c r="B87" s="1507">
        <v>70</v>
      </c>
      <c r="C87" s="1507">
        <v>2.4E-2</v>
      </c>
      <c r="E87" s="1505"/>
    </row>
    <row r="88" spans="2:5" ht="17.25">
      <c r="B88" s="1507">
        <v>71</v>
      </c>
      <c r="C88" s="1507">
        <v>2.1999999999999999E-2</v>
      </c>
      <c r="E88" s="1505"/>
    </row>
    <row r="89" spans="2:5" ht="17.25">
      <c r="B89" s="1507">
        <v>72</v>
      </c>
      <c r="C89" s="1507">
        <v>2.1000000000000001E-2</v>
      </c>
      <c r="E89" s="1505"/>
    </row>
    <row r="90" spans="2:5" ht="17.25">
      <c r="B90" s="1507">
        <v>73</v>
      </c>
      <c r="C90" s="1507">
        <v>0.02</v>
      </c>
      <c r="E90" s="1505"/>
    </row>
    <row r="91" spans="2:5" ht="17.25">
      <c r="B91" s="1507">
        <v>74</v>
      </c>
      <c r="C91" s="1507">
        <v>1.9E-2</v>
      </c>
      <c r="E91" s="1505"/>
    </row>
    <row r="92" spans="2:5" ht="17.25">
      <c r="B92" s="1507">
        <v>75</v>
      </c>
      <c r="C92" s="1507">
        <v>1.7999999999999999E-2</v>
      </c>
      <c r="E92" s="1505"/>
    </row>
    <row r="93" spans="2:5" ht="17.25">
      <c r="B93" s="1507">
        <v>76</v>
      </c>
      <c r="C93" s="1507">
        <v>1.7000000000000001E-2</v>
      </c>
      <c r="E93" s="1505"/>
    </row>
    <row r="94" spans="2:5" ht="17.25">
      <c r="B94" s="1507">
        <v>77</v>
      </c>
      <c r="C94" s="1507">
        <v>1.6E-2</v>
      </c>
      <c r="E94" s="1505"/>
    </row>
    <row r="95" spans="2:5" ht="17.25">
      <c r="B95" s="1507">
        <v>78</v>
      </c>
      <c r="C95" s="1507">
        <v>1.4999999999999999E-2</v>
      </c>
      <c r="E95" s="1505"/>
    </row>
    <row r="96" spans="2:5" ht="17.25">
      <c r="B96" s="1507">
        <v>79</v>
      </c>
      <c r="C96" s="1507">
        <v>1.4999999999999999E-2</v>
      </c>
      <c r="E96" s="1505"/>
    </row>
    <row r="97" spans="2:5" ht="17.25">
      <c r="B97" s="1507">
        <v>80</v>
      </c>
      <c r="C97" s="1507">
        <v>1.4E-2</v>
      </c>
      <c r="E97" s="1505"/>
    </row>
    <row r="98" spans="2:5" ht="17.25">
      <c r="B98" s="1507">
        <v>81</v>
      </c>
      <c r="C98" s="1507">
        <v>1.2999999999999999E-2</v>
      </c>
      <c r="E98" s="1505"/>
    </row>
    <row r="99" spans="2:5" ht="17.25">
      <c r="B99" s="1507">
        <v>82</v>
      </c>
      <c r="C99" s="1507">
        <v>1.2E-2</v>
      </c>
      <c r="E99" s="1505"/>
    </row>
    <row r="100" spans="2:5" ht="17.25">
      <c r="B100" s="1507">
        <v>83</v>
      </c>
      <c r="C100" s="1507">
        <v>1.2E-2</v>
      </c>
      <c r="E100" s="1505"/>
    </row>
    <row r="101" spans="2:5" ht="17.25">
      <c r="B101" s="1507">
        <v>84</v>
      </c>
      <c r="C101" s="1507">
        <v>1.0999999999999999E-2</v>
      </c>
      <c r="E101" s="1505"/>
    </row>
    <row r="102" spans="2:5" ht="17.25">
      <c r="B102" s="1507">
        <v>85</v>
      </c>
      <c r="C102" s="1507">
        <v>1.0999999999999999E-2</v>
      </c>
      <c r="E102" s="1505"/>
    </row>
    <row r="103" spans="2:5" ht="17.25">
      <c r="B103" s="1507">
        <v>86</v>
      </c>
      <c r="C103" s="1507">
        <v>0.01</v>
      </c>
      <c r="E103" s="1505"/>
    </row>
    <row r="104" spans="2:5" ht="17.25">
      <c r="B104" s="1507">
        <v>87</v>
      </c>
      <c r="C104" s="1507">
        <v>8.9999999999999993E-3</v>
      </c>
      <c r="E104" s="1505"/>
    </row>
    <row r="105" spans="2:5" ht="17.25">
      <c r="B105" s="1507">
        <v>88</v>
      </c>
      <c r="C105" s="1507">
        <v>8.9999999999999993E-3</v>
      </c>
      <c r="E105" s="1505"/>
    </row>
    <row r="106" spans="2:5" ht="17.25">
      <c r="B106" s="1507">
        <v>89</v>
      </c>
      <c r="C106" s="1507">
        <v>8.9999999999999993E-3</v>
      </c>
      <c r="E106" s="1505"/>
    </row>
    <row r="107" spans="2:5" ht="17.25">
      <c r="B107" s="1507">
        <v>90</v>
      </c>
      <c r="C107" s="1507">
        <v>8.0000000000000002E-3</v>
      </c>
      <c r="E107" s="1505"/>
    </row>
    <row r="108" spans="2:5" ht="17.25">
      <c r="B108" s="1507">
        <v>91</v>
      </c>
      <c r="C108" s="1507">
        <v>8.0000000000000002E-3</v>
      </c>
      <c r="E108" s="1505"/>
    </row>
    <row r="109" spans="2:5" ht="17.25">
      <c r="B109" s="1507">
        <v>92</v>
      </c>
      <c r="C109" s="1507">
        <v>7.0000000000000001E-3</v>
      </c>
      <c r="E109" s="1505"/>
    </row>
    <row r="110" spans="2:5" ht="17.25">
      <c r="B110" s="1507">
        <v>93</v>
      </c>
      <c r="C110" s="1507">
        <v>7.0000000000000001E-3</v>
      </c>
      <c r="E110" s="1505"/>
    </row>
    <row r="111" spans="2:5" ht="17.25">
      <c r="B111" s="1507">
        <v>94</v>
      </c>
      <c r="C111" s="1507">
        <v>7.0000000000000001E-3</v>
      </c>
      <c r="E111" s="1505"/>
    </row>
    <row r="112" spans="2:5" ht="17.25">
      <c r="B112" s="1507">
        <v>95</v>
      </c>
      <c r="C112" s="1507">
        <v>6.0000000000000001E-3</v>
      </c>
      <c r="E112" s="1505"/>
    </row>
    <row r="113" spans="2:5" ht="17.25">
      <c r="B113" s="1507">
        <v>96</v>
      </c>
      <c r="C113" s="1507">
        <v>6.0000000000000001E-3</v>
      </c>
      <c r="E113" s="1505"/>
    </row>
    <row r="114" spans="2:5" ht="17.25">
      <c r="B114" s="1507">
        <v>97</v>
      </c>
      <c r="C114" s="1507">
        <v>6.0000000000000001E-3</v>
      </c>
      <c r="E114" s="1505"/>
    </row>
    <row r="115" spans="2:5" ht="17.25">
      <c r="B115" s="1507">
        <v>98</v>
      </c>
      <c r="C115" s="1507">
        <v>5.0000000000000001E-3</v>
      </c>
      <c r="E115" s="1505"/>
    </row>
    <row r="116" spans="2:5" ht="17.25">
      <c r="B116" s="1507">
        <v>99</v>
      </c>
      <c r="C116" s="1507">
        <v>5.0000000000000001E-3</v>
      </c>
      <c r="E116" s="1505"/>
    </row>
    <row r="117" spans="2:5" ht="17.25">
      <c r="B117" s="1507">
        <v>100</v>
      </c>
      <c r="C117" s="1507">
        <v>5.0000000000000001E-3</v>
      </c>
      <c r="E117" s="1505"/>
    </row>
    <row r="118" spans="2:5" ht="17.25">
      <c r="B118" s="1507"/>
    </row>
    <row r="119" spans="2:5" ht="17.25">
      <c r="B119" s="1507"/>
    </row>
    <row r="120" spans="2:5" ht="17.25">
      <c r="B120" s="1507"/>
    </row>
    <row r="121" spans="2:5" ht="17.25">
      <c r="B121" s="1507"/>
    </row>
    <row r="122" spans="2:5" ht="17.25">
      <c r="B122" s="1507"/>
    </row>
    <row r="123" spans="2:5" ht="17.25">
      <c r="B123" s="1507"/>
    </row>
    <row r="124" spans="2:5" ht="17.25">
      <c r="B124" s="1507"/>
    </row>
    <row r="125" spans="2:5" ht="17.25">
      <c r="B125" s="1507"/>
    </row>
    <row r="126" spans="2:5" ht="17.25">
      <c r="B126" s="1507"/>
    </row>
    <row r="127" spans="2:5" ht="17.25">
      <c r="B127" s="1507"/>
    </row>
    <row r="128" spans="2:5" ht="17.25">
      <c r="B128" s="1507"/>
    </row>
    <row r="129" spans="2:2" ht="17.25">
      <c r="B129" s="1507"/>
    </row>
    <row r="130" spans="2:2" ht="17.25">
      <c r="B130" s="1507"/>
    </row>
    <row r="131" spans="2:2" ht="17.25">
      <c r="B131" s="1507"/>
    </row>
    <row r="132" spans="2:2" ht="17.25">
      <c r="B132" s="1507"/>
    </row>
    <row r="133" spans="2:2" ht="17.25">
      <c r="B133" s="1507"/>
    </row>
    <row r="134" spans="2:2" ht="17.25">
      <c r="B134" s="1507"/>
    </row>
    <row r="135" spans="2:2" ht="17.25">
      <c r="B135" s="1507"/>
    </row>
    <row r="136" spans="2:2" ht="17.25">
      <c r="B136" s="1507"/>
    </row>
    <row r="137" spans="2:2" ht="17.25">
      <c r="B137" s="1507"/>
    </row>
    <row r="138" spans="2:2" ht="17.25">
      <c r="B138" s="1507"/>
    </row>
    <row r="139" spans="2:2" ht="17.25">
      <c r="B139" s="1507"/>
    </row>
    <row r="140" spans="2:2" ht="17.25">
      <c r="B140" s="1507"/>
    </row>
    <row r="141" spans="2:2" ht="17.25">
      <c r="B141" s="1507"/>
    </row>
    <row r="142" spans="2:2" ht="17.25">
      <c r="B142" s="1507"/>
    </row>
    <row r="143" spans="2:2" ht="17.25">
      <c r="B143" s="1507"/>
    </row>
    <row r="144" spans="2:2" ht="17.25">
      <c r="B144" s="1507"/>
    </row>
    <row r="145" spans="2:2" ht="17.25">
      <c r="B145" s="1507"/>
    </row>
    <row r="146" spans="2:2" ht="17.25">
      <c r="B146" s="1507"/>
    </row>
    <row r="147" spans="2:2" ht="17.25">
      <c r="B147" s="1507"/>
    </row>
    <row r="148" spans="2:2" ht="17.25">
      <c r="B148" s="1507"/>
    </row>
    <row r="149" spans="2:2" ht="17.25">
      <c r="B149" s="1507"/>
    </row>
    <row r="150" spans="2:2" ht="17.25">
      <c r="B150" s="1507"/>
    </row>
  </sheetData>
  <sortState xmlns:xlrd2="http://schemas.microsoft.com/office/spreadsheetml/2017/richdata2" ref="B18:C216">
    <sortCondition ref="B18:B216"/>
  </sortState>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25"/>
  <cols>
    <col min="1" max="1" width="33.125" customWidth="1"/>
    <col min="2" max="2" width="34.125" style="1820" customWidth="1"/>
    <col min="3" max="3" width="31.125" style="1820" customWidth="1"/>
  </cols>
  <sheetData>
    <row r="1" spans="1:5" ht="36">
      <c r="A1" s="2166" t="s">
        <v>1812</v>
      </c>
      <c r="B1" s="2167" t="s">
        <v>1822</v>
      </c>
      <c r="C1" s="2167" t="s">
        <v>1823</v>
      </c>
      <c r="D1" s="2166"/>
      <c r="E1" s="2166"/>
    </row>
    <row r="2" spans="1:5">
      <c r="B2" s="1969" t="s">
        <v>1813</v>
      </c>
      <c r="E2" t="s">
        <v>1814</v>
      </c>
    </row>
    <row r="9" spans="1:5">
      <c r="A9" t="s">
        <v>1816</v>
      </c>
    </row>
    <row r="10" spans="1:5" ht="25.5">
      <c r="B10" s="1968" t="s">
        <v>1811</v>
      </c>
      <c r="E10" t="s">
        <v>1815</v>
      </c>
    </row>
    <row r="11" spans="1:5" ht="25.5">
      <c r="B11" s="1968" t="s">
        <v>1834</v>
      </c>
      <c r="E11" t="s">
        <v>1835</v>
      </c>
    </row>
    <row r="17" spans="1:5">
      <c r="A17" t="s">
        <v>1483</v>
      </c>
    </row>
    <row r="18" spans="1:5">
      <c r="B18" s="1820" t="s">
        <v>1817</v>
      </c>
      <c r="E18" t="s">
        <v>1815</v>
      </c>
    </row>
    <row r="19" spans="1:5">
      <c r="B19" s="1820" t="s">
        <v>1819</v>
      </c>
      <c r="E19" t="s">
        <v>1815</v>
      </c>
    </row>
    <row r="20" spans="1:5">
      <c r="B20" s="1820" t="s">
        <v>1818</v>
      </c>
      <c r="E20" t="s">
        <v>1815</v>
      </c>
    </row>
    <row r="21" spans="1:5">
      <c r="B21" s="1820" t="s">
        <v>1833</v>
      </c>
    </row>
    <row r="22" spans="1:5" ht="15">
      <c r="B22" s="1821" t="s">
        <v>1820</v>
      </c>
      <c r="E22" s="409" t="s">
        <v>1814</v>
      </c>
    </row>
    <row r="23" spans="1:5" ht="28.5">
      <c r="B23" s="1820" t="s">
        <v>1824</v>
      </c>
      <c r="C23" s="1820" t="s">
        <v>1821</v>
      </c>
      <c r="E23" t="s">
        <v>1814</v>
      </c>
    </row>
    <row r="25" spans="1:5">
      <c r="B25" s="1820" t="s">
        <v>1825</v>
      </c>
      <c r="E25" t="s">
        <v>1814</v>
      </c>
    </row>
    <row r="26" spans="1:5">
      <c r="C26" s="1820" t="s">
        <v>1832</v>
      </c>
    </row>
    <row r="27" spans="1:5">
      <c r="C27" s="1820" t="s">
        <v>1826</v>
      </c>
    </row>
    <row r="28" spans="1:5">
      <c r="C28" s="1820" t="s">
        <v>1827</v>
      </c>
    </row>
    <row r="29" spans="1:5">
      <c r="C29" s="1820" t="s">
        <v>1828</v>
      </c>
    </row>
    <row r="30" spans="1:5" ht="28.5">
      <c r="B30" s="1820" t="s">
        <v>1830</v>
      </c>
      <c r="C30" s="1820" t="s">
        <v>1829</v>
      </c>
    </row>
    <row r="31" spans="1:5" ht="28.5">
      <c r="B31" s="1820" t="s">
        <v>1831</v>
      </c>
    </row>
    <row r="34" spans="1:3">
      <c r="A34" t="s">
        <v>1836</v>
      </c>
      <c r="C34" s="1820" t="s">
        <v>1837</v>
      </c>
    </row>
    <row r="35" spans="1:3">
      <c r="C35" s="1820" t="s">
        <v>1838</v>
      </c>
    </row>
    <row r="36" spans="1:3">
      <c r="C36" s="1820" t="s">
        <v>1842</v>
      </c>
    </row>
    <row r="37" spans="1:3">
      <c r="C37" s="1820" t="s">
        <v>1843</v>
      </c>
    </row>
    <row r="38" spans="1:3">
      <c r="C38" s="1820" t="s">
        <v>1839</v>
      </c>
    </row>
    <row r="40" spans="1:3">
      <c r="A40" t="s">
        <v>210</v>
      </c>
      <c r="C40" s="1820" t="s">
        <v>1844</v>
      </c>
    </row>
    <row r="41" spans="1:3">
      <c r="C41" s="1820" t="s">
        <v>1845</v>
      </c>
    </row>
    <row r="44" spans="1:3">
      <c r="A44" t="s">
        <v>1840</v>
      </c>
      <c r="B44" s="1820" t="s">
        <v>1841</v>
      </c>
    </row>
  </sheetData>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25"/>
  <cols>
    <col min="9" max="9" width="12.5" customWidth="1"/>
  </cols>
  <sheetData>
    <row r="2" spans="2:10">
      <c r="B2" s="71"/>
      <c r="C2" s="128"/>
      <c r="D2" s="128"/>
      <c r="E2" s="128"/>
      <c r="F2" s="128"/>
      <c r="G2" s="3932" t="s">
        <v>1600</v>
      </c>
      <c r="H2" s="3933"/>
      <c r="I2" s="1424"/>
    </row>
    <row r="3" spans="2:10">
      <c r="B3" s="545"/>
      <c r="C3" s="66" t="s">
        <v>59</v>
      </c>
      <c r="D3" s="66" t="s">
        <v>1601</v>
      </c>
      <c r="E3" s="66" t="s">
        <v>1602</v>
      </c>
      <c r="F3" s="66" t="s">
        <v>1603</v>
      </c>
      <c r="G3" s="66" t="s">
        <v>1604</v>
      </c>
      <c r="H3" s="1436" t="s">
        <v>1605</v>
      </c>
      <c r="I3" s="1431" t="s">
        <v>1881</v>
      </c>
    </row>
    <row r="4" spans="2:10">
      <c r="B4" s="1419"/>
      <c r="C4" s="1420">
        <v>32874</v>
      </c>
      <c r="D4" s="1421">
        <v>2415.8541386521324</v>
      </c>
      <c r="E4" s="1421">
        <v>28990.249663825587</v>
      </c>
      <c r="F4" s="1422">
        <v>0.125</v>
      </c>
      <c r="G4" s="619"/>
      <c r="H4" s="1428"/>
      <c r="I4" s="1423"/>
      <c r="J4" s="59">
        <f>+F4+G4+H4</f>
        <v>0.125</v>
      </c>
    </row>
    <row r="5" spans="2:10">
      <c r="B5" s="1419"/>
      <c r="C5" s="1420">
        <v>33239</v>
      </c>
      <c r="D5" s="1421">
        <v>2492.5479208315651</v>
      </c>
      <c r="E5" s="1421">
        <v>29910.575049978783</v>
      </c>
      <c r="F5" s="1422">
        <v>0.122</v>
      </c>
      <c r="G5" s="619"/>
      <c r="H5" s="1428"/>
      <c r="I5" s="1423"/>
      <c r="J5" s="59">
        <f t="shared" ref="J5:J40" si="0">+F5+G5+H5</f>
        <v>0.122</v>
      </c>
    </row>
    <row r="6" spans="2:10">
      <c r="B6" s="1419"/>
      <c r="C6" s="1420">
        <v>33604</v>
      </c>
      <c r="D6" s="1421">
        <v>2607.5885941007145</v>
      </c>
      <c r="E6" s="1421">
        <v>31291.063129208571</v>
      </c>
      <c r="F6" s="1422">
        <v>0.127</v>
      </c>
      <c r="G6" s="619"/>
      <c r="H6" s="1428"/>
      <c r="I6" s="1423"/>
      <c r="J6" s="59">
        <f t="shared" si="0"/>
        <v>0.127</v>
      </c>
    </row>
    <row r="7" spans="2:10">
      <c r="B7" s="1419"/>
      <c r="C7" s="1420">
        <v>33970</v>
      </c>
      <c r="D7" s="1421">
        <v>2760.9761584595799</v>
      </c>
      <c r="E7" s="1421">
        <v>33131.713901514959</v>
      </c>
      <c r="F7" s="1422">
        <v>0.13400000000000001</v>
      </c>
      <c r="G7" s="619"/>
      <c r="H7" s="1428"/>
      <c r="I7" s="1423"/>
      <c r="J7" s="59">
        <f t="shared" si="0"/>
        <v>0.13400000000000001</v>
      </c>
    </row>
    <row r="8" spans="2:10">
      <c r="B8" s="1419"/>
      <c r="C8" s="1420">
        <v>34335</v>
      </c>
      <c r="D8" s="1421">
        <v>2914.3637228184452</v>
      </c>
      <c r="E8" s="1421">
        <v>34972.364673821343</v>
      </c>
      <c r="F8" s="1422">
        <v>0.13200000000000001</v>
      </c>
      <c r="G8" s="619"/>
      <c r="H8" s="619"/>
      <c r="I8" s="1424"/>
      <c r="J8" s="59">
        <f t="shared" si="0"/>
        <v>0.13200000000000001</v>
      </c>
    </row>
    <row r="9" spans="2:10">
      <c r="B9" s="1419"/>
      <c r="C9" s="1420">
        <v>34700</v>
      </c>
      <c r="D9" s="1421">
        <v>2991.0575049978784</v>
      </c>
      <c r="E9" s="1421">
        <v>35892.690059974535</v>
      </c>
      <c r="F9" s="1422">
        <v>0.13200000000000001</v>
      </c>
      <c r="G9" s="619">
        <v>0.01</v>
      </c>
      <c r="H9" s="619">
        <v>0</v>
      </c>
      <c r="I9" s="1424"/>
      <c r="J9" s="59">
        <f t="shared" si="0"/>
        <v>0.14200000000000002</v>
      </c>
    </row>
    <row r="10" spans="2:10">
      <c r="B10" s="1419"/>
      <c r="C10" s="1420">
        <v>35065</v>
      </c>
      <c r="D10" s="1421">
        <v>3067.751287177311</v>
      </c>
      <c r="E10" s="1421">
        <v>36813.015446127734</v>
      </c>
      <c r="F10" s="1422">
        <v>0.13500000000000001</v>
      </c>
      <c r="G10" s="619">
        <v>1.7000000000000001E-2</v>
      </c>
      <c r="H10" s="619">
        <v>0</v>
      </c>
      <c r="I10" s="1424"/>
      <c r="J10" s="59">
        <f t="shared" si="0"/>
        <v>0.15200000000000002</v>
      </c>
    </row>
    <row r="11" spans="2:10">
      <c r="B11" s="1419"/>
      <c r="C11" s="1420">
        <v>35431</v>
      </c>
      <c r="D11" s="1421">
        <v>3144.4450693567437</v>
      </c>
      <c r="E11" s="1421">
        <v>37733.340832280926</v>
      </c>
      <c r="F11" s="1422">
        <v>0.13500000000000001</v>
      </c>
      <c r="G11" s="619">
        <v>1.7000000000000001E-2</v>
      </c>
      <c r="H11" s="619">
        <v>0</v>
      </c>
      <c r="I11" s="1424"/>
      <c r="J11" s="59">
        <f t="shared" si="0"/>
        <v>0.15200000000000002</v>
      </c>
    </row>
    <row r="12" spans="2:10">
      <c r="B12" s="1419"/>
      <c r="C12" s="1420">
        <v>35796</v>
      </c>
      <c r="D12" s="1421">
        <v>3221.1388515361764</v>
      </c>
      <c r="E12" s="1421">
        <v>38653.666218434118</v>
      </c>
      <c r="F12" s="1422">
        <v>0.13600000000000001</v>
      </c>
      <c r="G12" s="619">
        <v>1.7000000000000001E-2</v>
      </c>
      <c r="H12" s="619">
        <v>0</v>
      </c>
      <c r="I12" s="1424"/>
      <c r="J12" s="59">
        <f t="shared" si="0"/>
        <v>0.15300000000000002</v>
      </c>
    </row>
    <row r="13" spans="2:10">
      <c r="B13" s="1419"/>
      <c r="C13" s="1420">
        <v>36161</v>
      </c>
      <c r="D13" s="1421">
        <v>3259.4857426258927</v>
      </c>
      <c r="E13" s="1421">
        <v>39113.828911510718</v>
      </c>
      <c r="F13" s="1422">
        <v>0.13500000000000001</v>
      </c>
      <c r="G13" s="619">
        <v>1.7000000000000001E-2</v>
      </c>
      <c r="H13" s="619">
        <v>0</v>
      </c>
      <c r="I13" s="1424"/>
      <c r="J13" s="59">
        <f t="shared" si="0"/>
        <v>0.15200000000000002</v>
      </c>
    </row>
    <row r="14" spans="2:10">
      <c r="B14" s="1419"/>
      <c r="C14" s="1420">
        <v>36526</v>
      </c>
      <c r="D14" s="1421">
        <v>3297.8326337156095</v>
      </c>
      <c r="E14" s="1421">
        <v>39573.991604587311</v>
      </c>
      <c r="F14" s="1422">
        <v>0.13600000000000001</v>
      </c>
      <c r="G14" s="619">
        <v>1.7000000000000001E-2</v>
      </c>
      <c r="H14" s="619">
        <v>0</v>
      </c>
      <c r="I14" s="1424"/>
      <c r="J14" s="59">
        <f t="shared" si="0"/>
        <v>0.15300000000000002</v>
      </c>
    </row>
    <row r="15" spans="2:10">
      <c r="B15" s="1419"/>
      <c r="C15" s="1420">
        <v>36892</v>
      </c>
      <c r="D15" s="1421">
        <v>3336.1795248053259</v>
      </c>
      <c r="E15" s="1421">
        <v>40034.15429766391</v>
      </c>
      <c r="F15" s="1422">
        <v>0.13600000000000001</v>
      </c>
      <c r="G15" s="619">
        <v>1.7000000000000001E-2</v>
      </c>
      <c r="H15" s="619">
        <v>0</v>
      </c>
      <c r="I15" s="1424"/>
      <c r="J15" s="59">
        <f t="shared" si="0"/>
        <v>0.15300000000000002</v>
      </c>
    </row>
    <row r="16" spans="2:10">
      <c r="B16" s="1419"/>
      <c r="C16" s="1425">
        <v>37257</v>
      </c>
      <c r="D16" s="1426">
        <v>3375</v>
      </c>
      <c r="E16" s="1426">
        <v>40500</v>
      </c>
      <c r="F16" s="1427">
        <v>0.14000000000000001</v>
      </c>
      <c r="G16" s="619">
        <v>1.7000000000000001E-2</v>
      </c>
      <c r="H16" s="619">
        <v>0</v>
      </c>
      <c r="I16" s="1424"/>
      <c r="J16" s="59">
        <f t="shared" si="0"/>
        <v>0.15700000000000003</v>
      </c>
    </row>
    <row r="17" spans="2:10">
      <c r="B17" s="1419"/>
      <c r="C17" s="1425">
        <v>37622</v>
      </c>
      <c r="D17" s="1426">
        <v>3450</v>
      </c>
      <c r="E17" s="1426">
        <v>41400</v>
      </c>
      <c r="F17" s="1427">
        <v>0.14399999999999999</v>
      </c>
      <c r="G17" s="619">
        <v>1.7000000000000001E-2</v>
      </c>
      <c r="H17" s="619">
        <v>0</v>
      </c>
      <c r="I17" s="1424"/>
      <c r="J17" s="59">
        <f t="shared" si="0"/>
        <v>0.16099999999999998</v>
      </c>
    </row>
    <row r="18" spans="2:10">
      <c r="B18" s="1419"/>
      <c r="C18" s="1425">
        <v>37987</v>
      </c>
      <c r="D18" s="1426">
        <v>3487.5</v>
      </c>
      <c r="E18" s="1426">
        <v>41850</v>
      </c>
      <c r="F18" s="1427">
        <v>0.14299999999999999</v>
      </c>
      <c r="G18" s="619">
        <v>1.7000000000000001E-2</v>
      </c>
      <c r="H18" s="619">
        <v>0</v>
      </c>
      <c r="I18" s="1424"/>
      <c r="J18" s="59">
        <f t="shared" si="0"/>
        <v>0.15999999999999998</v>
      </c>
    </row>
    <row r="19" spans="2:10">
      <c r="B19" s="1419"/>
      <c r="C19" s="1425">
        <v>38353</v>
      </c>
      <c r="D19" s="1426">
        <v>3525</v>
      </c>
      <c r="E19" s="1426">
        <v>42300</v>
      </c>
      <c r="F19" s="1428">
        <v>0.14299999999999999</v>
      </c>
      <c r="G19" s="619">
        <v>1.7000000000000001E-2</v>
      </c>
      <c r="H19" s="619">
        <v>2.5000000000000001E-3</v>
      </c>
      <c r="I19" s="1424"/>
      <c r="J19" s="59">
        <f t="shared" si="0"/>
        <v>0.16249999999999998</v>
      </c>
    </row>
    <row r="20" spans="2:10">
      <c r="B20" s="1419"/>
      <c r="C20" s="1425">
        <v>38534</v>
      </c>
      <c r="D20" s="1426">
        <v>3525</v>
      </c>
      <c r="E20" s="1426">
        <v>42300</v>
      </c>
      <c r="F20" s="1428">
        <v>0.13800000000000001</v>
      </c>
      <c r="G20" s="619">
        <v>1.7000000000000001E-2</v>
      </c>
      <c r="H20" s="619">
        <v>2.5000000000000001E-3</v>
      </c>
      <c r="I20" s="1424"/>
      <c r="J20" s="59">
        <f t="shared" si="0"/>
        <v>0.15750000000000003</v>
      </c>
    </row>
    <row r="21" spans="2:10">
      <c r="B21" s="1419"/>
      <c r="C21" s="1425">
        <v>38718</v>
      </c>
      <c r="D21" s="1426">
        <v>3562.5</v>
      </c>
      <c r="E21" s="1426">
        <v>42750</v>
      </c>
      <c r="F21" s="1427">
        <v>0.14299999999999999</v>
      </c>
      <c r="G21" s="619">
        <v>1.7000000000000001E-2</v>
      </c>
      <c r="H21" s="619">
        <v>2.5000000000000001E-3</v>
      </c>
      <c r="I21" s="1424"/>
      <c r="J21" s="59">
        <f t="shared" si="0"/>
        <v>0.16249999999999998</v>
      </c>
    </row>
    <row r="22" spans="2:10">
      <c r="B22" s="1419"/>
      <c r="C22" s="1425">
        <v>39083</v>
      </c>
      <c r="D22" s="1426">
        <v>3562.5</v>
      </c>
      <c r="E22" s="1426">
        <v>42750</v>
      </c>
      <c r="F22" s="1427">
        <v>0.14899999999999999</v>
      </c>
      <c r="G22" s="619">
        <v>1.7000000000000001E-2</v>
      </c>
      <c r="H22" s="619">
        <v>2.5000000000000001E-3</v>
      </c>
      <c r="I22" s="1424"/>
      <c r="J22" s="59">
        <f t="shared" si="0"/>
        <v>0.16849999999999998</v>
      </c>
    </row>
    <row r="23" spans="2:10">
      <c r="B23" s="1419"/>
      <c r="C23" s="1425">
        <v>39448</v>
      </c>
      <c r="D23" s="1426">
        <v>3600</v>
      </c>
      <c r="E23" s="1426">
        <v>43200</v>
      </c>
      <c r="F23" s="1427">
        <v>0.14899999999999999</v>
      </c>
      <c r="G23" s="619">
        <v>1.95E-2</v>
      </c>
      <c r="H23" s="619">
        <v>2.5000000000000001E-3</v>
      </c>
      <c r="I23" s="1429"/>
      <c r="J23" s="59">
        <f t="shared" si="0"/>
        <v>0.17099999999999999</v>
      </c>
    </row>
    <row r="24" spans="2:10">
      <c r="B24" s="1419"/>
      <c r="C24" s="1425">
        <v>39814</v>
      </c>
      <c r="D24" s="1426">
        <v>3675</v>
      </c>
      <c r="E24" s="1426">
        <v>44100</v>
      </c>
      <c r="F24" s="1428">
        <v>0.155</v>
      </c>
      <c r="G24" s="619">
        <v>1.95E-2</v>
      </c>
      <c r="H24" s="619">
        <v>2.5000000000000001E-3</v>
      </c>
      <c r="I24" s="1429"/>
      <c r="J24" s="59">
        <f t="shared" si="0"/>
        <v>0.17699999999999999</v>
      </c>
    </row>
    <row r="25" spans="2:10">
      <c r="B25" s="1419"/>
      <c r="C25" s="1425">
        <v>39995</v>
      </c>
      <c r="D25" s="1426">
        <v>3675</v>
      </c>
      <c r="E25" s="1426">
        <v>44100</v>
      </c>
      <c r="F25" s="1428">
        <v>0.14899999999999999</v>
      </c>
      <c r="G25" s="619">
        <v>1.95E-2</v>
      </c>
      <c r="H25" s="619">
        <v>2.5000000000000001E-3</v>
      </c>
      <c r="I25" s="1429"/>
      <c r="J25" s="59">
        <f t="shared" si="0"/>
        <v>0.17099999999999999</v>
      </c>
    </row>
    <row r="26" spans="2:10">
      <c r="B26" s="1419"/>
      <c r="C26" s="1425">
        <v>40179</v>
      </c>
      <c r="D26" s="1426">
        <v>3750</v>
      </c>
      <c r="E26" s="1426">
        <v>45000</v>
      </c>
      <c r="F26" s="1427">
        <v>0.155</v>
      </c>
      <c r="G26" s="619">
        <v>1.95E-2</v>
      </c>
      <c r="H26" s="619">
        <v>2.5000000000000001E-3</v>
      </c>
      <c r="I26" s="1429"/>
      <c r="J26" s="59">
        <f t="shared" si="0"/>
        <v>0.17699999999999999</v>
      </c>
    </row>
    <row r="27" spans="2:10">
      <c r="B27" s="1419"/>
      <c r="C27" s="1425">
        <v>40544</v>
      </c>
      <c r="D27" s="1426">
        <v>3712.5</v>
      </c>
      <c r="E27" s="1426">
        <v>44550</v>
      </c>
      <c r="F27" s="1427">
        <v>0.155</v>
      </c>
      <c r="G27" s="619">
        <v>1.95E-2</v>
      </c>
      <c r="H27" s="619">
        <v>2.5000000000000001E-3</v>
      </c>
      <c r="I27" s="1429"/>
      <c r="J27" s="59">
        <f t="shared" si="0"/>
        <v>0.17699999999999999</v>
      </c>
    </row>
    <row r="28" spans="2:10">
      <c r="B28" s="1419"/>
      <c r="C28" s="1425">
        <v>40909</v>
      </c>
      <c r="D28" s="1426">
        <v>3825</v>
      </c>
      <c r="E28" s="1426">
        <v>45900</v>
      </c>
      <c r="F28" s="1427">
        <v>0.155</v>
      </c>
      <c r="G28" s="619">
        <v>1.95E-2</v>
      </c>
      <c r="H28" s="619">
        <v>2.5000000000000001E-3</v>
      </c>
      <c r="I28" s="1429"/>
      <c r="J28" s="59">
        <f t="shared" si="0"/>
        <v>0.17699999999999999</v>
      </c>
    </row>
    <row r="29" spans="2:10">
      <c r="B29" s="1419"/>
      <c r="C29" s="1425">
        <v>41275</v>
      </c>
      <c r="D29" s="1426">
        <v>3937.5</v>
      </c>
      <c r="E29" s="1426">
        <v>47250</v>
      </c>
      <c r="F29" s="1427">
        <v>0.155</v>
      </c>
      <c r="G29" s="619">
        <v>2.0500000000000001E-2</v>
      </c>
      <c r="H29" s="619">
        <v>2.5000000000000001E-3</v>
      </c>
      <c r="I29" s="1424"/>
      <c r="J29" s="59">
        <f t="shared" si="0"/>
        <v>0.17799999999999999</v>
      </c>
    </row>
    <row r="30" spans="2:10">
      <c r="B30" s="1419"/>
      <c r="C30" s="1425">
        <v>41640</v>
      </c>
      <c r="D30" s="1426">
        <v>4050</v>
      </c>
      <c r="E30" s="1426">
        <v>48600</v>
      </c>
      <c r="F30" s="1427">
        <v>0.155</v>
      </c>
      <c r="G30" s="619">
        <v>2.0500000000000001E-2</v>
      </c>
      <c r="H30" s="619">
        <v>2.5000000000000001E-3</v>
      </c>
      <c r="I30" s="1424"/>
      <c r="J30" s="59">
        <f t="shared" si="0"/>
        <v>0.17799999999999999</v>
      </c>
    </row>
    <row r="31" spans="2:10">
      <c r="B31" s="1419"/>
      <c r="C31" s="1425">
        <v>42005</v>
      </c>
      <c r="D31" s="1426">
        <v>4125</v>
      </c>
      <c r="E31" s="1426">
        <v>49500</v>
      </c>
      <c r="F31" s="1427">
        <v>0.14599999999999999</v>
      </c>
      <c r="G31" s="619">
        <v>2.35E-2</v>
      </c>
      <c r="H31" s="619">
        <v>2.5000000000000001E-3</v>
      </c>
      <c r="I31" s="1424"/>
      <c r="J31" s="59">
        <f t="shared" si="0"/>
        <v>0.17199999999999999</v>
      </c>
    </row>
    <row r="32" spans="2:10">
      <c r="B32" s="1419"/>
      <c r="C32" s="1425">
        <v>42370</v>
      </c>
      <c r="D32" s="1426">
        <v>4237.5</v>
      </c>
      <c r="E32" s="1426">
        <v>50850</v>
      </c>
      <c r="F32" s="1427">
        <v>0.14599999999999999</v>
      </c>
      <c r="G32" s="619">
        <v>2.35E-2</v>
      </c>
      <c r="H32" s="619">
        <v>2.5000000000000001E-3</v>
      </c>
      <c r="I32" s="1424"/>
      <c r="J32" s="59">
        <f t="shared" si="0"/>
        <v>0.17199999999999999</v>
      </c>
    </row>
    <row r="33" spans="2:10">
      <c r="B33" s="1419"/>
      <c r="C33" s="1425">
        <v>42736</v>
      </c>
      <c r="D33" s="1426">
        <v>4350</v>
      </c>
      <c r="E33" s="1426">
        <v>52200</v>
      </c>
      <c r="F33" s="1427">
        <v>0.14599999999999999</v>
      </c>
      <c r="G33" s="619">
        <v>2.5499999999999998E-2</v>
      </c>
      <c r="H33" s="619">
        <v>2.5000000000000001E-3</v>
      </c>
      <c r="I33" s="1424"/>
      <c r="J33" s="59">
        <f t="shared" si="0"/>
        <v>0.17399999999999999</v>
      </c>
    </row>
    <row r="34" spans="2:10">
      <c r="B34" s="1419"/>
      <c r="C34" s="1425">
        <v>43101</v>
      </c>
      <c r="D34" s="1426">
        <v>4425</v>
      </c>
      <c r="E34" s="1426">
        <v>53100</v>
      </c>
      <c r="F34" s="1427">
        <v>0.14599999999999999</v>
      </c>
      <c r="G34" s="619">
        <v>2.5499999999999998E-2</v>
      </c>
      <c r="H34" s="619">
        <v>2.5000000000000001E-3</v>
      </c>
      <c r="I34" s="1424"/>
      <c r="J34" s="59">
        <f t="shared" si="0"/>
        <v>0.17399999999999999</v>
      </c>
    </row>
    <row r="35" spans="2:10">
      <c r="B35" s="1419"/>
      <c r="C35" s="1425">
        <v>43466</v>
      </c>
      <c r="D35" s="1426">
        <v>4537.5</v>
      </c>
      <c r="E35" s="1426">
        <v>54450</v>
      </c>
      <c r="F35" s="1427">
        <v>0.14599999999999999</v>
      </c>
      <c r="G35" s="619">
        <v>3.0499999999999999E-2</v>
      </c>
      <c r="H35" s="619">
        <v>2.5000000000000001E-3</v>
      </c>
      <c r="I35" s="1424"/>
      <c r="J35" s="59">
        <f t="shared" si="0"/>
        <v>0.17899999999999999</v>
      </c>
    </row>
    <row r="36" spans="2:10">
      <c r="B36" s="1419"/>
      <c r="C36" s="1425">
        <v>43831</v>
      </c>
      <c r="D36" s="1426">
        <v>4687.5</v>
      </c>
      <c r="E36" s="1426">
        <v>56250</v>
      </c>
      <c r="F36" s="1427">
        <v>0.14599999999999999</v>
      </c>
      <c r="G36" s="619">
        <v>3.0499999999999999E-2</v>
      </c>
      <c r="H36" s="619">
        <v>2.5000000000000001E-3</v>
      </c>
      <c r="I36" s="1424"/>
      <c r="J36" s="59">
        <f t="shared" si="0"/>
        <v>0.17899999999999999</v>
      </c>
    </row>
    <row r="37" spans="2:10">
      <c r="B37" s="1419"/>
      <c r="C37" s="1425">
        <v>44197</v>
      </c>
      <c r="D37" s="1426">
        <v>4837.5</v>
      </c>
      <c r="E37" s="1426">
        <v>58050</v>
      </c>
      <c r="F37" s="1427">
        <v>0.14599999999999999</v>
      </c>
      <c r="G37" s="619">
        <v>3.0499999999999999E-2</v>
      </c>
      <c r="H37" s="619">
        <v>2.5000000000000001E-3</v>
      </c>
      <c r="I37" s="1424"/>
      <c r="J37" s="59">
        <f t="shared" si="0"/>
        <v>0.17899999999999999</v>
      </c>
    </row>
    <row r="38" spans="2:10">
      <c r="B38" s="1419"/>
      <c r="C38" s="1425">
        <v>44562</v>
      </c>
      <c r="D38" s="1426">
        <v>4837.5</v>
      </c>
      <c r="E38" s="1426">
        <v>58050</v>
      </c>
      <c r="F38" s="1427">
        <v>0.14599999999999999</v>
      </c>
      <c r="G38" s="619">
        <v>3.0499999999999999E-2</v>
      </c>
      <c r="H38" s="619">
        <v>3.5000000000000001E-3</v>
      </c>
      <c r="I38" s="1424"/>
      <c r="J38" s="59">
        <f t="shared" si="0"/>
        <v>0.18</v>
      </c>
    </row>
    <row r="39" spans="2:10">
      <c r="B39" s="1419"/>
      <c r="C39" s="1425">
        <v>44927</v>
      </c>
      <c r="D39" s="1426">
        <v>4987.5</v>
      </c>
      <c r="E39" s="1426">
        <v>59850</v>
      </c>
      <c r="F39" s="1427">
        <v>0.14599999999999999</v>
      </c>
      <c r="G39" s="619">
        <v>3.0499999999999999E-2</v>
      </c>
      <c r="H39" s="619">
        <v>9.4999999999999998E-3</v>
      </c>
      <c r="I39" s="1424"/>
      <c r="J39" s="59">
        <f t="shared" si="0"/>
        <v>0.186</v>
      </c>
    </row>
    <row r="40" spans="2:10">
      <c r="B40" s="58"/>
      <c r="C40" s="1425">
        <v>45108</v>
      </c>
      <c r="D40" s="1426">
        <v>4987.5</v>
      </c>
      <c r="E40" s="1426">
        <v>59850</v>
      </c>
      <c r="F40" s="1427">
        <v>0.14599999999999999</v>
      </c>
      <c r="G40" s="891">
        <v>3.4000000000000002E-2</v>
      </c>
      <c r="H40" s="891">
        <v>6.0000000000000001E-3</v>
      </c>
      <c r="I40" s="1429"/>
      <c r="J40" s="59">
        <f t="shared" si="0"/>
        <v>0.186</v>
      </c>
    </row>
    <row r="41" spans="2:10">
      <c r="B41" s="1419"/>
      <c r="C41" s="1432">
        <v>45292</v>
      </c>
      <c r="D41" s="1433">
        <v>5175</v>
      </c>
      <c r="E41" s="1433">
        <f>+D41*12</f>
        <v>62100</v>
      </c>
      <c r="F41" s="1434">
        <v>0.14599999999999999</v>
      </c>
      <c r="G41" s="1435">
        <v>3.4000000000000002E-2</v>
      </c>
      <c r="H41" s="1424">
        <v>6.0000000000000001E-3</v>
      </c>
      <c r="I41" s="1424">
        <v>1.7000000000000001E-2</v>
      </c>
      <c r="J41" s="59">
        <f>+F41+G41+H41+I41</f>
        <v>0.20300000000000001</v>
      </c>
    </row>
    <row r="42" spans="2:10">
      <c r="B42" s="545"/>
      <c r="C42" s="1420">
        <v>45658</v>
      </c>
      <c r="D42" s="1421">
        <v>5512.5</v>
      </c>
      <c r="E42" s="1421">
        <f>+D42*12</f>
        <v>66150</v>
      </c>
      <c r="F42" s="1422">
        <v>0.14599999999999999</v>
      </c>
      <c r="G42" s="619">
        <v>3.5999999999999997E-2</v>
      </c>
      <c r="H42" s="1424">
        <v>6.0000000000000001E-3</v>
      </c>
      <c r="I42" s="1424">
        <v>2.5000000000000001E-2</v>
      </c>
      <c r="J42" s="59">
        <f>+F42+G42+H42+I42</f>
        <v>0.21299999999999999</v>
      </c>
    </row>
    <row r="43" spans="2:10">
      <c r="B43" s="545"/>
      <c r="C43" s="66"/>
      <c r="D43" s="66"/>
      <c r="E43" s="66"/>
      <c r="F43" s="66"/>
      <c r="G43" s="66"/>
      <c r="H43" s="1430"/>
      <c r="I43" s="1430"/>
    </row>
  </sheetData>
  <mergeCells count="1">
    <mergeCell ref="G2:H2"/>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25" zeroHeight="1"/>
  <cols>
    <col min="1" max="1" width="3.125" customWidth="1"/>
    <col min="2" max="2" width="7.5" customWidth="1"/>
    <col min="3" max="9" width="6.625" customWidth="1"/>
    <col min="10" max="10" width="2.625" customWidth="1"/>
    <col min="11" max="11" width="3.125" customWidth="1"/>
    <col min="12" max="12" width="7.5" customWidth="1"/>
    <col min="13" max="19" width="6.625" customWidth="1"/>
    <col min="20" max="20" width="2.125" customWidth="1"/>
    <col min="21" max="21" width="3.125" customWidth="1"/>
    <col min="22" max="22" width="7.5" customWidth="1"/>
    <col min="23" max="31" width="6.625" customWidth="1"/>
    <col min="32" max="32" width="11" customWidth="1"/>
    <col min="33" max="16384" width="11" hidden="1"/>
  </cols>
  <sheetData>
    <row r="1" spans="1:31"/>
    <row r="2" spans="1:31">
      <c r="A2" s="3939" t="s">
        <v>610</v>
      </c>
      <c r="B2" s="3940"/>
      <c r="C2" s="3940"/>
      <c r="D2" s="3940"/>
      <c r="E2" s="3940"/>
      <c r="F2" s="3940"/>
      <c r="G2" s="3940"/>
      <c r="H2" s="3940"/>
      <c r="I2" s="3941"/>
      <c r="J2" s="25"/>
      <c r="K2" s="3937" t="s">
        <v>603</v>
      </c>
      <c r="L2" s="3937"/>
      <c r="M2" s="3937"/>
      <c r="N2" s="3937"/>
      <c r="O2" s="3937"/>
      <c r="P2" s="3937"/>
      <c r="Q2" s="3937"/>
      <c r="R2" s="3937"/>
      <c r="S2" s="3937"/>
      <c r="T2" s="25"/>
      <c r="U2" s="3937" t="s">
        <v>603</v>
      </c>
      <c r="V2" s="3937"/>
      <c r="W2" s="3937"/>
      <c r="X2" s="3937"/>
      <c r="Y2" s="3937"/>
      <c r="Z2" s="3937"/>
      <c r="AA2" s="3937"/>
      <c r="AB2" s="3937"/>
      <c r="AC2" s="3937"/>
      <c r="AD2" s="3937"/>
      <c r="AE2" s="3937"/>
    </row>
    <row r="3" spans="1:31" ht="15">
      <c r="A3" s="3944" t="s">
        <v>607</v>
      </c>
      <c r="B3" s="3945"/>
      <c r="C3" s="3945"/>
      <c r="D3" s="3945"/>
      <c r="E3" s="3945"/>
      <c r="F3" s="3945"/>
      <c r="G3" s="3945"/>
      <c r="H3" s="3945"/>
      <c r="I3" s="3946"/>
      <c r="J3" s="25"/>
      <c r="K3" s="3938" t="s">
        <v>604</v>
      </c>
      <c r="L3" s="3938"/>
      <c r="M3" s="3938"/>
      <c r="N3" s="3938"/>
      <c r="O3" s="3938"/>
      <c r="P3" s="3938"/>
      <c r="Q3" s="3938"/>
      <c r="R3" s="3938"/>
      <c r="S3" s="3938"/>
      <c r="T3" s="25"/>
      <c r="U3" s="3938" t="s">
        <v>608</v>
      </c>
      <c r="V3" s="3938"/>
      <c r="W3" s="3938"/>
      <c r="X3" s="3938"/>
      <c r="Y3" s="3938"/>
      <c r="Z3" s="3938"/>
      <c r="AA3" s="3938"/>
      <c r="AB3" s="3938"/>
      <c r="AC3" s="3938"/>
      <c r="AD3" s="3938"/>
      <c r="AE3" s="3938"/>
    </row>
    <row r="4" spans="1:31">
      <c r="A4" s="3942" t="s">
        <v>7</v>
      </c>
      <c r="B4" s="3943"/>
      <c r="C4" s="29">
        <v>35</v>
      </c>
      <c r="D4" s="29">
        <v>40</v>
      </c>
      <c r="E4" s="29">
        <v>45</v>
      </c>
      <c r="F4" s="29">
        <v>50</v>
      </c>
      <c r="G4" s="29">
        <v>55</v>
      </c>
      <c r="H4" s="29">
        <v>60</v>
      </c>
      <c r="I4" s="29">
        <v>65</v>
      </c>
      <c r="J4" s="25"/>
      <c r="K4" s="3947" t="s">
        <v>7</v>
      </c>
      <c r="L4" s="3948"/>
      <c r="M4" s="29">
        <v>35</v>
      </c>
      <c r="N4" s="29">
        <v>40</v>
      </c>
      <c r="O4" s="29">
        <v>45</v>
      </c>
      <c r="P4" s="29">
        <v>50</v>
      </c>
      <c r="Q4" s="29">
        <v>55</v>
      </c>
      <c r="R4" s="29">
        <v>60</v>
      </c>
      <c r="S4" s="29">
        <v>65</v>
      </c>
      <c r="T4" s="25"/>
      <c r="U4" s="3936" t="s">
        <v>7</v>
      </c>
      <c r="V4" s="3936"/>
      <c r="W4" s="29">
        <v>35</v>
      </c>
      <c r="X4" s="29">
        <v>40</v>
      </c>
      <c r="Y4" s="29">
        <v>45</v>
      </c>
      <c r="Z4" s="29">
        <v>50</v>
      </c>
      <c r="AA4" s="29">
        <v>55</v>
      </c>
      <c r="AB4" s="29">
        <v>60</v>
      </c>
      <c r="AC4" s="29">
        <v>65</v>
      </c>
      <c r="AD4" s="29">
        <v>70</v>
      </c>
      <c r="AE4" s="29">
        <v>75</v>
      </c>
    </row>
    <row r="5" spans="1:31" ht="14.25" customHeight="1">
      <c r="A5" s="3934" t="s">
        <v>271</v>
      </c>
      <c r="B5" s="573">
        <v>0.01</v>
      </c>
      <c r="C5" s="574">
        <v>2.41</v>
      </c>
      <c r="D5" s="574">
        <v>2.23</v>
      </c>
      <c r="E5" s="574">
        <v>2.06</v>
      </c>
      <c r="F5" s="574">
        <v>1.91</v>
      </c>
      <c r="G5" s="574">
        <v>1.77</v>
      </c>
      <c r="H5" s="574">
        <v>1.64</v>
      </c>
      <c r="I5" s="574">
        <v>1.54</v>
      </c>
      <c r="K5" s="3934" t="s">
        <v>271</v>
      </c>
      <c r="L5" s="573">
        <v>0.01</v>
      </c>
      <c r="M5" s="574">
        <v>2.4500000000000002</v>
      </c>
      <c r="N5" s="574">
        <v>2.27</v>
      </c>
      <c r="O5" s="574">
        <v>2.1</v>
      </c>
      <c r="P5" s="574">
        <v>1.94</v>
      </c>
      <c r="Q5" s="574">
        <v>1.8</v>
      </c>
      <c r="R5" s="574">
        <v>1.68</v>
      </c>
      <c r="S5" s="574">
        <v>1.57</v>
      </c>
      <c r="U5" s="3934" t="s">
        <v>271</v>
      </c>
      <c r="V5" s="573">
        <v>0.01</v>
      </c>
      <c r="W5" s="574">
        <v>1.28</v>
      </c>
      <c r="X5" s="574">
        <v>1.22</v>
      </c>
      <c r="Y5" s="574">
        <v>1.1599999999999999</v>
      </c>
      <c r="Z5" s="574">
        <v>1.1000000000000001</v>
      </c>
      <c r="AA5" s="574">
        <v>1.06</v>
      </c>
      <c r="AB5" s="574">
        <v>1.01</v>
      </c>
      <c r="AC5" s="574">
        <v>0.97</v>
      </c>
      <c r="AD5" s="574">
        <v>0.92</v>
      </c>
      <c r="AE5" s="574">
        <v>0.85</v>
      </c>
    </row>
    <row r="6" spans="1:31" ht="14.1" customHeight="1">
      <c r="A6" s="3934"/>
      <c r="B6" s="573">
        <v>1.2500000000000001E-2</v>
      </c>
      <c r="C6" s="574">
        <v>2.16</v>
      </c>
      <c r="D6" s="574">
        <v>2.02</v>
      </c>
      <c r="E6" s="574">
        <v>1.9</v>
      </c>
      <c r="F6" s="574">
        <v>1.78</v>
      </c>
      <c r="G6" s="574">
        <v>1.66</v>
      </c>
      <c r="H6" s="574">
        <v>1.56</v>
      </c>
      <c r="I6" s="574">
        <v>1.48</v>
      </c>
      <c r="K6" s="3934"/>
      <c r="L6" s="573">
        <v>1.2500000000000001E-2</v>
      </c>
      <c r="M6" s="574">
        <v>2.19</v>
      </c>
      <c r="N6" s="574">
        <v>2.0499999999999998</v>
      </c>
      <c r="O6" s="574">
        <v>1.92</v>
      </c>
      <c r="P6" s="574">
        <v>1.8</v>
      </c>
      <c r="Q6" s="574">
        <v>1.69</v>
      </c>
      <c r="R6" s="574">
        <v>1.59</v>
      </c>
      <c r="S6" s="574">
        <v>1.51</v>
      </c>
      <c r="U6" s="3934"/>
      <c r="V6" s="573">
        <v>1.2500000000000001E-2</v>
      </c>
      <c r="W6" s="574">
        <v>1.1399999999999999</v>
      </c>
      <c r="X6" s="574">
        <v>1.1000000000000001</v>
      </c>
      <c r="Y6" s="574">
        <v>1.06</v>
      </c>
      <c r="Z6" s="574">
        <v>1.03</v>
      </c>
      <c r="AA6" s="574">
        <v>0.99</v>
      </c>
      <c r="AB6" s="574">
        <v>0.97</v>
      </c>
      <c r="AC6" s="574">
        <v>0.94</v>
      </c>
      <c r="AD6" s="574">
        <v>0.89</v>
      </c>
      <c r="AE6" s="574">
        <v>0.83</v>
      </c>
    </row>
    <row r="7" spans="1:31" ht="14.1" customHeight="1">
      <c r="A7" s="3934"/>
      <c r="B7" s="573">
        <v>1.4999999999999999E-2</v>
      </c>
      <c r="C7" s="574">
        <v>1.94</v>
      </c>
      <c r="D7" s="574">
        <v>1.84</v>
      </c>
      <c r="E7" s="574">
        <v>1.74</v>
      </c>
      <c r="F7" s="574">
        <v>1.65</v>
      </c>
      <c r="G7" s="574">
        <v>1.57</v>
      </c>
      <c r="H7" s="574">
        <v>1.49</v>
      </c>
      <c r="I7" s="574">
        <v>1.43</v>
      </c>
      <c r="K7" s="3934"/>
      <c r="L7" s="573">
        <v>1.4999999999999999E-2</v>
      </c>
      <c r="M7" s="574">
        <v>1.96</v>
      </c>
      <c r="N7" s="574">
        <v>1.86</v>
      </c>
      <c r="O7" s="574">
        <v>1.76</v>
      </c>
      <c r="P7" s="574">
        <v>1.67</v>
      </c>
      <c r="Q7" s="574">
        <v>1.59</v>
      </c>
      <c r="R7" s="574">
        <v>1.52</v>
      </c>
      <c r="S7" s="574">
        <v>1.46</v>
      </c>
      <c r="U7" s="3934"/>
      <c r="V7" s="573">
        <v>1.4999999999999999E-2</v>
      </c>
      <c r="W7" s="574">
        <v>1.02</v>
      </c>
      <c r="X7" s="574">
        <v>1</v>
      </c>
      <c r="Y7" s="574">
        <v>0.98</v>
      </c>
      <c r="Z7" s="574">
        <v>0.95</v>
      </c>
      <c r="AA7" s="574">
        <v>0.94</v>
      </c>
      <c r="AB7" s="574">
        <v>0.92</v>
      </c>
      <c r="AC7" s="574">
        <v>0.91</v>
      </c>
      <c r="AD7" s="574">
        <v>0.87</v>
      </c>
      <c r="AE7" s="574">
        <v>0.81</v>
      </c>
    </row>
    <row r="8" spans="1:31" ht="14.1" customHeight="1">
      <c r="A8" s="3934"/>
      <c r="B8" s="573">
        <v>1.7500000000000002E-2</v>
      </c>
      <c r="C8" s="574">
        <v>1.74</v>
      </c>
      <c r="D8" s="574">
        <v>1.67</v>
      </c>
      <c r="E8" s="574">
        <v>1.6</v>
      </c>
      <c r="F8" s="574">
        <v>1.54</v>
      </c>
      <c r="G8" s="574">
        <v>1.48</v>
      </c>
      <c r="H8" s="574">
        <v>1.42</v>
      </c>
      <c r="I8" s="574">
        <v>1.39</v>
      </c>
      <c r="K8" s="3934"/>
      <c r="L8" s="573">
        <v>1.7500000000000002E-2</v>
      </c>
      <c r="M8" s="574">
        <v>1.76</v>
      </c>
      <c r="N8" s="574">
        <v>1.69</v>
      </c>
      <c r="O8" s="574">
        <v>1.62</v>
      </c>
      <c r="P8" s="574">
        <v>1.56</v>
      </c>
      <c r="Q8" s="574">
        <v>1.5</v>
      </c>
      <c r="R8" s="574">
        <v>1.44</v>
      </c>
      <c r="S8" s="574">
        <v>1.41</v>
      </c>
      <c r="U8" s="3934"/>
      <c r="V8" s="573">
        <v>1.7500000000000002E-2</v>
      </c>
      <c r="W8" s="574">
        <v>0.92</v>
      </c>
      <c r="X8" s="574">
        <v>0.91</v>
      </c>
      <c r="Y8" s="574">
        <v>0.9</v>
      </c>
      <c r="Z8" s="574">
        <v>0.89</v>
      </c>
      <c r="AA8" s="574">
        <v>0.88</v>
      </c>
      <c r="AB8" s="574">
        <v>0.88</v>
      </c>
      <c r="AC8" s="574">
        <v>0.88</v>
      </c>
      <c r="AD8" s="574">
        <v>0.84</v>
      </c>
      <c r="AE8" s="574">
        <v>0.8</v>
      </c>
    </row>
    <row r="9" spans="1:31" ht="14.1" customHeight="1">
      <c r="A9" s="3934"/>
      <c r="B9" s="573">
        <v>0.02</v>
      </c>
      <c r="C9" s="574">
        <v>1.56</v>
      </c>
      <c r="D9" s="574">
        <v>1.52</v>
      </c>
      <c r="E9" s="574">
        <v>1.48</v>
      </c>
      <c r="F9" s="574">
        <v>1.43</v>
      </c>
      <c r="G9" s="574">
        <v>1.39</v>
      </c>
      <c r="H9" s="574">
        <v>1.36</v>
      </c>
      <c r="I9" s="574">
        <v>1.34</v>
      </c>
      <c r="K9" s="3934"/>
      <c r="L9" s="573">
        <v>0.02</v>
      </c>
      <c r="M9" s="574">
        <v>1.57</v>
      </c>
      <c r="N9" s="574">
        <v>1.53</v>
      </c>
      <c r="O9" s="574">
        <v>1.49</v>
      </c>
      <c r="P9" s="574">
        <v>1.45</v>
      </c>
      <c r="Q9" s="574">
        <v>1.41</v>
      </c>
      <c r="R9" s="574">
        <v>1.38</v>
      </c>
      <c r="S9" s="574">
        <v>1.36</v>
      </c>
      <c r="U9" s="3934"/>
      <c r="V9" s="573">
        <v>0.02</v>
      </c>
      <c r="W9" s="574">
        <v>0.82</v>
      </c>
      <c r="X9" s="574">
        <v>0.82</v>
      </c>
      <c r="Y9" s="574">
        <v>0.82</v>
      </c>
      <c r="Z9" s="574">
        <v>0.83</v>
      </c>
      <c r="AA9" s="574">
        <v>0.83</v>
      </c>
      <c r="AB9" s="574">
        <v>0.84</v>
      </c>
      <c r="AC9" s="574">
        <v>0.85</v>
      </c>
      <c r="AD9" s="574">
        <v>0.82</v>
      </c>
      <c r="AE9" s="574">
        <v>0.78</v>
      </c>
    </row>
    <row r="10" spans="1:31" ht="14.1" customHeight="1">
      <c r="A10" s="3934"/>
      <c r="B10" s="573">
        <v>2.2499999999999999E-2</v>
      </c>
      <c r="C10" s="574">
        <v>1.41</v>
      </c>
      <c r="D10" s="574">
        <v>1.38</v>
      </c>
      <c r="E10" s="574">
        <v>1.36</v>
      </c>
      <c r="F10" s="574">
        <v>1.34</v>
      </c>
      <c r="G10" s="574">
        <v>1.32</v>
      </c>
      <c r="H10" s="574">
        <v>1.3</v>
      </c>
      <c r="I10" s="574">
        <v>1.3</v>
      </c>
      <c r="K10" s="3934"/>
      <c r="L10" s="573">
        <v>2.2499999999999999E-2</v>
      </c>
      <c r="M10" s="574">
        <v>1.41</v>
      </c>
      <c r="N10" s="574">
        <v>1.39</v>
      </c>
      <c r="O10" s="574">
        <v>1.37</v>
      </c>
      <c r="P10" s="574">
        <v>1.35</v>
      </c>
      <c r="Q10" s="574">
        <v>1.33</v>
      </c>
      <c r="R10" s="574">
        <v>1.31</v>
      </c>
      <c r="S10" s="574">
        <v>1.31</v>
      </c>
      <c r="U10" s="3934"/>
      <c r="V10" s="573">
        <v>2.2499999999999999E-2</v>
      </c>
      <c r="W10" s="574">
        <v>0.74</v>
      </c>
      <c r="X10" s="574">
        <v>0.75</v>
      </c>
      <c r="Y10" s="574">
        <v>0.76</v>
      </c>
      <c r="Z10" s="574">
        <v>0.77</v>
      </c>
      <c r="AA10" s="574">
        <v>0.79</v>
      </c>
      <c r="AB10" s="574">
        <v>0.81</v>
      </c>
      <c r="AC10" s="574">
        <v>0.82</v>
      </c>
      <c r="AD10" s="574">
        <v>0.8</v>
      </c>
      <c r="AE10" s="574">
        <v>0.76</v>
      </c>
    </row>
    <row r="11" spans="1:31" ht="14.1" customHeight="1">
      <c r="A11" s="3934"/>
      <c r="B11" s="573">
        <v>2.5000000000000001E-2</v>
      </c>
      <c r="C11" s="574">
        <v>1.27</v>
      </c>
      <c r="D11" s="574">
        <v>1.26</v>
      </c>
      <c r="E11" s="574">
        <v>1.26</v>
      </c>
      <c r="F11" s="574">
        <v>1.25</v>
      </c>
      <c r="G11" s="574">
        <v>1.24</v>
      </c>
      <c r="H11" s="574">
        <v>1.24</v>
      </c>
      <c r="I11" s="574">
        <v>1.25</v>
      </c>
      <c r="K11" s="3934"/>
      <c r="L11" s="573">
        <v>2.5000000000000001E-2</v>
      </c>
      <c r="M11" s="574">
        <v>1.27</v>
      </c>
      <c r="N11" s="574">
        <v>1.27</v>
      </c>
      <c r="O11" s="574">
        <v>1.26</v>
      </c>
      <c r="P11" s="574">
        <v>1.26</v>
      </c>
      <c r="Q11" s="574">
        <v>1.25</v>
      </c>
      <c r="R11" s="574">
        <v>1.25</v>
      </c>
      <c r="S11" s="574">
        <v>1.27</v>
      </c>
      <c r="U11" s="3934"/>
      <c r="V11" s="573">
        <v>2.5000000000000001E-2</v>
      </c>
      <c r="W11" s="574">
        <v>0.66</v>
      </c>
      <c r="X11" s="574">
        <v>0.68</v>
      </c>
      <c r="Y11" s="574">
        <v>0.7</v>
      </c>
      <c r="Z11" s="574">
        <v>0.72</v>
      </c>
      <c r="AA11" s="574">
        <v>0.74</v>
      </c>
      <c r="AB11" s="574">
        <v>0.77</v>
      </c>
      <c r="AC11" s="574">
        <v>0.8</v>
      </c>
      <c r="AD11" s="574">
        <v>0.78</v>
      </c>
      <c r="AE11" s="574">
        <v>0.75</v>
      </c>
    </row>
    <row r="12" spans="1:31" ht="14.1" customHeight="1">
      <c r="A12" s="3934"/>
      <c r="B12" s="573">
        <v>2.75E-2</v>
      </c>
      <c r="C12" s="574">
        <v>1.1399999999999999</v>
      </c>
      <c r="D12" s="574">
        <v>1.1499999999999999</v>
      </c>
      <c r="E12" s="574">
        <v>1.1599999999999999</v>
      </c>
      <c r="F12" s="574">
        <v>1.17</v>
      </c>
      <c r="G12" s="574">
        <v>1.17</v>
      </c>
      <c r="H12" s="574">
        <v>1.19</v>
      </c>
      <c r="I12" s="574">
        <v>1.22</v>
      </c>
      <c r="K12" s="3934"/>
      <c r="L12" s="573">
        <v>2.75E-2</v>
      </c>
      <c r="M12" s="574">
        <v>1.1399999999999999</v>
      </c>
      <c r="N12" s="574">
        <v>1.1499999999999999</v>
      </c>
      <c r="O12" s="574">
        <v>1.1599999999999999</v>
      </c>
      <c r="P12" s="574">
        <v>1.17</v>
      </c>
      <c r="Q12" s="574">
        <v>1.18</v>
      </c>
      <c r="R12" s="574">
        <v>1.2</v>
      </c>
      <c r="S12" s="574">
        <v>1.23</v>
      </c>
      <c r="U12" s="3934"/>
      <c r="V12" s="573">
        <v>2.75E-2</v>
      </c>
      <c r="W12" s="574">
        <v>0.59</v>
      </c>
      <c r="X12" s="574">
        <v>0.62</v>
      </c>
      <c r="Y12" s="574">
        <v>0.64</v>
      </c>
      <c r="Z12" s="574">
        <v>0.67</v>
      </c>
      <c r="AA12" s="574">
        <v>0.7</v>
      </c>
      <c r="AB12" s="574">
        <v>0.74</v>
      </c>
      <c r="AC12" s="574">
        <v>0.77</v>
      </c>
      <c r="AD12" s="574">
        <v>0.76</v>
      </c>
      <c r="AE12" s="574">
        <v>0.73</v>
      </c>
    </row>
    <row r="13" spans="1:31" ht="14.1" customHeight="1">
      <c r="A13" s="3934"/>
      <c r="B13" s="573">
        <v>0.03</v>
      </c>
      <c r="C13" s="574">
        <v>1.03</v>
      </c>
      <c r="D13" s="574">
        <v>1.05</v>
      </c>
      <c r="E13" s="574">
        <v>1.07</v>
      </c>
      <c r="F13" s="574">
        <v>1.0900000000000001</v>
      </c>
      <c r="G13" s="574">
        <v>1.1100000000000001</v>
      </c>
      <c r="H13" s="574">
        <v>1.1299999999999999</v>
      </c>
      <c r="I13" s="574">
        <v>1.18</v>
      </c>
      <c r="K13" s="3934"/>
      <c r="L13" s="573">
        <v>0.03</v>
      </c>
      <c r="M13" s="574">
        <v>1.03</v>
      </c>
      <c r="N13" s="574">
        <v>1.05</v>
      </c>
      <c r="O13" s="574">
        <v>1.07</v>
      </c>
      <c r="P13" s="574">
        <v>1.0900000000000001</v>
      </c>
      <c r="Q13" s="574">
        <v>1.1200000000000001</v>
      </c>
      <c r="R13" s="574">
        <v>1.1399999999999999</v>
      </c>
      <c r="S13" s="574">
        <v>1.19</v>
      </c>
      <c r="U13" s="3934"/>
      <c r="V13" s="573">
        <v>0.03</v>
      </c>
      <c r="W13" s="574">
        <v>0.54</v>
      </c>
      <c r="X13" s="574">
        <v>0.56000000000000005</v>
      </c>
      <c r="Y13" s="574">
        <v>0.59</v>
      </c>
      <c r="Z13" s="574">
        <v>0.63</v>
      </c>
      <c r="AA13" s="574">
        <v>0.67</v>
      </c>
      <c r="AB13" s="574">
        <v>0.71</v>
      </c>
      <c r="AC13" s="574">
        <v>0.75</v>
      </c>
      <c r="AD13" s="574">
        <v>0.74</v>
      </c>
      <c r="AE13" s="574">
        <v>0.72</v>
      </c>
    </row>
    <row r="14" spans="1:31" ht="14.1" customHeight="1">
      <c r="A14" s="3934"/>
      <c r="B14" s="573">
        <v>3.2500000000000001E-2</v>
      </c>
      <c r="C14" s="574">
        <v>0.93</v>
      </c>
      <c r="D14" s="574">
        <v>0.96</v>
      </c>
      <c r="E14" s="574">
        <v>0.99</v>
      </c>
      <c r="F14" s="574">
        <v>1.02</v>
      </c>
      <c r="G14" s="574">
        <v>1.05</v>
      </c>
      <c r="H14" s="574">
        <v>1.0900000000000001</v>
      </c>
      <c r="I14" s="574">
        <v>1.1399999999999999</v>
      </c>
      <c r="K14" s="3934"/>
      <c r="L14" s="573">
        <v>3.2500000000000001E-2</v>
      </c>
      <c r="M14" s="574">
        <v>0.93</v>
      </c>
      <c r="N14" s="574">
        <v>0.96</v>
      </c>
      <c r="O14" s="574">
        <v>0.99</v>
      </c>
      <c r="P14" s="574">
        <v>1.02</v>
      </c>
      <c r="Q14" s="574">
        <v>1.05</v>
      </c>
      <c r="R14" s="574">
        <v>1.0900000000000001</v>
      </c>
      <c r="S14" s="574">
        <v>1.1499999999999999</v>
      </c>
      <c r="U14" s="3934"/>
      <c r="V14" s="573">
        <v>3.2500000000000001E-2</v>
      </c>
      <c r="W14" s="574">
        <v>0.48</v>
      </c>
      <c r="X14" s="574">
        <v>0.51</v>
      </c>
      <c r="Y14" s="574">
        <v>0.55000000000000004</v>
      </c>
      <c r="Z14" s="574">
        <v>0.59</v>
      </c>
      <c r="AA14" s="574">
        <v>0.63</v>
      </c>
      <c r="AB14" s="574">
        <v>0.68</v>
      </c>
      <c r="AC14" s="574">
        <v>0.73</v>
      </c>
      <c r="AD14" s="574">
        <v>0.72</v>
      </c>
      <c r="AE14" s="574">
        <v>0.7</v>
      </c>
    </row>
    <row r="15" spans="1:31" ht="14.1" customHeight="1">
      <c r="A15" s="3934"/>
      <c r="B15" s="573">
        <v>3.5000000000000003E-2</v>
      </c>
      <c r="C15" s="574">
        <v>0.84</v>
      </c>
      <c r="D15" s="574">
        <v>0.88</v>
      </c>
      <c r="E15" s="574">
        <v>0.92</v>
      </c>
      <c r="F15" s="574">
        <v>0.95</v>
      </c>
      <c r="G15" s="574">
        <v>1</v>
      </c>
      <c r="H15" s="574">
        <v>1.04</v>
      </c>
      <c r="I15" s="574">
        <v>1.1100000000000001</v>
      </c>
      <c r="K15" s="3934"/>
      <c r="L15" s="573">
        <v>3.5000000000000003E-2</v>
      </c>
      <c r="M15" s="574">
        <v>0.84</v>
      </c>
      <c r="N15" s="574">
        <v>0.88</v>
      </c>
      <c r="O15" s="574">
        <v>0.91</v>
      </c>
      <c r="P15" s="574">
        <v>0.95</v>
      </c>
      <c r="Q15" s="574">
        <v>1</v>
      </c>
      <c r="R15" s="574">
        <v>1.05</v>
      </c>
      <c r="S15" s="574">
        <v>1.1100000000000001</v>
      </c>
      <c r="U15" s="3934"/>
      <c r="V15" s="573">
        <v>3.5000000000000003E-2</v>
      </c>
      <c r="W15" s="574">
        <v>0.43</v>
      </c>
      <c r="X15" s="574">
        <v>0.47</v>
      </c>
      <c r="Y15" s="574">
        <v>0.51</v>
      </c>
      <c r="Z15" s="574">
        <v>0.55000000000000004</v>
      </c>
      <c r="AA15" s="574">
        <v>0.6</v>
      </c>
      <c r="AB15" s="574">
        <v>0.65</v>
      </c>
      <c r="AC15" s="574">
        <v>0.71</v>
      </c>
      <c r="AD15" s="574">
        <v>0.7</v>
      </c>
      <c r="AE15" s="574">
        <v>0.69</v>
      </c>
    </row>
    <row r="16" spans="1:31" ht="14.1" customHeight="1">
      <c r="A16" s="3934"/>
      <c r="B16" s="573">
        <v>3.7499999999999999E-2</v>
      </c>
      <c r="C16" s="574">
        <v>0.76</v>
      </c>
      <c r="D16" s="574">
        <v>0.81</v>
      </c>
      <c r="E16" s="574">
        <v>0.85</v>
      </c>
      <c r="F16" s="574">
        <v>0.89</v>
      </c>
      <c r="G16" s="574">
        <v>0.94</v>
      </c>
      <c r="H16" s="574">
        <v>1</v>
      </c>
      <c r="I16" s="574">
        <v>1.07</v>
      </c>
      <c r="K16" s="3934"/>
      <c r="L16" s="573">
        <v>3.7499999999999999E-2</v>
      </c>
      <c r="M16" s="574">
        <v>0.76</v>
      </c>
      <c r="N16" s="574">
        <v>0.8</v>
      </c>
      <c r="O16" s="574">
        <v>0.84</v>
      </c>
      <c r="P16" s="574">
        <v>0.89</v>
      </c>
      <c r="Q16" s="574">
        <v>0.94</v>
      </c>
      <c r="R16" s="574">
        <v>1</v>
      </c>
      <c r="S16" s="574">
        <v>1.08</v>
      </c>
      <c r="U16" s="3934"/>
      <c r="V16" s="573">
        <v>3.7499999999999999E-2</v>
      </c>
      <c r="W16" s="574">
        <v>0.39</v>
      </c>
      <c r="X16" s="574">
        <v>0.43</v>
      </c>
      <c r="Y16" s="574">
        <v>0.47</v>
      </c>
      <c r="Z16" s="574">
        <v>0.51</v>
      </c>
      <c r="AA16" s="574">
        <v>0.56000000000000005</v>
      </c>
      <c r="AB16" s="574">
        <v>0.62</v>
      </c>
      <c r="AC16" s="574">
        <v>0.69</v>
      </c>
      <c r="AD16" s="574">
        <v>0.69</v>
      </c>
      <c r="AE16" s="574">
        <v>0.68</v>
      </c>
    </row>
    <row r="17" spans="1:31" ht="14.1" customHeight="1">
      <c r="A17" s="3934"/>
      <c r="B17" s="573">
        <v>0.04</v>
      </c>
      <c r="C17" s="574">
        <v>0.69</v>
      </c>
      <c r="D17" s="574">
        <v>0.74</v>
      </c>
      <c r="E17" s="574">
        <v>0.79</v>
      </c>
      <c r="F17" s="574">
        <v>0.84</v>
      </c>
      <c r="G17" s="574">
        <v>0.89</v>
      </c>
      <c r="H17" s="574">
        <v>0.96</v>
      </c>
      <c r="I17" s="574">
        <v>1.04</v>
      </c>
      <c r="K17" s="3934"/>
      <c r="L17" s="573">
        <v>0.04</v>
      </c>
      <c r="M17" s="574">
        <v>0.68</v>
      </c>
      <c r="N17" s="574">
        <v>0.73</v>
      </c>
      <c r="O17" s="574">
        <v>0.78</v>
      </c>
      <c r="P17" s="574">
        <v>0.84</v>
      </c>
      <c r="Q17" s="574">
        <v>0.89</v>
      </c>
      <c r="R17" s="574">
        <v>0.96</v>
      </c>
      <c r="S17" s="574">
        <v>1.05</v>
      </c>
      <c r="U17" s="3934"/>
      <c r="V17" s="573">
        <v>0.04</v>
      </c>
      <c r="W17" s="574">
        <v>0.35</v>
      </c>
      <c r="X17" s="574">
        <v>0.39</v>
      </c>
      <c r="Y17" s="574">
        <v>0.43</v>
      </c>
      <c r="Z17" s="574">
        <v>0.48</v>
      </c>
      <c r="AA17" s="574">
        <v>0.54</v>
      </c>
      <c r="AB17" s="574">
        <v>0.6</v>
      </c>
      <c r="AC17" s="574">
        <v>0.67</v>
      </c>
      <c r="AD17" s="574">
        <v>0.67</v>
      </c>
      <c r="AE17" s="574">
        <v>0.66</v>
      </c>
    </row>
    <row r="18" spans="1:31">
      <c r="B18" s="146"/>
      <c r="L18" s="146"/>
      <c r="V18" s="146"/>
    </row>
    <row r="19" spans="1:31" ht="15">
      <c r="A19" s="3935" t="s">
        <v>606</v>
      </c>
      <c r="B19" s="3935"/>
      <c r="C19" s="3935"/>
      <c r="D19" s="3935"/>
      <c r="E19" s="3935"/>
      <c r="F19" s="3935"/>
      <c r="G19" s="3935"/>
      <c r="H19" s="3935"/>
      <c r="I19" s="3935"/>
      <c r="J19" s="25"/>
      <c r="K19" s="3935" t="s">
        <v>605</v>
      </c>
      <c r="L19" s="3935"/>
      <c r="M19" s="3935"/>
      <c r="N19" s="3935"/>
      <c r="O19" s="3935"/>
      <c r="P19" s="3935"/>
      <c r="Q19" s="3935"/>
      <c r="R19" s="3935"/>
      <c r="S19" s="3935"/>
      <c r="T19" s="25"/>
      <c r="U19" s="3935" t="s">
        <v>609</v>
      </c>
      <c r="V19" s="3935"/>
      <c r="W19" s="3935"/>
      <c r="X19" s="3935"/>
      <c r="Y19" s="3935"/>
      <c r="Z19" s="3935"/>
      <c r="AA19" s="3935"/>
      <c r="AB19" s="3935"/>
      <c r="AC19" s="3935"/>
      <c r="AD19" s="3935"/>
      <c r="AE19" s="3935"/>
    </row>
    <row r="20" spans="1:31">
      <c r="A20" s="3936" t="s">
        <v>7</v>
      </c>
      <c r="B20" s="3936"/>
      <c r="C20" s="29">
        <v>35</v>
      </c>
      <c r="D20" s="29">
        <v>40</v>
      </c>
      <c r="E20" s="29">
        <v>45</v>
      </c>
      <c r="F20" s="29">
        <v>50</v>
      </c>
      <c r="G20" s="29">
        <v>55</v>
      </c>
      <c r="H20" s="29">
        <v>60</v>
      </c>
      <c r="I20" s="29">
        <v>65</v>
      </c>
      <c r="J20" s="25"/>
      <c r="K20" s="3936" t="s">
        <v>7</v>
      </c>
      <c r="L20" s="3936"/>
      <c r="M20" s="29">
        <v>35</v>
      </c>
      <c r="N20" s="29">
        <v>40</v>
      </c>
      <c r="O20" s="29">
        <v>45</v>
      </c>
      <c r="P20" s="29">
        <v>50</v>
      </c>
      <c r="Q20" s="29">
        <v>55</v>
      </c>
      <c r="R20" s="29">
        <v>60</v>
      </c>
      <c r="S20" s="29">
        <v>65</v>
      </c>
      <c r="T20" s="25"/>
      <c r="U20" s="3936" t="s">
        <v>7</v>
      </c>
      <c r="V20" s="3936"/>
      <c r="W20" s="29">
        <v>35</v>
      </c>
      <c r="X20" s="29">
        <v>40</v>
      </c>
      <c r="Y20" s="29">
        <v>45</v>
      </c>
      <c r="Z20" s="29">
        <v>50</v>
      </c>
      <c r="AA20" s="29">
        <v>55</v>
      </c>
      <c r="AB20" s="29">
        <v>60</v>
      </c>
      <c r="AC20" s="29">
        <v>65</v>
      </c>
      <c r="AD20" s="29">
        <v>70</v>
      </c>
      <c r="AE20" s="29">
        <v>75</v>
      </c>
    </row>
    <row r="21" spans="1:31" ht="14.25" customHeight="1">
      <c r="A21" s="3934" t="s">
        <v>271</v>
      </c>
      <c r="B21" s="573">
        <v>0.01</v>
      </c>
      <c r="C21" s="574">
        <v>2.29</v>
      </c>
      <c r="D21" s="574">
        <v>2.13</v>
      </c>
      <c r="E21" s="574">
        <v>1.99</v>
      </c>
      <c r="F21" s="574">
        <v>1.86</v>
      </c>
      <c r="G21" s="574">
        <v>1.74</v>
      </c>
      <c r="H21" s="574">
        <v>1.64</v>
      </c>
      <c r="I21" s="574">
        <v>1.54</v>
      </c>
      <c r="K21" s="3934" t="s">
        <v>271</v>
      </c>
      <c r="L21" s="573">
        <v>0.01</v>
      </c>
      <c r="M21" s="574">
        <v>2.34</v>
      </c>
      <c r="N21" s="574">
        <v>2.1800000000000002</v>
      </c>
      <c r="O21" s="574">
        <v>2.0299999999999998</v>
      </c>
      <c r="P21" s="574">
        <v>1.9</v>
      </c>
      <c r="Q21" s="574">
        <v>1.78</v>
      </c>
      <c r="R21" s="574">
        <v>1.67</v>
      </c>
      <c r="S21" s="574">
        <v>1.57</v>
      </c>
      <c r="U21" s="3934" t="s">
        <v>271</v>
      </c>
      <c r="V21" s="573">
        <v>0.01</v>
      </c>
      <c r="W21" s="574">
        <v>1.1000000000000001</v>
      </c>
      <c r="X21" s="574">
        <v>1.04</v>
      </c>
      <c r="Y21" s="574">
        <v>0.98</v>
      </c>
      <c r="Z21" s="574">
        <v>0.93</v>
      </c>
      <c r="AA21" s="574">
        <v>0.89</v>
      </c>
      <c r="AB21" s="574">
        <v>0.86</v>
      </c>
      <c r="AC21" s="574">
        <v>0.83</v>
      </c>
      <c r="AD21" s="574">
        <v>0.77</v>
      </c>
      <c r="AE21" s="574">
        <v>0.71</v>
      </c>
    </row>
    <row r="22" spans="1:31">
      <c r="A22" s="3934"/>
      <c r="B22" s="573">
        <v>1.2500000000000001E-2</v>
      </c>
      <c r="C22" s="574">
        <v>2.04</v>
      </c>
      <c r="D22" s="574">
        <v>1.93</v>
      </c>
      <c r="E22" s="574">
        <v>1.83</v>
      </c>
      <c r="F22" s="574">
        <v>1.73</v>
      </c>
      <c r="G22" s="574">
        <v>1.64</v>
      </c>
      <c r="H22" s="574">
        <v>1.56</v>
      </c>
      <c r="I22" s="574">
        <v>1.48</v>
      </c>
      <c r="K22" s="3934"/>
      <c r="L22" s="573">
        <v>1.2500000000000001E-2</v>
      </c>
      <c r="M22" s="574">
        <v>2.09</v>
      </c>
      <c r="N22" s="574">
        <v>1.97</v>
      </c>
      <c r="O22" s="574">
        <v>1.86</v>
      </c>
      <c r="P22" s="574">
        <v>1.76</v>
      </c>
      <c r="Q22" s="574">
        <v>1.67</v>
      </c>
      <c r="R22" s="574">
        <v>1.59</v>
      </c>
      <c r="S22" s="574">
        <v>1.51</v>
      </c>
      <c r="U22" s="3934"/>
      <c r="V22" s="573">
        <v>1.2500000000000001E-2</v>
      </c>
      <c r="W22" s="574">
        <v>0.99</v>
      </c>
      <c r="X22" s="574">
        <v>0.94</v>
      </c>
      <c r="Y22" s="574">
        <v>0.9</v>
      </c>
      <c r="Z22" s="574">
        <v>0.87</v>
      </c>
      <c r="AA22" s="574">
        <v>0.84</v>
      </c>
      <c r="AB22" s="574">
        <v>0.82</v>
      </c>
      <c r="AC22" s="574">
        <v>0.8</v>
      </c>
      <c r="AD22" s="574">
        <v>0.75</v>
      </c>
      <c r="AE22" s="574">
        <v>0.7</v>
      </c>
    </row>
    <row r="23" spans="1:31">
      <c r="A23" s="3934"/>
      <c r="B23" s="573">
        <v>1.4999999999999999E-2</v>
      </c>
      <c r="C23" s="574">
        <v>1.82</v>
      </c>
      <c r="D23" s="574">
        <v>1.75</v>
      </c>
      <c r="E23" s="574">
        <v>1.67</v>
      </c>
      <c r="F23" s="574">
        <v>1.61</v>
      </c>
      <c r="G23" s="574">
        <v>1.54</v>
      </c>
      <c r="H23" s="574">
        <v>1.49</v>
      </c>
      <c r="I23" s="574">
        <v>1.43</v>
      </c>
      <c r="K23" s="3934"/>
      <c r="L23" s="573">
        <v>1.4999999999999999E-2</v>
      </c>
      <c r="M23" s="574">
        <v>1.86</v>
      </c>
      <c r="N23" s="574">
        <v>1.78</v>
      </c>
      <c r="O23" s="574">
        <v>1.7</v>
      </c>
      <c r="P23" s="574">
        <v>1.63</v>
      </c>
      <c r="Q23" s="574">
        <v>1.57</v>
      </c>
      <c r="R23" s="574">
        <v>1.51</v>
      </c>
      <c r="S23" s="574">
        <v>1.49</v>
      </c>
      <c r="U23" s="3934"/>
      <c r="V23" s="573">
        <v>1.4999999999999999E-2</v>
      </c>
      <c r="W23" s="574">
        <v>0.89</v>
      </c>
      <c r="X23" s="574">
        <v>0.86</v>
      </c>
      <c r="Y23" s="574">
        <v>0.83</v>
      </c>
      <c r="Z23" s="574">
        <v>0.81</v>
      </c>
      <c r="AA23" s="574">
        <v>0.79</v>
      </c>
      <c r="AB23" s="574">
        <v>0.78</v>
      </c>
      <c r="AC23" s="574">
        <v>0.78</v>
      </c>
      <c r="AD23" s="574">
        <v>0.73</v>
      </c>
      <c r="AE23" s="574">
        <v>0.68</v>
      </c>
    </row>
    <row r="24" spans="1:31">
      <c r="A24" s="3934"/>
      <c r="B24" s="573">
        <v>1.7500000000000002E-2</v>
      </c>
      <c r="C24" s="574">
        <v>1.63</v>
      </c>
      <c r="D24" s="574">
        <v>1.58</v>
      </c>
      <c r="E24" s="574">
        <v>1.54</v>
      </c>
      <c r="F24" s="574">
        <v>1.49</v>
      </c>
      <c r="G24" s="574">
        <v>1.45</v>
      </c>
      <c r="H24" s="574">
        <v>1.42</v>
      </c>
      <c r="I24" s="574">
        <v>1.39</v>
      </c>
      <c r="K24" s="3934"/>
      <c r="L24" s="573">
        <v>1.7500000000000002E-2</v>
      </c>
      <c r="M24" s="574">
        <v>1.66</v>
      </c>
      <c r="N24" s="574">
        <v>1.61</v>
      </c>
      <c r="O24" s="574">
        <v>1.56</v>
      </c>
      <c r="P24" s="574">
        <v>1.51</v>
      </c>
      <c r="Q24" s="574">
        <v>1.47</v>
      </c>
      <c r="R24" s="574">
        <v>1.44</v>
      </c>
      <c r="S24" s="574">
        <v>1.41</v>
      </c>
      <c r="U24" s="3934"/>
      <c r="V24" s="573">
        <v>1.7500000000000002E-2</v>
      </c>
      <c r="W24" s="574">
        <v>0.8</v>
      </c>
      <c r="X24" s="574">
        <v>0.78</v>
      </c>
      <c r="Y24" s="574">
        <v>0.77</v>
      </c>
      <c r="Z24" s="574">
        <v>0.76</v>
      </c>
      <c r="AA24" s="574">
        <v>0.75</v>
      </c>
      <c r="AB24" s="574">
        <v>0.75</v>
      </c>
      <c r="AC24" s="574">
        <v>0.75</v>
      </c>
      <c r="AD24" s="574">
        <v>0.71</v>
      </c>
      <c r="AE24" s="574">
        <v>0.67</v>
      </c>
    </row>
    <row r="25" spans="1:31">
      <c r="A25" s="3934"/>
      <c r="B25" s="573">
        <v>0.02</v>
      </c>
      <c r="C25" s="574">
        <v>1.46</v>
      </c>
      <c r="D25" s="574">
        <v>1.44</v>
      </c>
      <c r="E25" s="574">
        <v>1.41</v>
      </c>
      <c r="F25" s="574">
        <v>1.39</v>
      </c>
      <c r="G25" s="574">
        <v>1.37</v>
      </c>
      <c r="H25" s="574">
        <v>1.35</v>
      </c>
      <c r="I25" s="574">
        <v>1.34</v>
      </c>
      <c r="K25" s="3934"/>
      <c r="L25" s="573">
        <v>0.02</v>
      </c>
      <c r="M25" s="574">
        <v>1.49</v>
      </c>
      <c r="N25" s="574">
        <v>1.46</v>
      </c>
      <c r="O25" s="574">
        <v>1.43</v>
      </c>
      <c r="P25" s="574">
        <v>1.4</v>
      </c>
      <c r="Q25" s="574">
        <v>1.38</v>
      </c>
      <c r="R25" s="574">
        <v>1.37</v>
      </c>
      <c r="S25" s="574">
        <v>1.36</v>
      </c>
      <c r="U25" s="3934"/>
      <c r="V25" s="573">
        <v>0.02</v>
      </c>
      <c r="W25" s="574">
        <v>0.72</v>
      </c>
      <c r="X25" s="574">
        <v>0.71</v>
      </c>
      <c r="Y25" s="574">
        <v>0.71</v>
      </c>
      <c r="Z25" s="574">
        <v>0.71</v>
      </c>
      <c r="AA25" s="574">
        <v>0.71</v>
      </c>
      <c r="AB25" s="574">
        <v>0.72</v>
      </c>
      <c r="AC25" s="574">
        <v>0.73</v>
      </c>
      <c r="AD25" s="574">
        <v>0.7</v>
      </c>
      <c r="AE25" s="574">
        <v>0.66</v>
      </c>
    </row>
    <row r="26" spans="1:31">
      <c r="A26" s="3934"/>
      <c r="B26" s="573">
        <v>2.2499999999999999E-2</v>
      </c>
      <c r="C26" s="574">
        <v>1.31</v>
      </c>
      <c r="D26" s="574">
        <v>1.3</v>
      </c>
      <c r="E26" s="574">
        <v>1.3</v>
      </c>
      <c r="F26" s="574">
        <v>1.29</v>
      </c>
      <c r="G26" s="574">
        <v>1.29</v>
      </c>
      <c r="H26" s="574">
        <v>1.29</v>
      </c>
      <c r="I26" s="574">
        <v>1.3</v>
      </c>
      <c r="K26" s="3934"/>
      <c r="L26" s="573">
        <v>2.2499999999999999E-2</v>
      </c>
      <c r="M26" s="574">
        <v>1.33</v>
      </c>
      <c r="N26" s="574">
        <v>1.32</v>
      </c>
      <c r="O26" s="574">
        <v>1.31</v>
      </c>
      <c r="P26" s="574">
        <v>1.31</v>
      </c>
      <c r="Q26" s="574">
        <v>1.3</v>
      </c>
      <c r="R26" s="574">
        <v>1.31</v>
      </c>
      <c r="S26" s="574">
        <v>1.31</v>
      </c>
      <c r="U26" s="3934"/>
      <c r="V26" s="573">
        <v>2.2499999999999999E-2</v>
      </c>
      <c r="W26" s="574">
        <v>0.64</v>
      </c>
      <c r="X26" s="574">
        <v>0.65</v>
      </c>
      <c r="Y26" s="574">
        <v>0.65</v>
      </c>
      <c r="Z26" s="574">
        <v>0.66</v>
      </c>
      <c r="AA26" s="574">
        <v>0.67</v>
      </c>
      <c r="AB26" s="574">
        <v>0.69</v>
      </c>
      <c r="AC26" s="574">
        <v>0.71</v>
      </c>
      <c r="AD26" s="574">
        <v>0.68</v>
      </c>
      <c r="AE26" s="574">
        <v>0.64</v>
      </c>
    </row>
    <row r="27" spans="1:31">
      <c r="A27" s="3934"/>
      <c r="B27" s="573">
        <v>2.5000000000000001E-2</v>
      </c>
      <c r="C27" s="574">
        <v>1.17</v>
      </c>
      <c r="D27" s="574">
        <v>1.18</v>
      </c>
      <c r="E27" s="574">
        <v>1.19</v>
      </c>
      <c r="F27" s="574">
        <v>1.21</v>
      </c>
      <c r="G27" s="574">
        <v>1.22</v>
      </c>
      <c r="H27" s="574">
        <v>1.23</v>
      </c>
      <c r="I27" s="574">
        <v>1.25</v>
      </c>
      <c r="K27" s="3934"/>
      <c r="L27" s="573">
        <v>2.5000000000000001E-2</v>
      </c>
      <c r="M27" s="574">
        <v>1.19</v>
      </c>
      <c r="N27" s="574">
        <v>1.2</v>
      </c>
      <c r="O27" s="574">
        <v>1.21</v>
      </c>
      <c r="P27" s="574">
        <v>1.21</v>
      </c>
      <c r="Q27" s="574">
        <v>1.23</v>
      </c>
      <c r="R27" s="574">
        <v>1.25</v>
      </c>
      <c r="S27" s="574">
        <v>1.27</v>
      </c>
      <c r="U27" s="3934"/>
      <c r="V27" s="573">
        <v>2.5000000000000001E-2</v>
      </c>
      <c r="W27" s="574">
        <v>0.57999999999999996</v>
      </c>
      <c r="X27" s="574">
        <v>0.59</v>
      </c>
      <c r="Y27" s="574">
        <v>0.6</v>
      </c>
      <c r="Z27" s="574">
        <v>0.62</v>
      </c>
      <c r="AA27" s="574">
        <v>0.64</v>
      </c>
      <c r="AB27" s="574">
        <v>0.66</v>
      </c>
      <c r="AC27" s="574">
        <v>0.69</v>
      </c>
      <c r="AD27" s="574">
        <v>0.67</v>
      </c>
      <c r="AE27" s="574">
        <v>0.63</v>
      </c>
    </row>
    <row r="28" spans="1:31">
      <c r="A28" s="3934"/>
      <c r="B28" s="573">
        <v>2.75E-2</v>
      </c>
      <c r="C28" s="574">
        <v>1.05</v>
      </c>
      <c r="D28" s="574">
        <v>1.08</v>
      </c>
      <c r="E28" s="574">
        <v>1.1000000000000001</v>
      </c>
      <c r="F28" s="574">
        <v>1.1200000000000001</v>
      </c>
      <c r="G28" s="574">
        <v>1.1499999999999999</v>
      </c>
      <c r="H28" s="574">
        <v>1.18</v>
      </c>
      <c r="I28" s="574">
        <v>1.22</v>
      </c>
      <c r="K28" s="3934"/>
      <c r="L28" s="573">
        <v>2.75E-2</v>
      </c>
      <c r="M28" s="574">
        <v>1.07</v>
      </c>
      <c r="N28" s="574">
        <v>1.0900000000000001</v>
      </c>
      <c r="O28" s="574">
        <v>1.1100000000000001</v>
      </c>
      <c r="P28" s="574">
        <v>1.1299999999999999</v>
      </c>
      <c r="Q28" s="574">
        <v>1.1599999999999999</v>
      </c>
      <c r="R28" s="574">
        <v>1.19</v>
      </c>
      <c r="S28" s="574">
        <v>1.23</v>
      </c>
      <c r="U28" s="3934"/>
      <c r="V28" s="573">
        <v>2.75E-2</v>
      </c>
      <c r="W28" s="574">
        <v>0.52</v>
      </c>
      <c r="X28" s="574">
        <v>0.54</v>
      </c>
      <c r="Y28" s="574">
        <v>0.56000000000000005</v>
      </c>
      <c r="Z28" s="574">
        <v>0.57999999999999996</v>
      </c>
      <c r="AA28" s="574">
        <v>0.6</v>
      </c>
      <c r="AB28" s="574">
        <v>0.64</v>
      </c>
      <c r="AC28" s="574">
        <v>0.67</v>
      </c>
      <c r="AD28" s="574">
        <v>0.65</v>
      </c>
      <c r="AE28" s="574">
        <v>0.62</v>
      </c>
    </row>
    <row r="29" spans="1:31">
      <c r="A29" s="3934"/>
      <c r="B29" s="573">
        <v>0.03</v>
      </c>
      <c r="C29" s="574">
        <v>0.95</v>
      </c>
      <c r="D29" s="574">
        <v>0.98</v>
      </c>
      <c r="E29" s="574">
        <v>1.01</v>
      </c>
      <c r="F29" s="574">
        <v>1.05</v>
      </c>
      <c r="G29" s="574">
        <v>1.0900000000000001</v>
      </c>
      <c r="H29" s="574">
        <v>1.1299999999999999</v>
      </c>
      <c r="I29" s="574">
        <v>1.18</v>
      </c>
      <c r="K29" s="3934"/>
      <c r="L29" s="573">
        <v>0.03</v>
      </c>
      <c r="M29" s="574">
        <v>0.96</v>
      </c>
      <c r="N29" s="574">
        <v>0.99</v>
      </c>
      <c r="O29" s="574">
        <v>1.02</v>
      </c>
      <c r="P29" s="574">
        <v>1.05</v>
      </c>
      <c r="Q29" s="574">
        <v>1.0900000000000001</v>
      </c>
      <c r="R29" s="574">
        <v>1.1399999999999999</v>
      </c>
      <c r="S29" s="574">
        <v>1.19</v>
      </c>
      <c r="U29" s="3934"/>
      <c r="V29" s="573">
        <v>0.03</v>
      </c>
      <c r="W29" s="574">
        <v>0.47</v>
      </c>
      <c r="X29" s="574">
        <v>0.49</v>
      </c>
      <c r="Y29" s="574">
        <v>0.51</v>
      </c>
      <c r="Z29" s="574">
        <v>0.54</v>
      </c>
      <c r="AA29" s="574">
        <v>0.56999999999999995</v>
      </c>
      <c r="AB29" s="574">
        <v>0.61</v>
      </c>
      <c r="AC29" s="574">
        <v>0.65</v>
      </c>
      <c r="AD29" s="574">
        <v>0.64</v>
      </c>
      <c r="AE29" s="574">
        <v>0.61</v>
      </c>
    </row>
    <row r="30" spans="1:31">
      <c r="A30" s="3934"/>
      <c r="B30" s="573">
        <v>3.2500000000000001E-2</v>
      </c>
      <c r="C30" s="574">
        <v>0.85</v>
      </c>
      <c r="D30" s="574">
        <v>0.89</v>
      </c>
      <c r="E30" s="574">
        <v>0.93</v>
      </c>
      <c r="F30" s="574">
        <v>0.98</v>
      </c>
      <c r="G30" s="574">
        <v>1.03</v>
      </c>
      <c r="H30" s="574">
        <v>1.08</v>
      </c>
      <c r="I30" s="574">
        <v>1.1399999999999999</v>
      </c>
      <c r="K30" s="3934"/>
      <c r="L30" s="573">
        <v>3.2500000000000001E-2</v>
      </c>
      <c r="M30" s="574">
        <v>0.86</v>
      </c>
      <c r="N30" s="574">
        <v>0.9</v>
      </c>
      <c r="O30" s="574">
        <v>0.94</v>
      </c>
      <c r="P30" s="574">
        <v>0.98</v>
      </c>
      <c r="Q30" s="574">
        <v>1.03</v>
      </c>
      <c r="R30" s="574">
        <v>1.0900000000000001</v>
      </c>
      <c r="S30" s="574">
        <v>1.1499999999999999</v>
      </c>
      <c r="U30" s="3934"/>
      <c r="V30" s="573">
        <v>3.2500000000000001E-2</v>
      </c>
      <c r="W30" s="574">
        <v>0.42</v>
      </c>
      <c r="X30" s="574">
        <v>0.45</v>
      </c>
      <c r="Y30" s="574">
        <v>0.48</v>
      </c>
      <c r="Z30" s="574">
        <v>0.51</v>
      </c>
      <c r="AA30" s="574">
        <v>0.54</v>
      </c>
      <c r="AB30" s="574">
        <v>0.59</v>
      </c>
      <c r="AC30" s="574">
        <v>0.64</v>
      </c>
      <c r="AD30" s="574">
        <v>0.62</v>
      </c>
      <c r="AE30" s="574">
        <v>0.6</v>
      </c>
    </row>
    <row r="31" spans="1:31">
      <c r="A31" s="3934"/>
      <c r="B31" s="573">
        <v>3.5000000000000003E-2</v>
      </c>
      <c r="C31" s="574">
        <v>0.77</v>
      </c>
      <c r="D31" s="574">
        <v>0.81</v>
      </c>
      <c r="E31" s="574">
        <v>0.86</v>
      </c>
      <c r="F31" s="574">
        <v>0.91</v>
      </c>
      <c r="G31" s="574">
        <v>0.97</v>
      </c>
      <c r="H31" s="574">
        <v>1.04</v>
      </c>
      <c r="I31" s="574">
        <v>1.1100000000000001</v>
      </c>
      <c r="K31" s="3934"/>
      <c r="L31" s="573">
        <v>3.5000000000000003E-2</v>
      </c>
      <c r="M31" s="574">
        <v>0.77</v>
      </c>
      <c r="N31" s="574">
        <v>0.82</v>
      </c>
      <c r="O31" s="574">
        <v>0.86</v>
      </c>
      <c r="P31" s="574">
        <v>0.92</v>
      </c>
      <c r="Q31" s="574">
        <v>0.97</v>
      </c>
      <c r="R31" s="574">
        <v>1.04</v>
      </c>
      <c r="S31" s="574">
        <v>1.1100000000000001</v>
      </c>
      <c r="U31" s="3934"/>
      <c r="V31" s="573">
        <v>3.5000000000000003E-2</v>
      </c>
      <c r="W31" s="574">
        <v>0.38</v>
      </c>
      <c r="X31" s="574">
        <v>0.41</v>
      </c>
      <c r="Y31" s="574">
        <v>0.44</v>
      </c>
      <c r="Z31" s="574">
        <v>0.47</v>
      </c>
      <c r="AA31" s="574">
        <v>0.52</v>
      </c>
      <c r="AB31" s="574">
        <v>0.56000000000000005</v>
      </c>
      <c r="AC31" s="574">
        <v>0.62</v>
      </c>
      <c r="AD31" s="574">
        <v>0.61</v>
      </c>
      <c r="AE31" s="574">
        <v>0.59</v>
      </c>
    </row>
    <row r="32" spans="1:31">
      <c r="A32" s="3934"/>
      <c r="B32" s="573">
        <v>3.7499999999999999E-2</v>
      </c>
      <c r="C32" s="574">
        <v>0.69</v>
      </c>
      <c r="D32" s="574">
        <v>0.74</v>
      </c>
      <c r="E32" s="574">
        <v>0.8</v>
      </c>
      <c r="F32" s="574">
        <v>0.86</v>
      </c>
      <c r="G32" s="574">
        <v>0.92</v>
      </c>
      <c r="H32" s="574">
        <v>0.99</v>
      </c>
      <c r="I32" s="574">
        <v>1.07</v>
      </c>
      <c r="K32" s="3934"/>
      <c r="L32" s="573">
        <v>3.7499999999999999E-2</v>
      </c>
      <c r="M32" s="574">
        <v>0.69</v>
      </c>
      <c r="N32" s="574">
        <v>0.74</v>
      </c>
      <c r="O32" s="574">
        <v>0.8</v>
      </c>
      <c r="P32" s="574">
        <v>0.86</v>
      </c>
      <c r="Q32" s="574">
        <v>0.92</v>
      </c>
      <c r="R32" s="574">
        <v>0.99</v>
      </c>
      <c r="S32" s="574">
        <v>1.08</v>
      </c>
      <c r="U32" s="3934"/>
      <c r="V32" s="573">
        <v>3.7499999999999999E-2</v>
      </c>
      <c r="W32" s="574">
        <v>0.35</v>
      </c>
      <c r="X32" s="574">
        <v>0.37</v>
      </c>
      <c r="Y32" s="574">
        <v>0.41</v>
      </c>
      <c r="Z32" s="574">
        <v>0.44</v>
      </c>
      <c r="AA32" s="574">
        <v>0.49</v>
      </c>
      <c r="AB32" s="574">
        <v>0.54</v>
      </c>
      <c r="AC32" s="574">
        <v>0.6</v>
      </c>
      <c r="AD32" s="574">
        <v>0.59</v>
      </c>
      <c r="AE32" s="574">
        <v>0.57999999999999996</v>
      </c>
    </row>
    <row r="33" spans="1:31">
      <c r="A33" s="3934"/>
      <c r="B33" s="573">
        <v>0.04</v>
      </c>
      <c r="C33" s="574">
        <v>0.62</v>
      </c>
      <c r="D33" s="574">
        <v>0.68</v>
      </c>
      <c r="E33" s="574">
        <v>0.74</v>
      </c>
      <c r="F33" s="574">
        <v>0.8</v>
      </c>
      <c r="G33" s="574">
        <v>0.87</v>
      </c>
      <c r="H33" s="574">
        <v>0.95</v>
      </c>
      <c r="I33" s="574">
        <v>1.04</v>
      </c>
      <c r="K33" s="3934"/>
      <c r="L33" s="573">
        <v>0.04</v>
      </c>
      <c r="M33" s="574">
        <v>0.63</v>
      </c>
      <c r="N33" s="574">
        <v>0.68</v>
      </c>
      <c r="O33" s="574">
        <v>0.74</v>
      </c>
      <c r="P33" s="574">
        <v>0.8</v>
      </c>
      <c r="Q33" s="574">
        <v>0.87</v>
      </c>
      <c r="R33" s="574">
        <v>0.95</v>
      </c>
      <c r="S33" s="574">
        <v>1.05</v>
      </c>
      <c r="U33" s="3934"/>
      <c r="V33" s="573">
        <v>0.04</v>
      </c>
      <c r="W33" s="574">
        <v>0.31</v>
      </c>
      <c r="X33" s="574">
        <v>0.34</v>
      </c>
      <c r="Y33" s="574">
        <v>0.38</v>
      </c>
      <c r="Z33" s="574">
        <v>0.42</v>
      </c>
      <c r="AA33" s="574">
        <v>0.47</v>
      </c>
      <c r="AB33" s="574">
        <v>0.52</v>
      </c>
      <c r="AC33" s="574">
        <v>0.59</v>
      </c>
      <c r="AD33" s="574">
        <v>0.57999999999999996</v>
      </c>
      <c r="AE33" s="574">
        <v>0.56999999999999995</v>
      </c>
    </row>
    <row r="34" spans="1:31"/>
    <row r="35" spans="1:31" hidden="1">
      <c r="B35" s="146"/>
      <c r="C35" s="560"/>
      <c r="D35" s="146"/>
      <c r="E35" s="560"/>
      <c r="F35" s="146"/>
      <c r="G35" s="560"/>
      <c r="H35" s="146"/>
      <c r="I35" s="560"/>
      <c r="J35" s="146"/>
      <c r="K35" s="560"/>
      <c r="L35" s="146"/>
      <c r="M35" s="560"/>
      <c r="N35" s="146"/>
    </row>
  </sheetData>
  <mergeCells count="21">
    <mergeCell ref="U2:AE2"/>
    <mergeCell ref="U3:AE3"/>
    <mergeCell ref="U4:V4"/>
    <mergeCell ref="U19:AE19"/>
    <mergeCell ref="A2:I2"/>
    <mergeCell ref="K2:S2"/>
    <mergeCell ref="A4:B4"/>
    <mergeCell ref="A3:I3"/>
    <mergeCell ref="K3:S3"/>
    <mergeCell ref="K4:L4"/>
    <mergeCell ref="A5:A17"/>
    <mergeCell ref="A21:A33"/>
    <mergeCell ref="K21:K33"/>
    <mergeCell ref="K5:K17"/>
    <mergeCell ref="U5:U17"/>
    <mergeCell ref="U21:U33"/>
    <mergeCell ref="A19:I19"/>
    <mergeCell ref="A20:B20"/>
    <mergeCell ref="K19:S19"/>
    <mergeCell ref="K20:L20"/>
    <mergeCell ref="U20:V20"/>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45" topLeftCell="A50" activePane="bottomLeft"/>
      <selection activeCell="U2" sqref="U2"/>
      <selection pane="bottomLeft" activeCell="B4" sqref="B4:J84"/>
    </sheetView>
  </sheetViews>
  <sheetFormatPr baseColWidth="10" defaultColWidth="11.125" defaultRowHeight="14.25"/>
  <cols>
    <col min="1" max="1" width="19" customWidth="1"/>
    <col min="2" max="2" width="6.125" customWidth="1"/>
    <col min="3" max="10" width="11" customWidth="1"/>
    <col min="11" max="11" width="6.125" customWidth="1"/>
    <col min="12" max="21" width="11" customWidth="1"/>
    <col min="22" max="23" width="11.125" bestFit="1" customWidth="1"/>
    <col min="24" max="24" width="11.625" bestFit="1" customWidth="1"/>
    <col min="25" max="26" width="11.125" bestFit="1" customWidth="1"/>
    <col min="27" max="28" width="11" customWidth="1"/>
  </cols>
  <sheetData>
    <row r="1" spans="1:28">
      <c r="B1" s="3953" t="s">
        <v>220</v>
      </c>
      <c r="C1" s="3953"/>
      <c r="D1" s="3953"/>
      <c r="E1" s="3953"/>
      <c r="F1" s="3953"/>
      <c r="G1" s="3953"/>
      <c r="H1" s="3953"/>
      <c r="I1" s="3953"/>
      <c r="J1" s="3953"/>
      <c r="K1" s="3954" t="s">
        <v>221</v>
      </c>
      <c r="L1" s="3954"/>
      <c r="M1" s="3954"/>
      <c r="N1" s="3954"/>
      <c r="O1" s="3954"/>
      <c r="P1" s="3954"/>
      <c r="Q1" s="3954"/>
      <c r="R1" s="3954"/>
      <c r="S1" s="3954"/>
      <c r="T1" s="3955" t="s">
        <v>587</v>
      </c>
      <c r="U1" s="3955"/>
      <c r="V1" s="3955"/>
      <c r="W1" s="3955"/>
      <c r="X1" s="3955"/>
      <c r="Y1" s="3955"/>
      <c r="Z1" s="3955"/>
      <c r="AA1" s="3955"/>
      <c r="AB1" s="3955"/>
    </row>
    <row r="2" spans="1:28" ht="65.25" customHeight="1">
      <c r="A2" t="s">
        <v>168</v>
      </c>
      <c r="B2" s="3952" t="s">
        <v>12</v>
      </c>
      <c r="C2" s="2120" t="s">
        <v>0</v>
      </c>
      <c r="D2" s="2120" t="s">
        <v>1</v>
      </c>
      <c r="E2" s="2120" t="s">
        <v>2</v>
      </c>
      <c r="F2" s="2120" t="s">
        <v>3</v>
      </c>
      <c r="G2" s="2120" t="s">
        <v>1963</v>
      </c>
      <c r="H2" s="3949" t="s">
        <v>5</v>
      </c>
      <c r="I2" s="3949"/>
      <c r="J2" s="3949"/>
      <c r="K2" s="2114"/>
      <c r="L2" s="2115" t="s">
        <v>0</v>
      </c>
      <c r="M2" s="2115" t="s">
        <v>1</v>
      </c>
      <c r="N2" s="2115" t="s">
        <v>2</v>
      </c>
      <c r="O2" s="2115" t="s">
        <v>3</v>
      </c>
      <c r="P2" s="2115" t="str">
        <f>+G2</f>
        <v>Anwartschafts-barwert
Altersrente</v>
      </c>
      <c r="Q2" s="3950" t="s">
        <v>1960</v>
      </c>
      <c r="R2" s="3950"/>
      <c r="S2" s="3950"/>
      <c r="T2" s="2117"/>
      <c r="U2" s="2118" t="s">
        <v>0</v>
      </c>
      <c r="V2" s="2118" t="s">
        <v>1</v>
      </c>
      <c r="W2" s="2118" t="s">
        <v>2</v>
      </c>
      <c r="X2" s="2118" t="s">
        <v>3</v>
      </c>
      <c r="Y2" s="2118" t="s">
        <v>4</v>
      </c>
      <c r="Z2" s="3951" t="s">
        <v>6</v>
      </c>
      <c r="AA2" s="3951"/>
      <c r="AB2" s="3951"/>
    </row>
    <row r="3" spans="1:28" s="2" customFormat="1" ht="13.5">
      <c r="A3" s="60">
        <v>43111</v>
      </c>
      <c r="B3" s="3952" t="s">
        <v>13</v>
      </c>
      <c r="C3" s="2121" t="s">
        <v>15</v>
      </c>
      <c r="D3" s="2121" t="s">
        <v>14</v>
      </c>
      <c r="E3" s="2121" t="s">
        <v>75</v>
      </c>
      <c r="F3" s="2121" t="s">
        <v>16</v>
      </c>
      <c r="G3" s="2121"/>
      <c r="H3" s="2121" t="s">
        <v>8</v>
      </c>
      <c r="I3" s="2121" t="s">
        <v>9</v>
      </c>
      <c r="J3" s="2121" t="s">
        <v>10</v>
      </c>
      <c r="K3" s="2116" t="s">
        <v>13</v>
      </c>
      <c r="L3" s="2116" t="s">
        <v>15</v>
      </c>
      <c r="M3" s="2116" t="s">
        <v>14</v>
      </c>
      <c r="N3" s="2116" t="s">
        <v>76</v>
      </c>
      <c r="O3" s="2116" t="s">
        <v>16</v>
      </c>
      <c r="P3" s="2116"/>
      <c r="Q3" s="2116" t="s">
        <v>8</v>
      </c>
      <c r="R3" s="2116" t="s">
        <v>9</v>
      </c>
      <c r="S3" s="2116" t="s">
        <v>10</v>
      </c>
      <c r="T3" s="2119" t="s">
        <v>150</v>
      </c>
      <c r="U3" s="2119" t="s">
        <v>151</v>
      </c>
      <c r="V3" s="2119" t="s">
        <v>152</v>
      </c>
      <c r="W3" s="2119" t="s">
        <v>153</v>
      </c>
      <c r="X3" s="2119"/>
      <c r="Y3" s="2119"/>
      <c r="Z3" s="2119" t="s">
        <v>8</v>
      </c>
      <c r="AA3" s="2119" t="s">
        <v>9</v>
      </c>
      <c r="AB3" s="2119"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51">
        <v>7.0483897670572587E-2</v>
      </c>
      <c r="AA4" s="251">
        <v>8.3369892720491029E-2</v>
      </c>
      <c r="AB4" s="251">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51">
        <v>8.0745174207078066E-2</v>
      </c>
      <c r="AA5" s="251">
        <v>9.5295458863765919E-2</v>
      </c>
      <c r="AB5" s="251">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51">
        <v>9.0094446034654607E-2</v>
      </c>
      <c r="AA6" s="251">
        <v>0.10730941953653658</v>
      </c>
      <c r="AB6" s="251">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51">
        <v>9.8292856944623364E-2</v>
      </c>
      <c r="AA7" s="251">
        <v>0.11887549306438996</v>
      </c>
      <c r="AB7" s="251">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51">
        <v>0.1049257309292525</v>
      </c>
      <c r="AA8" s="251">
        <v>0.1286201654503302</v>
      </c>
      <c r="AB8" s="251">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51">
        <v>0.11057598287044296</v>
      </c>
      <c r="AA9" s="251">
        <v>0.13696247645405443</v>
      </c>
      <c r="AB9" s="251">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51">
        <v>0.11534996107800313</v>
      </c>
      <c r="AA10" s="251">
        <v>0.14432518360717311</v>
      </c>
      <c r="AB10" s="251">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51">
        <v>0.11936905818333238</v>
      </c>
      <c r="AA11" s="251">
        <v>0.15075519204920057</v>
      </c>
      <c r="AB11" s="251">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51">
        <v>0.12259660982319119</v>
      </c>
      <c r="AA12" s="251">
        <v>0.15665941246483805</v>
      </c>
      <c r="AB12" s="251">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51">
        <v>0.12520304763912271</v>
      </c>
      <c r="AA13" s="251">
        <v>0.16173199787948933</v>
      </c>
      <c r="AB13" s="251">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51">
        <v>0.12731782873614017</v>
      </c>
      <c r="AA14" s="251">
        <v>0.16629399810650602</v>
      </c>
      <c r="AB14" s="251">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51">
        <v>0.12882206683532313</v>
      </c>
      <c r="AA15" s="251">
        <v>0.17046884950769831</v>
      </c>
      <c r="AB15" s="251">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51">
        <v>0.1299240142074857</v>
      </c>
      <c r="AA16" s="251">
        <v>0.17411330329492153</v>
      </c>
      <c r="AB16" s="251">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51">
        <v>0.13066145312318092</v>
      </c>
      <c r="AA17" s="251">
        <v>0.17742142489491344</v>
      </c>
      <c r="AB17" s="251">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51">
        <v>0.13081586572646456</v>
      </c>
      <c r="AA18" s="251">
        <v>0.18037722984846977</v>
      </c>
      <c r="AB18" s="251">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51">
        <v>0.13053043515115934</v>
      </c>
      <c r="AA19" s="251">
        <v>0.18306203645419367</v>
      </c>
      <c r="AB19" s="251">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51">
        <v>0.129437846208247</v>
      </c>
      <c r="AA20" s="251">
        <v>0.18523503429080285</v>
      </c>
      <c r="AB20" s="251">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51">
        <v>0.1277194023025876</v>
      </c>
      <c r="AA21" s="251">
        <v>0.18715973078993811</v>
      </c>
      <c r="AB21" s="251">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51">
        <v>0.12525372065294541</v>
      </c>
      <c r="AA22" s="251">
        <v>0.18867854162218636</v>
      </c>
      <c r="AB22" s="251">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51">
        <v>0.12197295667843104</v>
      </c>
      <c r="AA23" s="251">
        <v>0.18991327208723779</v>
      </c>
      <c r="AB23" s="251">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51">
        <v>0.11819124792838102</v>
      </c>
      <c r="AA24" s="251">
        <v>0.19087415938541794</v>
      </c>
      <c r="AB24" s="251">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51">
        <v>0.11411597043799768</v>
      </c>
      <c r="AA25" s="251">
        <v>0.19166459740713279</v>
      </c>
      <c r="AB25" s="251">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51">
        <v>0.10985129344980479</v>
      </c>
      <c r="AA26" s="251">
        <v>0.19223770526340125</v>
      </c>
      <c r="AB26" s="251">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51">
        <v>0.10570535794347907</v>
      </c>
      <c r="AA27" s="251">
        <v>0.19264507641184109</v>
      </c>
      <c r="AB27" s="251">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51">
        <v>0.1015103263777421</v>
      </c>
      <c r="AA28" s="251">
        <v>0.19287712680577848</v>
      </c>
      <c r="AB28" s="251">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51">
        <v>9.720551977387136E-2</v>
      </c>
      <c r="AA29" s="251">
        <v>0.1929237444880233</v>
      </c>
      <c r="AB29" s="251">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51">
        <v>9.2849217069747636E-2</v>
      </c>
      <c r="AA30" s="251">
        <v>0.19261111669947839</v>
      </c>
      <c r="AB30" s="251">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51">
        <v>8.8367515816752937E-2</v>
      </c>
      <c r="AA31" s="251">
        <v>0.19215991751144729</v>
      </c>
      <c r="AB31" s="251">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51">
        <v>8.3689055520959954E-2</v>
      </c>
      <c r="AA32" s="251">
        <v>0.19129944988094952</v>
      </c>
      <c r="AB32" s="251">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51">
        <v>7.8702780758199975E-2</v>
      </c>
      <c r="AA33" s="251">
        <v>0.19012895711787992</v>
      </c>
      <c r="AB33" s="251">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51">
        <v>7.344140199243776E-2</v>
      </c>
      <c r="AA34" s="251">
        <v>0.18866046063208552</v>
      </c>
      <c r="AB34" s="251">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51">
        <v>6.7850016454165024E-2</v>
      </c>
      <c r="AA35" s="251">
        <v>0.18680472387077149</v>
      </c>
      <c r="AB35" s="251">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51">
        <v>6.2001773331116089E-2</v>
      </c>
      <c r="AA36" s="251">
        <v>0.1846460073654225</v>
      </c>
      <c r="AB36" s="251">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51">
        <v>5.593577053216478E-2</v>
      </c>
      <c r="AA37" s="251">
        <v>0.18221034873904479</v>
      </c>
      <c r="AB37" s="251">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51">
        <v>4.952712757982157E-2</v>
      </c>
      <c r="AA38" s="251">
        <v>0.17946940406870782</v>
      </c>
      <c r="AB38" s="251">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51">
        <v>4.2885063916295818E-2</v>
      </c>
      <c r="AA39" s="251">
        <v>0.17645159903593582</v>
      </c>
      <c r="AB39" s="251">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51">
        <v>3.6074626146263875E-2</v>
      </c>
      <c r="AA40" s="251">
        <v>0.17333298988348386</v>
      </c>
      <c r="AB40" s="251">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51">
        <v>2.9218107626367645E-2</v>
      </c>
      <c r="AA41" s="251">
        <v>0.16999447049181982</v>
      </c>
      <c r="AB41" s="251">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51">
        <v>2.2557231799763502E-2</v>
      </c>
      <c r="AA42" s="251">
        <v>0.16665679025591332</v>
      </c>
      <c r="AB42" s="251">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51">
        <v>1.6329901067312313E-2</v>
      </c>
      <c r="AA43" s="251">
        <v>0.1633305222303835</v>
      </c>
      <c r="AB43" s="251">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51">
        <v>1.0991301770815403E-2</v>
      </c>
      <c r="AA44" s="251">
        <v>0.1600649037421486</v>
      </c>
      <c r="AB44" s="251">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51">
        <v>6.7299023580834729E-3</v>
      </c>
      <c r="AA45" s="251">
        <v>0.15692821775773982</v>
      </c>
      <c r="AB45" s="251">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51">
        <v>3.6465949461909966E-3</v>
      </c>
      <c r="AA46" s="251">
        <v>0.15318945465545808</v>
      </c>
      <c r="AB46" s="251">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51">
        <v>1.6160878938106149E-3</v>
      </c>
      <c r="AA47" s="251">
        <v>0.14946449746599297</v>
      </c>
      <c r="AB47" s="251">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51">
        <v>5.5405781530359455E-4</v>
      </c>
      <c r="AA48" s="251">
        <v>0.14568296529246541</v>
      </c>
      <c r="AB48" s="251">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51">
        <v>9.5443348918953599E-5</v>
      </c>
      <c r="AA49" s="251">
        <v>0.14179598532940987</v>
      </c>
      <c r="AB49" s="251">
        <v>0.14189142867832885</v>
      </c>
    </row>
    <row r="50" spans="2:28" s="34" customFormat="1">
      <c r="B50" s="1460">
        <v>66</v>
      </c>
      <c r="C50" s="1461">
        <v>0</v>
      </c>
      <c r="D50" s="1461">
        <v>15.661</v>
      </c>
      <c r="E50" s="1461">
        <v>3.6739999999999999</v>
      </c>
      <c r="F50" s="1461">
        <v>3.6739999999999999</v>
      </c>
      <c r="G50" s="141">
        <v>15.661</v>
      </c>
      <c r="H50" s="142">
        <v>0</v>
      </c>
      <c r="I50" s="142">
        <v>0.23459549198646318</v>
      </c>
      <c r="J50" s="142">
        <v>0.23459549198646318</v>
      </c>
      <c r="K50" s="1460">
        <v>66</v>
      </c>
      <c r="L50" s="2122">
        <v>0</v>
      </c>
      <c r="M50" s="1461">
        <v>17.216999999999999</v>
      </c>
      <c r="N50" s="1461">
        <v>0.60399999999999998</v>
      </c>
      <c r="O50" s="141">
        <v>0.60399999999999998</v>
      </c>
      <c r="P50" s="1461">
        <v>17.634</v>
      </c>
      <c r="Q50" s="142">
        <v>0</v>
      </c>
      <c r="R50" s="142">
        <v>3.4252013156402403E-2</v>
      </c>
      <c r="S50" s="142">
        <v>3.4252013156402403E-2</v>
      </c>
      <c r="T50" s="1460">
        <v>66</v>
      </c>
      <c r="U50" s="143">
        <v>0</v>
      </c>
      <c r="V50" s="143">
        <v>16.439</v>
      </c>
      <c r="W50" s="143">
        <v>2.1389999999999998</v>
      </c>
      <c r="X50" s="143">
        <v>2.1389999999999998</v>
      </c>
      <c r="Y50" s="143">
        <v>16.647500000000001</v>
      </c>
      <c r="Z50" s="251">
        <v>0</v>
      </c>
      <c r="AA50" s="251">
        <v>0.1344237525714328</v>
      </c>
      <c r="AB50" s="251">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51">
        <v>0</v>
      </c>
      <c r="AA51" s="251">
        <v>0.13726813456162032</v>
      </c>
      <c r="AB51" s="251">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51">
        <v>0</v>
      </c>
      <c r="AA52" s="251">
        <v>0.14053568101750782</v>
      </c>
      <c r="AB52" s="251">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51">
        <v>0</v>
      </c>
      <c r="AA53" s="251">
        <v>0.14407621152597713</v>
      </c>
      <c r="AB53" s="251">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51">
        <v>0</v>
      </c>
      <c r="AA54" s="251">
        <v>0.14780819794292951</v>
      </c>
      <c r="AB54" s="251">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51">
        <v>0</v>
      </c>
      <c r="AA55" s="251">
        <v>0.15178383687363481</v>
      </c>
      <c r="AB55" s="251">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51">
        <v>0</v>
      </c>
      <c r="AA56" s="251">
        <v>0.1561156769640383</v>
      </c>
      <c r="AB56" s="251">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51">
        <v>0</v>
      </c>
      <c r="AA57" s="251">
        <v>0.16104223291977471</v>
      </c>
      <c r="AB57" s="251">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51">
        <v>0</v>
      </c>
      <c r="AA58" s="251">
        <v>0.1663411325696037</v>
      </c>
      <c r="AB58" s="251">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51">
        <v>0</v>
      </c>
      <c r="AA59" s="251">
        <v>0.17211334525479105</v>
      </c>
      <c r="AB59" s="251">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51">
        <v>0</v>
      </c>
      <c r="AA60" s="251">
        <v>0.17823000476484518</v>
      </c>
      <c r="AB60" s="251">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51">
        <v>0</v>
      </c>
      <c r="AA61" s="251">
        <v>0.18467454203600653</v>
      </c>
      <c r="AB61" s="251">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51">
        <v>0</v>
      </c>
      <c r="AA62" s="251">
        <v>0.19147878284346553</v>
      </c>
      <c r="AB62" s="251">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51">
        <v>0</v>
      </c>
      <c r="AA63" s="251">
        <v>0.19864352434554819</v>
      </c>
      <c r="AB63" s="251">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51">
        <v>0</v>
      </c>
      <c r="AA64" s="251">
        <v>0.20612932693906064</v>
      </c>
      <c r="AB64" s="251">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51">
        <v>0</v>
      </c>
      <c r="AA65" s="251">
        <v>0.21375124643144064</v>
      </c>
      <c r="AB65" s="251">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51">
        <v>0</v>
      </c>
      <c r="AA66" s="251">
        <v>0.22065147302577107</v>
      </c>
      <c r="AB66" s="251">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51">
        <v>0</v>
      </c>
      <c r="AA67" s="251">
        <v>0.22725602991631955</v>
      </c>
      <c r="AB67" s="251">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51">
        <v>0</v>
      </c>
      <c r="AA68" s="251">
        <v>0.23346434961032392</v>
      </c>
      <c r="AB68" s="251">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51">
        <v>0</v>
      </c>
      <c r="AA69" s="251">
        <v>0.23908345949324505</v>
      </c>
      <c r="AB69" s="251">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51">
        <v>0</v>
      </c>
      <c r="AA70" s="251">
        <v>0.24407011271162149</v>
      </c>
      <c r="AB70" s="251">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51">
        <v>0</v>
      </c>
      <c r="AA71" s="251">
        <v>0.24804080477967907</v>
      </c>
      <c r="AB71" s="251">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51">
        <v>0</v>
      </c>
      <c r="AA72" s="251">
        <v>0.24816649561791387</v>
      </c>
      <c r="AB72" s="251">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51">
        <v>0</v>
      </c>
      <c r="AA73" s="251">
        <v>0.2455262550273585</v>
      </c>
      <c r="AB73" s="251">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51">
        <v>0</v>
      </c>
      <c r="AA74" s="251">
        <v>0.24170839808898867</v>
      </c>
      <c r="AB74" s="251">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51">
        <v>0</v>
      </c>
      <c r="AA75" s="251">
        <v>0.23461568093489102</v>
      </c>
      <c r="AB75" s="251">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51">
        <v>0</v>
      </c>
      <c r="AA76" s="251">
        <v>0.22743402529828161</v>
      </c>
      <c r="AB76" s="251">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51">
        <v>0</v>
      </c>
      <c r="AA77" s="251">
        <v>0.21697569513068829</v>
      </c>
      <c r="AB77" s="251">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51">
        <v>0</v>
      </c>
      <c r="AA78" s="251">
        <v>0.20671566559961332</v>
      </c>
      <c r="AB78" s="251">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51">
        <v>0</v>
      </c>
      <c r="AA79" s="251">
        <v>0.19719441610727917</v>
      </c>
      <c r="AB79" s="251">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51">
        <v>0</v>
      </c>
      <c r="AA80" s="251">
        <v>0.18391091744874927</v>
      </c>
      <c r="AB80" s="251">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51">
        <v>0</v>
      </c>
      <c r="AA81" s="251">
        <v>0.16989086567835535</v>
      </c>
      <c r="AB81" s="251">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51">
        <v>0</v>
      </c>
      <c r="AA82" s="251">
        <v>0.15132410574448871</v>
      </c>
      <c r="AB82" s="251">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51">
        <v>0</v>
      </c>
      <c r="AA83" s="251">
        <v>0.1279623677424935</v>
      </c>
      <c r="AB83" s="251">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51">
        <v>0</v>
      </c>
      <c r="AA84" s="251">
        <v>0.10508664743756445</v>
      </c>
      <c r="AB84" s="251">
        <v>0.10508664743756445</v>
      </c>
    </row>
  </sheetData>
  <mergeCells count="7">
    <mergeCell ref="H2:J2"/>
    <mergeCell ref="Q2:S2"/>
    <mergeCell ref="Z2:AB2"/>
    <mergeCell ref="B2:B3"/>
    <mergeCell ref="B1:J1"/>
    <mergeCell ref="K1:S1"/>
    <mergeCell ref="T1:AB1"/>
  </mergeCells>
  <phoneticPr fontId="52" type="noConversion"/>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35" topLeftCell="A9" activePane="bottomLeft"/>
      <selection activeCell="C1" sqref="A1:XFD1048576"/>
      <selection pane="bottomLeft" activeCell="AB17" sqref="AB1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164</v>
      </c>
      <c r="B2" s="3960" t="s">
        <v>7</v>
      </c>
      <c r="C2" s="2131" t="s">
        <v>0</v>
      </c>
      <c r="D2" s="2131" t="s">
        <v>1</v>
      </c>
      <c r="E2" s="2131" t="s">
        <v>2</v>
      </c>
      <c r="F2" s="2131" t="s">
        <v>1706</v>
      </c>
      <c r="G2" s="2131" t="s">
        <v>1963</v>
      </c>
      <c r="H2" s="3956" t="s">
        <v>162</v>
      </c>
      <c r="I2" s="3956"/>
      <c r="J2" s="3957"/>
      <c r="K2" s="2141"/>
      <c r="L2" s="2142" t="s">
        <v>0</v>
      </c>
      <c r="M2" s="2142" t="s">
        <v>1</v>
      </c>
      <c r="N2" s="2142" t="s">
        <v>2</v>
      </c>
      <c r="O2" s="2142" t="s">
        <v>1706</v>
      </c>
      <c r="P2" s="2142" t="str">
        <f>+G2</f>
        <v>Anwartschafts-barwert
Altersrente</v>
      </c>
      <c r="Q2" s="3958" t="s">
        <v>163</v>
      </c>
      <c r="R2" s="3958"/>
      <c r="S2" s="3959"/>
      <c r="T2" s="2146"/>
      <c r="U2" s="2147" t="s">
        <v>0</v>
      </c>
      <c r="V2" s="2147" t="s">
        <v>1</v>
      </c>
      <c r="W2" s="2147" t="s">
        <v>2</v>
      </c>
      <c r="X2" s="2147" t="s">
        <v>1706</v>
      </c>
      <c r="Y2" s="2147" t="str">
        <f>+P2</f>
        <v>Anwartschafts-barwert
Altersrente</v>
      </c>
      <c r="Z2" s="3962" t="s">
        <v>167</v>
      </c>
      <c r="AA2" s="3962"/>
      <c r="AB2" s="3963"/>
    </row>
    <row r="3" spans="1:28" s="2" customFormat="1" ht="13.5">
      <c r="A3" s="60">
        <v>43463</v>
      </c>
      <c r="B3" s="3961"/>
      <c r="C3" s="2125" t="s">
        <v>165</v>
      </c>
      <c r="D3" s="2125" t="s">
        <v>18</v>
      </c>
      <c r="E3" s="2125" t="s">
        <v>24</v>
      </c>
      <c r="F3" s="2125"/>
      <c r="G3" s="2125"/>
      <c r="H3" s="1133" t="s">
        <v>8</v>
      </c>
      <c r="I3" s="1133" t="s">
        <v>9</v>
      </c>
      <c r="J3" s="2133" t="s">
        <v>10</v>
      </c>
      <c r="K3" s="2143" t="s">
        <v>7</v>
      </c>
      <c r="L3" s="1134" t="s">
        <v>166</v>
      </c>
      <c r="M3" s="1134" t="s">
        <v>20</v>
      </c>
      <c r="N3" s="1134" t="s">
        <v>26</v>
      </c>
      <c r="O3" s="1134" t="s">
        <v>27</v>
      </c>
      <c r="P3" s="1134"/>
      <c r="Q3" s="1134" t="s">
        <v>8</v>
      </c>
      <c r="R3" s="1134" t="s">
        <v>9</v>
      </c>
      <c r="S3" s="2144" t="s">
        <v>10</v>
      </c>
      <c r="T3" s="2148" t="s">
        <v>7</v>
      </c>
      <c r="U3" s="2123" t="s">
        <v>146</v>
      </c>
      <c r="V3" s="2123" t="s">
        <v>147</v>
      </c>
      <c r="W3" s="2123" t="s">
        <v>148</v>
      </c>
      <c r="X3" s="2123" t="s">
        <v>149</v>
      </c>
      <c r="Y3" s="2123"/>
      <c r="Z3" s="2123" t="s">
        <v>8</v>
      </c>
      <c r="AA3" s="2123" t="s">
        <v>9</v>
      </c>
      <c r="AB3" s="2149" t="s">
        <v>10</v>
      </c>
    </row>
    <row r="4" spans="1:28">
      <c r="B4" s="2134">
        <v>20</v>
      </c>
      <c r="C4" s="2126">
        <v>0.29599999999999999</v>
      </c>
      <c r="D4" s="2126">
        <v>4.476</v>
      </c>
      <c r="E4" s="2126">
        <v>0.53500000000000003</v>
      </c>
      <c r="F4" s="2126">
        <v>0.53500000000000003</v>
      </c>
      <c r="G4" s="2126">
        <v>4.18</v>
      </c>
      <c r="H4" s="2127">
        <v>7.0813397129186606E-2</v>
      </c>
      <c r="I4" s="2127">
        <v>0.1279904306220096</v>
      </c>
      <c r="J4" s="2135">
        <v>0.1988038277511962</v>
      </c>
      <c r="K4" s="2134">
        <v>20</v>
      </c>
      <c r="L4" s="2126">
        <v>0.308</v>
      </c>
      <c r="M4" s="2126">
        <v>5.2350000000000003</v>
      </c>
      <c r="N4" s="2128">
        <v>0.14000000000000001</v>
      </c>
      <c r="O4" s="2126">
        <v>0.14000000000000001</v>
      </c>
      <c r="P4" s="2126">
        <v>4.9270000000000005</v>
      </c>
      <c r="Q4" s="2127">
        <v>6.2512685203978069E-2</v>
      </c>
      <c r="R4" s="2127">
        <v>2.8414856910899126E-2</v>
      </c>
      <c r="S4" s="2135">
        <v>9.0927542114877191E-2</v>
      </c>
      <c r="T4" s="2134">
        <v>20</v>
      </c>
      <c r="U4" s="1742">
        <v>0.30199999999999999</v>
      </c>
      <c r="V4" s="1742">
        <v>4.8555000000000001</v>
      </c>
      <c r="W4" s="1742">
        <v>0.33750000000000002</v>
      </c>
      <c r="X4" s="1742">
        <v>0.33750000000000002</v>
      </c>
      <c r="Y4" s="1742">
        <v>4.5534999999999997</v>
      </c>
      <c r="Z4" s="2129">
        <v>6.6663041166582337E-2</v>
      </c>
      <c r="AA4" s="2129">
        <v>7.8202643766454361E-2</v>
      </c>
      <c r="AB4" s="2150">
        <v>0.1448656849330367</v>
      </c>
    </row>
    <row r="5" spans="1:28">
      <c r="B5" s="89">
        <v>21</v>
      </c>
      <c r="C5" s="1">
        <v>0.34200000000000003</v>
      </c>
      <c r="D5" s="1">
        <v>4.6120000000000001</v>
      </c>
      <c r="E5" s="1">
        <v>0.623</v>
      </c>
      <c r="F5" s="1">
        <v>0.623</v>
      </c>
      <c r="G5" s="1">
        <v>4.2700000000000005</v>
      </c>
      <c r="H5" s="747">
        <v>8.0093676814988288E-2</v>
      </c>
      <c r="I5" s="747">
        <v>0.14590163934426228</v>
      </c>
      <c r="J5" s="2136">
        <v>0.22599531615925056</v>
      </c>
      <c r="K5" s="89">
        <v>21</v>
      </c>
      <c r="L5" s="1">
        <v>0.37</v>
      </c>
      <c r="M5" s="1">
        <v>5.391</v>
      </c>
      <c r="N5" s="1462">
        <v>0.16900000000000001</v>
      </c>
      <c r="O5" s="1">
        <v>0.16900000000000001</v>
      </c>
      <c r="P5" s="1">
        <v>5.0209999999999999</v>
      </c>
      <c r="Q5" s="747">
        <v>7.3690499900418246E-2</v>
      </c>
      <c r="R5" s="747">
        <v>3.3658633738299144E-2</v>
      </c>
      <c r="S5" s="2136">
        <v>0.1073491336387174</v>
      </c>
      <c r="T5" s="89">
        <v>21</v>
      </c>
      <c r="U5" s="746">
        <v>0.35599999999999998</v>
      </c>
      <c r="V5" s="746">
        <v>5.0015000000000001</v>
      </c>
      <c r="W5" s="746">
        <v>0.39600000000000002</v>
      </c>
      <c r="X5" s="746">
        <v>0.39600000000000002</v>
      </c>
      <c r="Y5" s="746">
        <v>4.6455000000000002</v>
      </c>
      <c r="Z5" s="2124">
        <v>7.6892088357703267E-2</v>
      </c>
      <c r="AA5" s="2124">
        <v>8.9780136541280711E-2</v>
      </c>
      <c r="AB5" s="2151">
        <v>0.16667222489898398</v>
      </c>
    </row>
    <row r="6" spans="1:28">
      <c r="B6" s="2134">
        <v>22</v>
      </c>
      <c r="C6" s="2126">
        <v>0.38900000000000001</v>
      </c>
      <c r="D6" s="2126">
        <v>4.7510000000000003</v>
      </c>
      <c r="E6" s="2126">
        <v>0.71499999999999997</v>
      </c>
      <c r="F6" s="2126">
        <v>0.71499999999999997</v>
      </c>
      <c r="G6" s="2126">
        <v>4.3620000000000001</v>
      </c>
      <c r="H6" s="2127">
        <v>8.9179275561668964E-2</v>
      </c>
      <c r="I6" s="2127">
        <v>0.16391563502980283</v>
      </c>
      <c r="J6" s="2135">
        <v>0.25309491059147182</v>
      </c>
      <c r="K6" s="2134">
        <v>22</v>
      </c>
      <c r="L6" s="2126">
        <v>0.42799999999999999</v>
      </c>
      <c r="M6" s="2126">
        <v>5.5519999999999996</v>
      </c>
      <c r="N6" s="2128">
        <v>0.19600000000000001</v>
      </c>
      <c r="O6" s="2126">
        <v>0.19600000000000001</v>
      </c>
      <c r="P6" s="2126">
        <v>5.1239999999999997</v>
      </c>
      <c r="Q6" s="2127">
        <v>8.3528493364558948E-2</v>
      </c>
      <c r="R6" s="2127">
        <v>3.825136612021858E-2</v>
      </c>
      <c r="S6" s="2135">
        <v>0.12177985948477753</v>
      </c>
      <c r="T6" s="2134">
        <v>22</v>
      </c>
      <c r="U6" s="1742">
        <v>0.40849999999999997</v>
      </c>
      <c r="V6" s="1742">
        <v>5.1515000000000004</v>
      </c>
      <c r="W6" s="1742">
        <v>0.45550000000000002</v>
      </c>
      <c r="X6" s="1742">
        <v>0.45550000000000002</v>
      </c>
      <c r="Y6" s="1742">
        <v>4.7430000000000003</v>
      </c>
      <c r="Z6" s="2129">
        <v>8.6353884463113956E-2</v>
      </c>
      <c r="AA6" s="2129">
        <v>0.1010835005750107</v>
      </c>
      <c r="AB6" s="2150">
        <v>0.18743738503812468</v>
      </c>
    </row>
    <row r="7" spans="1:28">
      <c r="B7" s="89">
        <v>23</v>
      </c>
      <c r="C7" s="1">
        <v>0.437</v>
      </c>
      <c r="D7" s="1">
        <v>4.8929999999999998</v>
      </c>
      <c r="E7" s="1">
        <v>0.81200000000000006</v>
      </c>
      <c r="F7" s="1">
        <v>0.81200000000000006</v>
      </c>
      <c r="G7" s="1">
        <v>4.4559999999999995</v>
      </c>
      <c r="H7" s="747">
        <v>9.8070017953321376E-2</v>
      </c>
      <c r="I7" s="747">
        <v>0.18222621184919213</v>
      </c>
      <c r="J7" s="2136">
        <v>0.28029622980251351</v>
      </c>
      <c r="K7" s="89">
        <v>23</v>
      </c>
      <c r="L7" s="1">
        <v>0.47599999999999998</v>
      </c>
      <c r="M7" s="1">
        <v>5.7160000000000002</v>
      </c>
      <c r="N7" s="1462">
        <v>0.219</v>
      </c>
      <c r="O7" s="1">
        <v>0.219</v>
      </c>
      <c r="P7" s="1">
        <v>5.24</v>
      </c>
      <c r="Q7" s="747">
        <v>9.0839694656488543E-2</v>
      </c>
      <c r="R7" s="747">
        <v>4.1793893129770991E-2</v>
      </c>
      <c r="S7" s="2136">
        <v>0.13263358778625953</v>
      </c>
      <c r="T7" s="89">
        <v>23</v>
      </c>
      <c r="U7" s="746">
        <v>0.45650000000000002</v>
      </c>
      <c r="V7" s="746">
        <v>5.3045</v>
      </c>
      <c r="W7" s="746">
        <v>0.51550000000000007</v>
      </c>
      <c r="X7" s="746">
        <v>0.51550000000000007</v>
      </c>
      <c r="Y7" s="746">
        <v>4.8479999999999999</v>
      </c>
      <c r="Z7" s="2124">
        <v>9.4454856304904966E-2</v>
      </c>
      <c r="AA7" s="2124">
        <v>0.11201005248948157</v>
      </c>
      <c r="AB7" s="2151">
        <v>0.2064649087943865</v>
      </c>
    </row>
    <row r="8" spans="1:28">
      <c r="B8" s="2134">
        <v>24</v>
      </c>
      <c r="C8" s="2126">
        <v>0.48</v>
      </c>
      <c r="D8" s="2126">
        <v>5.0380000000000003</v>
      </c>
      <c r="E8" s="2126">
        <v>0.90100000000000002</v>
      </c>
      <c r="F8" s="2126">
        <v>0.90100000000000002</v>
      </c>
      <c r="G8" s="2126">
        <v>4.5579999999999998</v>
      </c>
      <c r="H8" s="2127">
        <v>0.10530934620447564</v>
      </c>
      <c r="I8" s="2127">
        <v>0.19767441860465118</v>
      </c>
      <c r="J8" s="2135">
        <v>0.30298376480912681</v>
      </c>
      <c r="K8" s="2134">
        <v>24</v>
      </c>
      <c r="L8" s="2126">
        <v>0.52</v>
      </c>
      <c r="M8" s="2126">
        <v>5.8840000000000003</v>
      </c>
      <c r="N8" s="2128">
        <v>0.24099999999999999</v>
      </c>
      <c r="O8" s="2126">
        <v>0.24099999999999999</v>
      </c>
      <c r="P8" s="2126">
        <v>5.3640000000000008</v>
      </c>
      <c r="Q8" s="2127">
        <v>9.6942580164056658E-2</v>
      </c>
      <c r="R8" s="2127">
        <v>4.4929157345264717E-2</v>
      </c>
      <c r="S8" s="2135">
        <v>0.14187173750932136</v>
      </c>
      <c r="T8" s="2134">
        <v>24</v>
      </c>
      <c r="U8" s="1742">
        <v>0.5</v>
      </c>
      <c r="V8" s="1742">
        <v>5.4610000000000003</v>
      </c>
      <c r="W8" s="1742">
        <v>0.57099999999999995</v>
      </c>
      <c r="X8" s="1742">
        <v>0.57099999999999995</v>
      </c>
      <c r="Y8" s="1742">
        <v>4.9610000000000003</v>
      </c>
      <c r="Z8" s="2129">
        <v>0.10112596318426614</v>
      </c>
      <c r="AA8" s="2129">
        <v>0.12130178797495794</v>
      </c>
      <c r="AB8" s="2150">
        <v>0.22242775115922409</v>
      </c>
    </row>
    <row r="9" spans="1:28">
      <c r="B9" s="89">
        <v>25</v>
      </c>
      <c r="C9" s="1">
        <v>0.51900000000000002</v>
      </c>
      <c r="D9" s="1">
        <v>5.1870000000000003</v>
      </c>
      <c r="E9" s="1">
        <v>0.98399999999999999</v>
      </c>
      <c r="F9" s="1">
        <v>0.98399999999999999</v>
      </c>
      <c r="G9" s="1">
        <v>4.6680000000000001</v>
      </c>
      <c r="H9" s="747">
        <v>0.11118251928020566</v>
      </c>
      <c r="I9" s="747">
        <v>0.21079691516709512</v>
      </c>
      <c r="J9" s="2136">
        <v>0.32197943444730076</v>
      </c>
      <c r="K9" s="89">
        <v>25</v>
      </c>
      <c r="L9" s="1">
        <v>0.56299999999999994</v>
      </c>
      <c r="M9" s="1">
        <v>6.056</v>
      </c>
      <c r="N9" s="1462">
        <v>0.26200000000000001</v>
      </c>
      <c r="O9" s="1">
        <v>0.26200000000000001</v>
      </c>
      <c r="P9" s="1">
        <v>5.4930000000000003</v>
      </c>
      <c r="Q9" s="747">
        <v>0.10249408337884579</v>
      </c>
      <c r="R9" s="747">
        <v>4.7697068996905151E-2</v>
      </c>
      <c r="S9" s="2136">
        <v>0.15019115237575092</v>
      </c>
      <c r="T9" s="89">
        <v>25</v>
      </c>
      <c r="U9" s="746">
        <v>0.54099999999999993</v>
      </c>
      <c r="V9" s="746">
        <v>5.6215000000000002</v>
      </c>
      <c r="W9" s="746">
        <v>0.623</v>
      </c>
      <c r="X9" s="746">
        <v>0.623</v>
      </c>
      <c r="Y9" s="746">
        <v>5.0805000000000007</v>
      </c>
      <c r="Z9" s="2124">
        <v>0.10683830132952572</v>
      </c>
      <c r="AA9" s="2124">
        <v>0.12924699208200013</v>
      </c>
      <c r="AB9" s="2151">
        <v>0.23608529341152584</v>
      </c>
    </row>
    <row r="10" spans="1:28">
      <c r="B10" s="2134">
        <v>26</v>
      </c>
      <c r="C10" s="2126">
        <v>0.55400000000000005</v>
      </c>
      <c r="D10" s="2126">
        <v>5.3390000000000004</v>
      </c>
      <c r="E10" s="2126">
        <v>1.0629999999999999</v>
      </c>
      <c r="F10" s="2126">
        <v>1.0629999999999999</v>
      </c>
      <c r="G10" s="2126">
        <v>4.7850000000000001</v>
      </c>
      <c r="H10" s="2127">
        <v>0.11577847439916406</v>
      </c>
      <c r="I10" s="2127">
        <v>0.22215256008359455</v>
      </c>
      <c r="J10" s="2135">
        <v>0.33793103448275863</v>
      </c>
      <c r="K10" s="2134">
        <v>26</v>
      </c>
      <c r="L10" s="2126">
        <v>0.60499999999999998</v>
      </c>
      <c r="M10" s="2126">
        <v>6.2309999999999999</v>
      </c>
      <c r="N10" s="2128">
        <v>0.28299999999999997</v>
      </c>
      <c r="O10" s="2126">
        <v>0.28299999999999997</v>
      </c>
      <c r="P10" s="2126">
        <v>5.6259999999999994</v>
      </c>
      <c r="Q10" s="2127">
        <v>0.10753643796658373</v>
      </c>
      <c r="R10" s="2127">
        <v>5.0302168503377175E-2</v>
      </c>
      <c r="S10" s="2135">
        <v>0.1578386064699609</v>
      </c>
      <c r="T10" s="2134">
        <v>26</v>
      </c>
      <c r="U10" s="1742">
        <v>0.57950000000000002</v>
      </c>
      <c r="V10" s="1742">
        <v>5.7850000000000001</v>
      </c>
      <c r="W10" s="1742">
        <v>0.67299999999999993</v>
      </c>
      <c r="X10" s="1742">
        <v>0.67299999999999993</v>
      </c>
      <c r="Y10" s="1742">
        <v>5.2054999999999998</v>
      </c>
      <c r="Z10" s="2129">
        <v>0.1116574561828739</v>
      </c>
      <c r="AA10" s="2129">
        <v>0.13622736429348586</v>
      </c>
      <c r="AB10" s="2150">
        <v>0.24788482047635976</v>
      </c>
    </row>
    <row r="11" spans="1:28">
      <c r="B11" s="89">
        <v>27</v>
      </c>
      <c r="C11" s="1">
        <v>0.58499999999999996</v>
      </c>
      <c r="D11" s="1">
        <v>5.4939999999999998</v>
      </c>
      <c r="E11" s="1">
        <v>1.139</v>
      </c>
      <c r="F11" s="1">
        <v>1.139</v>
      </c>
      <c r="G11" s="1">
        <v>4.9089999999999998</v>
      </c>
      <c r="H11" s="747">
        <v>0.11916887349765737</v>
      </c>
      <c r="I11" s="747">
        <v>0.23202281523731921</v>
      </c>
      <c r="J11" s="2136">
        <v>0.35119168873497658</v>
      </c>
      <c r="K11" s="89">
        <v>27</v>
      </c>
      <c r="L11" s="1">
        <v>0.64700000000000002</v>
      </c>
      <c r="M11" s="1">
        <v>6.4089999999999998</v>
      </c>
      <c r="N11" s="1462">
        <v>0.30499999999999999</v>
      </c>
      <c r="O11" s="1">
        <v>0.30499999999999999</v>
      </c>
      <c r="P11" s="1">
        <v>5.7619999999999996</v>
      </c>
      <c r="Q11" s="747">
        <v>0.11228740020826103</v>
      </c>
      <c r="R11" s="747">
        <v>5.2933009371745922E-2</v>
      </c>
      <c r="S11" s="2136">
        <v>0.16522040958000694</v>
      </c>
      <c r="T11" s="89">
        <v>27</v>
      </c>
      <c r="U11" s="746">
        <v>0.61599999999999999</v>
      </c>
      <c r="V11" s="746">
        <v>5.9514999999999993</v>
      </c>
      <c r="W11" s="746">
        <v>0.72199999999999998</v>
      </c>
      <c r="X11" s="746">
        <v>0.72199999999999998</v>
      </c>
      <c r="Y11" s="746">
        <v>5.3354999999999997</v>
      </c>
      <c r="Z11" s="2124">
        <v>0.1157281368529592</v>
      </c>
      <c r="AA11" s="2124">
        <v>0.14247791230453258</v>
      </c>
      <c r="AB11" s="2151">
        <v>0.25820604915749179</v>
      </c>
    </row>
    <row r="12" spans="1:28">
      <c r="B12" s="2134">
        <v>28</v>
      </c>
      <c r="C12" s="2126">
        <v>0.61499999999999999</v>
      </c>
      <c r="D12" s="2126">
        <v>5.6529999999999996</v>
      </c>
      <c r="E12" s="2126">
        <v>1.214</v>
      </c>
      <c r="F12" s="2126">
        <v>1.214</v>
      </c>
      <c r="G12" s="2126">
        <v>5.0379999999999994</v>
      </c>
      <c r="H12" s="2127">
        <v>0.12207225089321161</v>
      </c>
      <c r="I12" s="2127">
        <v>0.24096863834855103</v>
      </c>
      <c r="J12" s="2135">
        <v>0.36304088924176264</v>
      </c>
      <c r="K12" s="2134">
        <v>28</v>
      </c>
      <c r="L12" s="2126">
        <v>0.68600000000000005</v>
      </c>
      <c r="M12" s="2126">
        <v>6.5910000000000002</v>
      </c>
      <c r="N12" s="2128">
        <v>0.32600000000000001</v>
      </c>
      <c r="O12" s="2126">
        <v>0.32600000000000001</v>
      </c>
      <c r="P12" s="2126">
        <v>5.9050000000000002</v>
      </c>
      <c r="Q12" s="2127">
        <v>0.11617273497036411</v>
      </c>
      <c r="R12" s="2127">
        <v>5.520745131244708E-2</v>
      </c>
      <c r="S12" s="2135">
        <v>0.17138018628281118</v>
      </c>
      <c r="T12" s="2134">
        <v>28</v>
      </c>
      <c r="U12" s="1742">
        <v>0.65050000000000008</v>
      </c>
      <c r="V12" s="1742">
        <v>6.1219999999999999</v>
      </c>
      <c r="W12" s="1742">
        <v>0.77</v>
      </c>
      <c r="X12" s="1742">
        <v>0.77</v>
      </c>
      <c r="Y12" s="1742">
        <v>5.4714999999999998</v>
      </c>
      <c r="Z12" s="2129">
        <v>0.11912249293178787</v>
      </c>
      <c r="AA12" s="2129">
        <v>0.14808804483049906</v>
      </c>
      <c r="AB12" s="2150">
        <v>0.26721053776228693</v>
      </c>
    </row>
    <row r="13" spans="1:28">
      <c r="B13" s="89">
        <v>29</v>
      </c>
      <c r="C13" s="1">
        <v>0.64200000000000002</v>
      </c>
      <c r="D13" s="1">
        <v>5.8150000000000004</v>
      </c>
      <c r="E13" s="1">
        <v>1.2869999999999999</v>
      </c>
      <c r="F13" s="1">
        <v>1.2869999999999999</v>
      </c>
      <c r="G13" s="1">
        <v>5.173</v>
      </c>
      <c r="H13" s="747">
        <v>0.12410593466073845</v>
      </c>
      <c r="I13" s="747">
        <v>0.24879180359559247</v>
      </c>
      <c r="J13" s="2136">
        <v>0.37289773825633094</v>
      </c>
      <c r="K13" s="89">
        <v>29</v>
      </c>
      <c r="L13" s="1">
        <v>0.72399999999999998</v>
      </c>
      <c r="M13" s="1">
        <v>6.7770000000000001</v>
      </c>
      <c r="N13" s="1462">
        <v>0.34599999999999997</v>
      </c>
      <c r="O13" s="1">
        <v>0.34599999999999997</v>
      </c>
      <c r="P13" s="1">
        <v>6.0529999999999999</v>
      </c>
      <c r="Q13" s="747">
        <v>0.11961011068891458</v>
      </c>
      <c r="R13" s="747">
        <v>5.7161737981166361E-2</v>
      </c>
      <c r="S13" s="2136">
        <v>0.17677184867008094</v>
      </c>
      <c r="T13" s="89">
        <v>29</v>
      </c>
      <c r="U13" s="746">
        <v>0.68300000000000005</v>
      </c>
      <c r="V13" s="746">
        <v>6.2960000000000003</v>
      </c>
      <c r="W13" s="746">
        <v>0.8165</v>
      </c>
      <c r="X13" s="746">
        <v>0.8165</v>
      </c>
      <c r="Y13" s="746">
        <v>5.6129999999999995</v>
      </c>
      <c r="Z13" s="2124">
        <v>0.12185802267482651</v>
      </c>
      <c r="AA13" s="2124">
        <v>0.1529767707883794</v>
      </c>
      <c r="AB13" s="2151">
        <v>0.27483479346320594</v>
      </c>
    </row>
    <row r="14" spans="1:28">
      <c r="B14" s="2134">
        <v>30</v>
      </c>
      <c r="C14" s="2126">
        <v>0.66800000000000004</v>
      </c>
      <c r="D14" s="2126">
        <v>5.9820000000000002</v>
      </c>
      <c r="E14" s="2126">
        <v>1.359</v>
      </c>
      <c r="F14" s="2126">
        <v>1.359</v>
      </c>
      <c r="G14" s="2126">
        <v>5.3140000000000001</v>
      </c>
      <c r="H14" s="2127">
        <v>0.125705683101242</v>
      </c>
      <c r="I14" s="2127">
        <v>0.25573955589010161</v>
      </c>
      <c r="J14" s="2135">
        <v>0.38144523899134364</v>
      </c>
      <c r="K14" s="2134">
        <v>30</v>
      </c>
      <c r="L14" s="2126">
        <v>0.76</v>
      </c>
      <c r="M14" s="2126">
        <v>6.9660000000000002</v>
      </c>
      <c r="N14" s="2128">
        <v>0.36599999999999999</v>
      </c>
      <c r="O14" s="2126">
        <v>0.36599999999999999</v>
      </c>
      <c r="P14" s="2126">
        <v>6.2060000000000004</v>
      </c>
      <c r="Q14" s="2127">
        <v>0.12246213341927166</v>
      </c>
      <c r="R14" s="2127">
        <v>5.8975185304543987E-2</v>
      </c>
      <c r="S14" s="2135">
        <v>0.18143731872381563</v>
      </c>
      <c r="T14" s="2134">
        <v>30</v>
      </c>
      <c r="U14" s="1742">
        <v>0.71399999999999997</v>
      </c>
      <c r="V14" s="1742">
        <v>6.4740000000000002</v>
      </c>
      <c r="W14" s="1742">
        <v>0.86250000000000004</v>
      </c>
      <c r="X14" s="1742">
        <v>0.86250000000000004</v>
      </c>
      <c r="Y14" s="1742">
        <v>5.76</v>
      </c>
      <c r="Z14" s="2129">
        <v>0.12408390826025684</v>
      </c>
      <c r="AA14" s="2129">
        <v>0.1573573705973228</v>
      </c>
      <c r="AB14" s="2150">
        <v>0.28144127885757964</v>
      </c>
    </row>
    <row r="15" spans="1:28">
      <c r="B15" s="89">
        <v>31</v>
      </c>
      <c r="C15" s="1">
        <v>0.69199999999999995</v>
      </c>
      <c r="D15" s="1">
        <v>6.1520000000000001</v>
      </c>
      <c r="E15" s="1">
        <v>1.431</v>
      </c>
      <c r="F15" s="1">
        <v>1.431</v>
      </c>
      <c r="G15" s="1">
        <v>5.46</v>
      </c>
      <c r="H15" s="747">
        <v>0.12673992673992673</v>
      </c>
      <c r="I15" s="747">
        <v>0.2620879120879121</v>
      </c>
      <c r="J15" s="2136">
        <v>0.38882783882783883</v>
      </c>
      <c r="K15" s="89">
        <v>31</v>
      </c>
      <c r="L15" s="1">
        <v>0.79300000000000004</v>
      </c>
      <c r="M15" s="1">
        <v>7.1589999999999998</v>
      </c>
      <c r="N15" s="1462">
        <v>0.38600000000000001</v>
      </c>
      <c r="O15" s="1">
        <v>0.38600000000000001</v>
      </c>
      <c r="P15" s="1">
        <v>6.3659999999999997</v>
      </c>
      <c r="Q15" s="747">
        <v>0.12456801759346529</v>
      </c>
      <c r="R15" s="747">
        <v>6.0634621426327369E-2</v>
      </c>
      <c r="S15" s="2136">
        <v>0.18520263901979267</v>
      </c>
      <c r="T15" s="89">
        <v>31</v>
      </c>
      <c r="U15" s="746">
        <v>0.74249999999999994</v>
      </c>
      <c r="V15" s="746">
        <v>6.6555</v>
      </c>
      <c r="W15" s="746">
        <v>0.90850000000000009</v>
      </c>
      <c r="X15" s="746">
        <v>0.90850000000000009</v>
      </c>
      <c r="Y15" s="746">
        <v>5.9130000000000003</v>
      </c>
      <c r="Z15" s="2124">
        <v>0.12565397216669602</v>
      </c>
      <c r="AA15" s="2124">
        <v>0.16136126675711973</v>
      </c>
      <c r="AB15" s="2151">
        <v>0.28701523892381575</v>
      </c>
    </row>
    <row r="16" spans="1:28">
      <c r="B16" s="2134">
        <v>32</v>
      </c>
      <c r="C16" s="2126">
        <v>0.71499999999999997</v>
      </c>
      <c r="D16" s="2126">
        <v>6.327</v>
      </c>
      <c r="E16" s="2126">
        <v>1.502</v>
      </c>
      <c r="F16" s="2126">
        <v>1.502</v>
      </c>
      <c r="G16" s="2126">
        <v>5.6120000000000001</v>
      </c>
      <c r="H16" s="2127">
        <v>0.12740555951532428</v>
      </c>
      <c r="I16" s="2127">
        <v>0.26764076977904488</v>
      </c>
      <c r="J16" s="2135">
        <v>0.39504632929436917</v>
      </c>
      <c r="K16" s="2134">
        <v>32</v>
      </c>
      <c r="L16" s="2126">
        <v>0.82399999999999995</v>
      </c>
      <c r="M16" s="2126">
        <v>7.3550000000000004</v>
      </c>
      <c r="N16" s="2128">
        <v>0.40500000000000003</v>
      </c>
      <c r="O16" s="2126">
        <v>0.40500000000000003</v>
      </c>
      <c r="P16" s="2126">
        <v>6.5310000000000006</v>
      </c>
      <c r="Q16" s="2127">
        <v>0.12616750880416475</v>
      </c>
      <c r="R16" s="2127">
        <v>6.2011943040881944E-2</v>
      </c>
      <c r="S16" s="2135">
        <v>0.1881794518450467</v>
      </c>
      <c r="T16" s="2134">
        <v>32</v>
      </c>
      <c r="U16" s="1742">
        <v>0.76949999999999996</v>
      </c>
      <c r="V16" s="1742">
        <v>6.8410000000000002</v>
      </c>
      <c r="W16" s="1742">
        <v>0.95350000000000001</v>
      </c>
      <c r="X16" s="1742">
        <v>0.95350000000000001</v>
      </c>
      <c r="Y16" s="1742">
        <v>6.0715000000000003</v>
      </c>
      <c r="Z16" s="2129">
        <v>0.1267865341597445</v>
      </c>
      <c r="AA16" s="2129">
        <v>0.1648263564099634</v>
      </c>
      <c r="AB16" s="2150">
        <v>0.29161289056970796</v>
      </c>
    </row>
    <row r="17" spans="2:28">
      <c r="B17" s="89">
        <v>33</v>
      </c>
      <c r="C17" s="1">
        <v>0.73699999999999999</v>
      </c>
      <c r="D17" s="1">
        <v>6.5060000000000002</v>
      </c>
      <c r="E17" s="1">
        <v>1.5740000000000001</v>
      </c>
      <c r="F17" s="1">
        <v>1.5740000000000001</v>
      </c>
      <c r="G17" s="1">
        <v>5.7690000000000001</v>
      </c>
      <c r="H17" s="747">
        <v>0.12775177673773616</v>
      </c>
      <c r="I17" s="747">
        <v>0.27283758016987347</v>
      </c>
      <c r="J17" s="2136">
        <v>0.40058935690760966</v>
      </c>
      <c r="K17" s="89">
        <v>33</v>
      </c>
      <c r="L17" s="1">
        <v>0.85199999999999998</v>
      </c>
      <c r="M17" s="1">
        <v>7.556</v>
      </c>
      <c r="N17" s="1462">
        <v>0.42299999999999999</v>
      </c>
      <c r="O17" s="1">
        <v>0.42299999999999999</v>
      </c>
      <c r="P17" s="1">
        <v>6.7039999999999997</v>
      </c>
      <c r="Q17" s="747">
        <v>0.12708830548926014</v>
      </c>
      <c r="R17" s="747">
        <v>6.3096658711217182E-2</v>
      </c>
      <c r="S17" s="2136">
        <v>0.19018496420047731</v>
      </c>
      <c r="T17" s="89">
        <v>33</v>
      </c>
      <c r="U17" s="746">
        <v>0.79449999999999998</v>
      </c>
      <c r="V17" s="746">
        <v>7.0310000000000006</v>
      </c>
      <c r="W17" s="746">
        <v>0.99850000000000005</v>
      </c>
      <c r="X17" s="746">
        <v>0.99850000000000005</v>
      </c>
      <c r="Y17" s="746">
        <v>6.2364999999999995</v>
      </c>
      <c r="Z17" s="2124">
        <v>0.12742004111349814</v>
      </c>
      <c r="AA17" s="2124">
        <v>0.16796711944054532</v>
      </c>
      <c r="AB17" s="2151">
        <v>0.29538716055404346</v>
      </c>
    </row>
    <row r="18" spans="2:28">
      <c r="B18" s="2134">
        <v>34</v>
      </c>
      <c r="C18" s="2126">
        <v>0.75700000000000001</v>
      </c>
      <c r="D18" s="2126">
        <v>6.6890000000000001</v>
      </c>
      <c r="E18" s="2126">
        <v>1.6459999999999999</v>
      </c>
      <c r="F18" s="2126">
        <v>1.6459999999999999</v>
      </c>
      <c r="G18" s="2126">
        <v>5.9320000000000004</v>
      </c>
      <c r="H18" s="2127">
        <v>0.12761294672960216</v>
      </c>
      <c r="I18" s="2127">
        <v>0.27747808496291299</v>
      </c>
      <c r="J18" s="2135">
        <v>0.40509103169251515</v>
      </c>
      <c r="K18" s="2134">
        <v>34</v>
      </c>
      <c r="L18" s="2126">
        <v>0.877</v>
      </c>
      <c r="M18" s="2126">
        <v>7.76</v>
      </c>
      <c r="N18" s="2128">
        <v>0.441</v>
      </c>
      <c r="O18" s="2126">
        <v>0.441</v>
      </c>
      <c r="P18" s="2126">
        <v>6.883</v>
      </c>
      <c r="Q18" s="2127">
        <v>0.12741537120441668</v>
      </c>
      <c r="R18" s="2127">
        <v>6.4070899317158217E-2</v>
      </c>
      <c r="S18" s="2135">
        <v>0.19148627052157491</v>
      </c>
      <c r="T18" s="2134">
        <v>34</v>
      </c>
      <c r="U18" s="1742">
        <v>0.81699999999999995</v>
      </c>
      <c r="V18" s="1742">
        <v>7.2244999999999999</v>
      </c>
      <c r="W18" s="1742">
        <v>1.0434999999999999</v>
      </c>
      <c r="X18" s="1742">
        <v>1.0434999999999999</v>
      </c>
      <c r="Y18" s="1742">
        <v>6.4075000000000006</v>
      </c>
      <c r="Z18" s="2129">
        <v>0.12751415896700941</v>
      </c>
      <c r="AA18" s="2129">
        <v>0.17077449214003559</v>
      </c>
      <c r="AB18" s="2150">
        <v>0.29828865110704506</v>
      </c>
    </row>
    <row r="19" spans="2:28">
      <c r="B19" s="89">
        <v>35</v>
      </c>
      <c r="C19" s="1">
        <v>0.77500000000000002</v>
      </c>
      <c r="D19" s="1">
        <v>6.8769999999999998</v>
      </c>
      <c r="E19" s="1">
        <v>1.718</v>
      </c>
      <c r="F19" s="1">
        <v>1.718</v>
      </c>
      <c r="G19" s="1">
        <v>6.1019999999999994</v>
      </c>
      <c r="H19" s="747">
        <v>0.12700753851196331</v>
      </c>
      <c r="I19" s="747">
        <v>0.28154703375942314</v>
      </c>
      <c r="J19" s="2136">
        <v>0.40855457227138647</v>
      </c>
      <c r="K19" s="89">
        <v>35</v>
      </c>
      <c r="L19" s="1">
        <v>0.89800000000000002</v>
      </c>
      <c r="M19" s="1">
        <v>7.968</v>
      </c>
      <c r="N19" s="1462">
        <v>0.45800000000000002</v>
      </c>
      <c r="O19" s="1">
        <v>0.45800000000000002</v>
      </c>
      <c r="P19" s="1">
        <v>7.07</v>
      </c>
      <c r="Q19" s="747">
        <v>0.12701555869872702</v>
      </c>
      <c r="R19" s="747">
        <v>6.4780763790664775E-2</v>
      </c>
      <c r="S19" s="2136">
        <v>0.1917963224893918</v>
      </c>
      <c r="T19" s="89">
        <v>35</v>
      </c>
      <c r="U19" s="746">
        <v>0.83650000000000002</v>
      </c>
      <c r="V19" s="746">
        <v>7.4224999999999994</v>
      </c>
      <c r="W19" s="746">
        <v>1.0880000000000001</v>
      </c>
      <c r="X19" s="746">
        <v>1.0880000000000001</v>
      </c>
      <c r="Y19" s="746">
        <v>6.5860000000000003</v>
      </c>
      <c r="Z19" s="2124">
        <v>0.12701154860534516</v>
      </c>
      <c r="AA19" s="2124">
        <v>0.17316389877504396</v>
      </c>
      <c r="AB19" s="2151">
        <v>0.30017544738038915</v>
      </c>
    </row>
    <row r="20" spans="2:28">
      <c r="B20" s="2134">
        <v>36</v>
      </c>
      <c r="C20" s="2126">
        <v>0.79</v>
      </c>
      <c r="D20" s="2126">
        <v>7.0670000000000002</v>
      </c>
      <c r="E20" s="2126">
        <v>1.79</v>
      </c>
      <c r="F20" s="2126">
        <v>1.79</v>
      </c>
      <c r="G20" s="2126">
        <v>6.2770000000000001</v>
      </c>
      <c r="H20" s="2127">
        <v>0.12585630078062768</v>
      </c>
      <c r="I20" s="2127">
        <v>0.28516807392066273</v>
      </c>
      <c r="J20" s="2135">
        <v>0.41102437470129038</v>
      </c>
      <c r="K20" s="2134">
        <v>36</v>
      </c>
      <c r="L20" s="2126">
        <v>0.91400000000000003</v>
      </c>
      <c r="M20" s="2126">
        <v>8.1780000000000008</v>
      </c>
      <c r="N20" s="2128">
        <v>0.47499999999999998</v>
      </c>
      <c r="O20" s="2126">
        <v>0.47499999999999998</v>
      </c>
      <c r="P20" s="2126">
        <v>7.2640000000000011</v>
      </c>
      <c r="Q20" s="2127">
        <v>0.12582599118942731</v>
      </c>
      <c r="R20" s="2127">
        <v>6.5390969162995582E-2</v>
      </c>
      <c r="S20" s="2135">
        <v>0.19121696035242289</v>
      </c>
      <c r="T20" s="2134">
        <v>36</v>
      </c>
      <c r="U20" s="1742">
        <v>0.85200000000000009</v>
      </c>
      <c r="V20" s="1742">
        <v>7.6225000000000005</v>
      </c>
      <c r="W20" s="1742">
        <v>1.1325000000000001</v>
      </c>
      <c r="X20" s="1742">
        <v>1.1325000000000001</v>
      </c>
      <c r="Y20" s="1742">
        <v>6.7705000000000002</v>
      </c>
      <c r="Z20" s="2129">
        <v>0.12584114598502749</v>
      </c>
      <c r="AA20" s="2129">
        <v>0.17527952154182916</v>
      </c>
      <c r="AB20" s="2150">
        <v>0.30112066752685662</v>
      </c>
    </row>
    <row r="21" spans="2:28">
      <c r="B21" s="89">
        <v>37</v>
      </c>
      <c r="C21" s="1">
        <v>0.8</v>
      </c>
      <c r="D21" s="1">
        <v>7.26</v>
      </c>
      <c r="E21" s="1">
        <v>1.8620000000000001</v>
      </c>
      <c r="F21" s="1">
        <v>1.8620000000000001</v>
      </c>
      <c r="G21" s="1">
        <v>6.46</v>
      </c>
      <c r="H21" s="747">
        <v>0.12383900928792571</v>
      </c>
      <c r="I21" s="747">
        <v>0.28823529411764709</v>
      </c>
      <c r="J21" s="2136">
        <v>0.41207430340557283</v>
      </c>
      <c r="K21" s="89">
        <v>37</v>
      </c>
      <c r="L21" s="1">
        <v>0.92500000000000004</v>
      </c>
      <c r="M21" s="1">
        <v>8.391</v>
      </c>
      <c r="N21" s="1462">
        <v>0.49</v>
      </c>
      <c r="O21" s="1">
        <v>0.49</v>
      </c>
      <c r="P21" s="1">
        <v>7.4660000000000002</v>
      </c>
      <c r="Q21" s="747">
        <v>0.12389499062416287</v>
      </c>
      <c r="R21" s="747">
        <v>6.5630859898205191E-2</v>
      </c>
      <c r="S21" s="2136">
        <v>0.18952585052236806</v>
      </c>
      <c r="T21" s="89">
        <v>37</v>
      </c>
      <c r="U21" s="746">
        <v>0.86250000000000004</v>
      </c>
      <c r="V21" s="746">
        <v>7.8254999999999999</v>
      </c>
      <c r="W21" s="746">
        <v>1.1760000000000002</v>
      </c>
      <c r="X21" s="746">
        <v>1.1760000000000002</v>
      </c>
      <c r="Y21" s="746">
        <v>6.9630000000000001</v>
      </c>
      <c r="Z21" s="2124">
        <v>0.12386699995604429</v>
      </c>
      <c r="AA21" s="2124">
        <v>0.17693307700792615</v>
      </c>
      <c r="AB21" s="2151">
        <v>0.30080007696397043</v>
      </c>
    </row>
    <row r="22" spans="2:28">
      <c r="B22" s="2134">
        <v>38</v>
      </c>
      <c r="C22" s="2126">
        <v>0.80400000000000005</v>
      </c>
      <c r="D22" s="2126">
        <v>7.4550000000000001</v>
      </c>
      <c r="E22" s="2126">
        <v>1.9339999999999999</v>
      </c>
      <c r="F22" s="2126">
        <v>1.9339999999999999</v>
      </c>
      <c r="G22" s="2126">
        <v>6.6509999999999998</v>
      </c>
      <c r="H22" s="2127">
        <v>0.12088407758231846</v>
      </c>
      <c r="I22" s="2127">
        <v>0.29078334085099983</v>
      </c>
      <c r="J22" s="2135">
        <v>0.41166741843331828</v>
      </c>
      <c r="K22" s="2134">
        <v>38</v>
      </c>
      <c r="L22" s="2126">
        <v>0.92900000000000005</v>
      </c>
      <c r="M22" s="2126">
        <v>8.6050000000000004</v>
      </c>
      <c r="N22" s="2128">
        <v>0.505</v>
      </c>
      <c r="O22" s="2126">
        <v>0.505</v>
      </c>
      <c r="P22" s="2126">
        <v>7.6760000000000002</v>
      </c>
      <c r="Q22" s="2127">
        <v>0.12102657634184472</v>
      </c>
      <c r="R22" s="2127">
        <v>6.5789473684210523E-2</v>
      </c>
      <c r="S22" s="2135">
        <v>0.18681605002605522</v>
      </c>
      <c r="T22" s="2134">
        <v>38</v>
      </c>
      <c r="U22" s="1742">
        <v>0.86650000000000005</v>
      </c>
      <c r="V22" s="1742">
        <v>8.0300000000000011</v>
      </c>
      <c r="W22" s="1742">
        <v>1.2195</v>
      </c>
      <c r="X22" s="1742">
        <v>1.2195</v>
      </c>
      <c r="Y22" s="1742">
        <v>7.1635</v>
      </c>
      <c r="Z22" s="2129">
        <v>0.12095532696208158</v>
      </c>
      <c r="AA22" s="2129">
        <v>0.17828640726760517</v>
      </c>
      <c r="AB22" s="2150">
        <v>0.29924173422968675</v>
      </c>
    </row>
    <row r="23" spans="2:28">
      <c r="B23" s="89">
        <v>39</v>
      </c>
      <c r="C23" s="1">
        <v>0.80400000000000005</v>
      </c>
      <c r="D23" s="1">
        <v>7.6529999999999996</v>
      </c>
      <c r="E23" s="1">
        <v>2.0059999999999998</v>
      </c>
      <c r="F23" s="1">
        <v>2.0059999999999998</v>
      </c>
      <c r="G23" s="1">
        <v>6.8489999999999993</v>
      </c>
      <c r="H23" s="747">
        <v>0.11738939991239598</v>
      </c>
      <c r="I23" s="747">
        <v>0.29288947291575412</v>
      </c>
      <c r="J23" s="2136">
        <v>0.41027887282815012</v>
      </c>
      <c r="K23" s="89">
        <v>39</v>
      </c>
      <c r="L23" s="1">
        <v>0.92700000000000005</v>
      </c>
      <c r="M23" s="1">
        <v>8.8230000000000004</v>
      </c>
      <c r="N23" s="1462">
        <v>0.51900000000000002</v>
      </c>
      <c r="O23" s="1">
        <v>0.51900000000000002</v>
      </c>
      <c r="P23" s="1">
        <v>7.8960000000000008</v>
      </c>
      <c r="Q23" s="747">
        <v>0.11740121580547112</v>
      </c>
      <c r="R23" s="747">
        <v>6.5729483282674764E-2</v>
      </c>
      <c r="S23" s="2136">
        <v>0.18313069908814589</v>
      </c>
      <c r="T23" s="89">
        <v>39</v>
      </c>
      <c r="U23" s="746">
        <v>0.86550000000000005</v>
      </c>
      <c r="V23" s="746">
        <v>8.2379999999999995</v>
      </c>
      <c r="W23" s="746">
        <v>1.2625</v>
      </c>
      <c r="X23" s="746">
        <v>1.2625</v>
      </c>
      <c r="Y23" s="746">
        <v>7.3725000000000005</v>
      </c>
      <c r="Z23" s="2124">
        <v>0.11739530785893355</v>
      </c>
      <c r="AA23" s="2124">
        <v>0.17930947809921444</v>
      </c>
      <c r="AB23" s="2151">
        <v>0.29670478595814798</v>
      </c>
    </row>
    <row r="24" spans="2:28">
      <c r="B24" s="2134">
        <v>40</v>
      </c>
      <c r="C24" s="2126">
        <v>0.79900000000000004</v>
      </c>
      <c r="D24" s="2126">
        <v>7.8540000000000001</v>
      </c>
      <c r="E24" s="2126">
        <v>2.0790000000000002</v>
      </c>
      <c r="F24" s="2126">
        <v>2.0790000000000002</v>
      </c>
      <c r="G24" s="2126">
        <v>7.0549999999999997</v>
      </c>
      <c r="H24" s="2127">
        <v>0.11325301204819278</v>
      </c>
      <c r="I24" s="2127">
        <v>0.29468462083628638</v>
      </c>
      <c r="J24" s="2135">
        <v>0.40793763288447915</v>
      </c>
      <c r="K24" s="2134">
        <v>40</v>
      </c>
      <c r="L24" s="2126">
        <v>0.92</v>
      </c>
      <c r="M24" s="2126">
        <v>9.0429999999999993</v>
      </c>
      <c r="N24" s="2128">
        <v>0.53300000000000003</v>
      </c>
      <c r="O24" s="2126">
        <v>0.53300000000000003</v>
      </c>
      <c r="P24" s="2126">
        <v>8.1229999999999993</v>
      </c>
      <c r="Q24" s="2127">
        <v>0.11325864828265421</v>
      </c>
      <c r="R24" s="2127">
        <v>6.5616151668102932E-2</v>
      </c>
      <c r="S24" s="2135">
        <v>0.17887479995075714</v>
      </c>
      <c r="T24" s="2134">
        <v>40</v>
      </c>
      <c r="U24" s="1742">
        <v>0.85950000000000004</v>
      </c>
      <c r="V24" s="1742">
        <v>8.4484999999999992</v>
      </c>
      <c r="W24" s="1742">
        <v>1.306</v>
      </c>
      <c r="X24" s="1742">
        <v>1.306</v>
      </c>
      <c r="Y24" s="1742">
        <v>7.5889999999999995</v>
      </c>
      <c r="Z24" s="2129">
        <v>0.1132558301654235</v>
      </c>
      <c r="AA24" s="2129">
        <v>0.18015038625219465</v>
      </c>
      <c r="AB24" s="2150">
        <v>0.29340621641761816</v>
      </c>
    </row>
    <row r="25" spans="2:28">
      <c r="B25" s="89">
        <v>41</v>
      </c>
      <c r="C25" s="1">
        <v>0.79200000000000004</v>
      </c>
      <c r="D25" s="1">
        <v>8.0609999999999999</v>
      </c>
      <c r="E25" s="1">
        <v>2.153</v>
      </c>
      <c r="F25" s="1">
        <v>2.153</v>
      </c>
      <c r="G25" s="1">
        <v>7.2690000000000001</v>
      </c>
      <c r="H25" s="747">
        <v>0.10895583986793232</v>
      </c>
      <c r="I25" s="747">
        <v>0.29618929701472002</v>
      </c>
      <c r="J25" s="2136">
        <v>0.40514513688265236</v>
      </c>
      <c r="K25" s="89">
        <v>41</v>
      </c>
      <c r="L25" s="1">
        <v>0.90900000000000003</v>
      </c>
      <c r="M25" s="1">
        <v>9.2690000000000001</v>
      </c>
      <c r="N25" s="1462">
        <v>0.54500000000000004</v>
      </c>
      <c r="O25" s="1">
        <v>0.54500000000000004</v>
      </c>
      <c r="P25" s="1">
        <v>8.36</v>
      </c>
      <c r="Q25" s="747">
        <v>0.10873205741626796</v>
      </c>
      <c r="R25" s="747">
        <v>6.519138755980862E-2</v>
      </c>
      <c r="S25" s="2136">
        <v>0.17392344497607659</v>
      </c>
      <c r="T25" s="89">
        <v>41</v>
      </c>
      <c r="U25" s="746">
        <v>0.85050000000000003</v>
      </c>
      <c r="V25" s="746">
        <v>8.6649999999999991</v>
      </c>
      <c r="W25" s="746">
        <v>1.349</v>
      </c>
      <c r="X25" s="746">
        <v>1.349</v>
      </c>
      <c r="Y25" s="746">
        <v>7.8144999999999998</v>
      </c>
      <c r="Z25" s="2124">
        <v>0.10884394864210015</v>
      </c>
      <c r="AA25" s="2124">
        <v>0.18069034228726433</v>
      </c>
      <c r="AB25" s="2151">
        <v>0.28953429092936445</v>
      </c>
    </row>
    <row r="26" spans="2:28">
      <c r="B26" s="2134">
        <v>42</v>
      </c>
      <c r="C26" s="2126">
        <v>0.78400000000000003</v>
      </c>
      <c r="D26" s="2126">
        <v>8.2739999999999991</v>
      </c>
      <c r="E26" s="2126">
        <v>2.2269999999999999</v>
      </c>
      <c r="F26" s="2126">
        <v>2.2269999999999999</v>
      </c>
      <c r="G26" s="2126">
        <v>7.4899999999999993</v>
      </c>
      <c r="H26" s="2127">
        <v>0.1046728971962617</v>
      </c>
      <c r="I26" s="2127">
        <v>0.29732977303070762</v>
      </c>
      <c r="J26" s="2135">
        <v>0.40200267022696934</v>
      </c>
      <c r="K26" s="2134">
        <v>42</v>
      </c>
      <c r="L26" s="2126">
        <v>0.89400000000000002</v>
      </c>
      <c r="M26" s="2126">
        <v>9.5</v>
      </c>
      <c r="N26" s="2128">
        <v>0.55800000000000005</v>
      </c>
      <c r="O26" s="2126">
        <v>0.55800000000000005</v>
      </c>
      <c r="P26" s="2126">
        <v>8.6059999999999999</v>
      </c>
      <c r="Q26" s="2127">
        <v>0.10388101324657216</v>
      </c>
      <c r="R26" s="2127">
        <v>6.4838484778061825E-2</v>
      </c>
      <c r="S26" s="2135">
        <v>0.16871949802463398</v>
      </c>
      <c r="T26" s="2134">
        <v>42</v>
      </c>
      <c r="U26" s="1742">
        <v>0.83899999999999997</v>
      </c>
      <c r="V26" s="1742">
        <v>8.8870000000000005</v>
      </c>
      <c r="W26" s="1742">
        <v>1.3925000000000001</v>
      </c>
      <c r="X26" s="1742">
        <v>1.3925000000000001</v>
      </c>
      <c r="Y26" s="1742">
        <v>8.048</v>
      </c>
      <c r="Z26" s="2129">
        <v>0.10427695522141693</v>
      </c>
      <c r="AA26" s="2129">
        <v>0.18108412890438472</v>
      </c>
      <c r="AB26" s="2150">
        <v>0.28536108412580163</v>
      </c>
    </row>
    <row r="27" spans="2:28">
      <c r="B27" s="89">
        <v>43</v>
      </c>
      <c r="C27" s="1">
        <v>0.77500000000000002</v>
      </c>
      <c r="D27" s="1">
        <v>8.4960000000000004</v>
      </c>
      <c r="E27" s="1">
        <v>2.3029999999999999</v>
      </c>
      <c r="F27" s="1">
        <v>2.3029999999999999</v>
      </c>
      <c r="G27" s="1">
        <v>7.7210000000000001</v>
      </c>
      <c r="H27" s="747">
        <v>0.10037559901567154</v>
      </c>
      <c r="I27" s="747">
        <v>0.29827742520398909</v>
      </c>
      <c r="J27" s="2136">
        <v>0.39865302421966065</v>
      </c>
      <c r="K27" s="89">
        <v>43</v>
      </c>
      <c r="L27" s="1">
        <v>0.877</v>
      </c>
      <c r="M27" s="1">
        <v>9.7379999999999995</v>
      </c>
      <c r="N27" s="1462">
        <v>0.56999999999999995</v>
      </c>
      <c r="O27" s="1">
        <v>0.56999999999999995</v>
      </c>
      <c r="P27" s="1">
        <v>8.8609999999999989</v>
      </c>
      <c r="Q27" s="747">
        <v>9.8973027874957695E-2</v>
      </c>
      <c r="R27" s="747">
        <v>6.4326825414738747E-2</v>
      </c>
      <c r="S27" s="2136">
        <v>0.16329985328969643</v>
      </c>
      <c r="T27" s="89">
        <v>43</v>
      </c>
      <c r="U27" s="746">
        <v>0.82600000000000007</v>
      </c>
      <c r="V27" s="746">
        <v>9.1170000000000009</v>
      </c>
      <c r="W27" s="746">
        <v>1.4364999999999999</v>
      </c>
      <c r="X27" s="746">
        <v>1.4364999999999999</v>
      </c>
      <c r="Y27" s="746">
        <v>8.2910000000000004</v>
      </c>
      <c r="Z27" s="2124">
        <v>9.9674313445314619E-2</v>
      </c>
      <c r="AA27" s="2124">
        <v>0.1813021253093639</v>
      </c>
      <c r="AB27" s="2151">
        <v>0.28097643875467854</v>
      </c>
    </row>
    <row r="28" spans="2:28">
      <c r="B28" s="2134">
        <v>44</v>
      </c>
      <c r="C28" s="2126">
        <v>0.76600000000000001</v>
      </c>
      <c r="D28" s="2126">
        <v>8.7260000000000009</v>
      </c>
      <c r="E28" s="2126">
        <v>2.38</v>
      </c>
      <c r="F28" s="2126">
        <v>2.38</v>
      </c>
      <c r="G28" s="2126">
        <v>7.9600000000000009</v>
      </c>
      <c r="H28" s="2127">
        <v>9.6231155778894462E-2</v>
      </c>
      <c r="I28" s="2127">
        <v>0.29899497487437182</v>
      </c>
      <c r="J28" s="2135">
        <v>0.39522613065326628</v>
      </c>
      <c r="K28" s="2134">
        <v>44</v>
      </c>
      <c r="L28" s="2126">
        <v>0.85799999999999998</v>
      </c>
      <c r="M28" s="2126">
        <v>9.984</v>
      </c>
      <c r="N28" s="2128">
        <v>0.58199999999999996</v>
      </c>
      <c r="O28" s="2126">
        <v>0.58199999999999996</v>
      </c>
      <c r="P28" s="2126">
        <v>9.1259999999999994</v>
      </c>
      <c r="Q28" s="2127">
        <v>9.4017094017094016E-2</v>
      </c>
      <c r="R28" s="2127">
        <v>6.3773833004602237E-2</v>
      </c>
      <c r="S28" s="2135">
        <v>0.15779092702169625</v>
      </c>
      <c r="T28" s="2134">
        <v>44</v>
      </c>
      <c r="U28" s="1742">
        <v>0.81200000000000006</v>
      </c>
      <c r="V28" s="1742">
        <v>9.3550000000000004</v>
      </c>
      <c r="W28" s="1742">
        <v>1.4809999999999999</v>
      </c>
      <c r="X28" s="1742">
        <v>1.4809999999999999</v>
      </c>
      <c r="Y28" s="1742">
        <v>8.5429999999999993</v>
      </c>
      <c r="Z28" s="2129">
        <v>9.5124124897994239E-2</v>
      </c>
      <c r="AA28" s="2129">
        <v>0.18138440393948702</v>
      </c>
      <c r="AB28" s="2150">
        <v>0.27650852883748128</v>
      </c>
    </row>
    <row r="29" spans="2:28">
      <c r="B29" s="89">
        <v>45</v>
      </c>
      <c r="C29" s="1">
        <v>0.75600000000000001</v>
      </c>
      <c r="D29" s="1">
        <v>8.9640000000000004</v>
      </c>
      <c r="E29" s="1">
        <v>2.456</v>
      </c>
      <c r="F29" s="1">
        <v>2.456</v>
      </c>
      <c r="G29" s="1">
        <v>8.2080000000000002</v>
      </c>
      <c r="H29" s="747">
        <v>9.2105263157894732E-2</v>
      </c>
      <c r="I29" s="747">
        <v>0.29922027290448344</v>
      </c>
      <c r="J29" s="2136">
        <v>0.39132553606237819</v>
      </c>
      <c r="K29" s="89">
        <v>45</v>
      </c>
      <c r="L29" s="1">
        <v>0.83799999999999997</v>
      </c>
      <c r="M29" s="1">
        <v>10.238</v>
      </c>
      <c r="N29" s="1462">
        <v>0.59399999999999997</v>
      </c>
      <c r="O29" s="1">
        <v>0.59399999999999997</v>
      </c>
      <c r="P29" s="1">
        <v>9.4</v>
      </c>
      <c r="Q29" s="747">
        <v>8.9148936170212759E-2</v>
      </c>
      <c r="R29" s="747">
        <v>6.3191489361702116E-2</v>
      </c>
      <c r="S29" s="2136">
        <v>0.15234042553191487</v>
      </c>
      <c r="T29" s="89">
        <v>45</v>
      </c>
      <c r="U29" s="746">
        <v>0.79699999999999993</v>
      </c>
      <c r="V29" s="746">
        <v>9.6009999999999991</v>
      </c>
      <c r="W29" s="746">
        <v>1.5249999999999999</v>
      </c>
      <c r="X29" s="746">
        <v>1.5249999999999999</v>
      </c>
      <c r="Y29" s="746">
        <v>8.8040000000000003</v>
      </c>
      <c r="Z29" s="2124">
        <v>9.0627099664053745E-2</v>
      </c>
      <c r="AA29" s="2124">
        <v>0.18120588113309277</v>
      </c>
      <c r="AB29" s="2151">
        <v>0.27183298079714652</v>
      </c>
    </row>
    <row r="30" spans="2:28">
      <c r="B30" s="2134">
        <v>46</v>
      </c>
      <c r="C30" s="2126">
        <v>0.74399999999999999</v>
      </c>
      <c r="D30" s="2126">
        <v>9.2089999999999996</v>
      </c>
      <c r="E30" s="2126">
        <v>2.5329999999999999</v>
      </c>
      <c r="F30" s="2126">
        <v>2.5329999999999999</v>
      </c>
      <c r="G30" s="2126">
        <v>8.4649999999999999</v>
      </c>
      <c r="H30" s="2127">
        <v>8.7891317188422913E-2</v>
      </c>
      <c r="I30" s="2127">
        <v>0.29923213230950974</v>
      </c>
      <c r="J30" s="2135">
        <v>0.38712344949793265</v>
      </c>
      <c r="K30" s="2134">
        <v>46</v>
      </c>
      <c r="L30" s="2126">
        <v>0.81499999999999995</v>
      </c>
      <c r="M30" s="2126">
        <v>10.5</v>
      </c>
      <c r="N30" s="2128">
        <v>0.60599999999999998</v>
      </c>
      <c r="O30" s="2126">
        <v>0.60599999999999998</v>
      </c>
      <c r="P30" s="2126">
        <v>9.6850000000000005</v>
      </c>
      <c r="Q30" s="2127">
        <v>8.4150748580278767E-2</v>
      </c>
      <c r="R30" s="2127">
        <v>6.2570986060918946E-2</v>
      </c>
      <c r="S30" s="2135">
        <v>0.1467217346411977</v>
      </c>
      <c r="T30" s="2134">
        <v>46</v>
      </c>
      <c r="U30" s="1742">
        <v>0.77949999999999997</v>
      </c>
      <c r="V30" s="1742">
        <v>9.8544999999999998</v>
      </c>
      <c r="W30" s="1742">
        <v>1.5694999999999999</v>
      </c>
      <c r="X30" s="1742">
        <v>1.5694999999999999</v>
      </c>
      <c r="Y30" s="1742">
        <v>9.0749999999999993</v>
      </c>
      <c r="Z30" s="2129">
        <v>8.602103288435084E-2</v>
      </c>
      <c r="AA30" s="2129">
        <v>0.18090155918521433</v>
      </c>
      <c r="AB30" s="2150">
        <v>0.26692259206956515</v>
      </c>
    </row>
    <row r="31" spans="2:28">
      <c r="B31" s="89">
        <v>47</v>
      </c>
      <c r="C31" s="1">
        <v>0.73</v>
      </c>
      <c r="D31" s="1">
        <v>9.4629999999999992</v>
      </c>
      <c r="E31" s="1">
        <v>2.6080000000000001</v>
      </c>
      <c r="F31" s="1">
        <v>2.6080000000000001</v>
      </c>
      <c r="G31" s="1">
        <v>8.7329999999999988</v>
      </c>
      <c r="H31" s="747">
        <v>8.3590976754837981E-2</v>
      </c>
      <c r="I31" s="747">
        <v>0.29863735257070884</v>
      </c>
      <c r="J31" s="2136">
        <v>0.38222832932554685</v>
      </c>
      <c r="K31" s="89">
        <v>47</v>
      </c>
      <c r="L31" s="1">
        <v>0.78900000000000003</v>
      </c>
      <c r="M31" s="1">
        <v>10.769</v>
      </c>
      <c r="N31" s="1462">
        <v>0.61699999999999999</v>
      </c>
      <c r="O31" s="1">
        <v>0.61699999999999999</v>
      </c>
      <c r="P31" s="1">
        <v>9.98</v>
      </c>
      <c r="Q31" s="747">
        <v>7.9058116232464934E-2</v>
      </c>
      <c r="R31" s="747">
        <v>6.1823647294589175E-2</v>
      </c>
      <c r="S31" s="2136">
        <v>0.14088176352705412</v>
      </c>
      <c r="T31" s="89">
        <v>47</v>
      </c>
      <c r="U31" s="746">
        <v>0.75950000000000006</v>
      </c>
      <c r="V31" s="746">
        <v>10.116</v>
      </c>
      <c r="W31" s="746">
        <v>1.6125</v>
      </c>
      <c r="X31" s="746">
        <v>1.6125</v>
      </c>
      <c r="Y31" s="746">
        <v>9.3565000000000005</v>
      </c>
      <c r="Z31" s="2124">
        <v>8.1324546493651451E-2</v>
      </c>
      <c r="AA31" s="2124">
        <v>0.180230499932649</v>
      </c>
      <c r="AB31" s="2151">
        <v>0.26155504642630045</v>
      </c>
    </row>
    <row r="32" spans="2:28">
      <c r="B32" s="2134">
        <v>48</v>
      </c>
      <c r="C32" s="2126">
        <v>0.71199999999999997</v>
      </c>
      <c r="D32" s="2126">
        <v>9.7240000000000002</v>
      </c>
      <c r="E32" s="2126">
        <v>2.6829999999999998</v>
      </c>
      <c r="F32" s="2126">
        <v>2.6829999999999998</v>
      </c>
      <c r="G32" s="2126">
        <v>9.0120000000000005</v>
      </c>
      <c r="H32" s="2127">
        <v>7.9005770084331989E-2</v>
      </c>
      <c r="I32" s="2127">
        <v>0.29771415889924541</v>
      </c>
      <c r="J32" s="2135">
        <v>0.37671992898357742</v>
      </c>
      <c r="K32" s="2134">
        <v>48</v>
      </c>
      <c r="L32" s="2126">
        <v>0.76100000000000001</v>
      </c>
      <c r="M32" s="2126">
        <v>11.047000000000001</v>
      </c>
      <c r="N32" s="2128">
        <v>0.627</v>
      </c>
      <c r="O32" s="2126">
        <v>0.627</v>
      </c>
      <c r="P32" s="2126">
        <v>10.286000000000001</v>
      </c>
      <c r="Q32" s="2127">
        <v>7.3984055998444473E-2</v>
      </c>
      <c r="R32" s="2127">
        <v>6.0956640093330731E-2</v>
      </c>
      <c r="S32" s="2135">
        <v>0.1349406960917752</v>
      </c>
      <c r="T32" s="2134">
        <v>48</v>
      </c>
      <c r="U32" s="1742">
        <v>0.73649999999999993</v>
      </c>
      <c r="V32" s="1742">
        <v>10.3855</v>
      </c>
      <c r="W32" s="1742">
        <v>1.6549999999999998</v>
      </c>
      <c r="X32" s="1742">
        <v>1.6549999999999998</v>
      </c>
      <c r="Y32" s="1742">
        <v>9.6490000000000009</v>
      </c>
      <c r="Z32" s="2129">
        <v>7.6494913041388224E-2</v>
      </c>
      <c r="AA32" s="2129">
        <v>0.17933539949628807</v>
      </c>
      <c r="AB32" s="2150">
        <v>0.2558303125376763</v>
      </c>
    </row>
    <row r="33" spans="2:28">
      <c r="B33" s="89">
        <v>49</v>
      </c>
      <c r="C33" s="1">
        <v>0.68899999999999995</v>
      </c>
      <c r="D33" s="1">
        <v>9.9939999999999998</v>
      </c>
      <c r="E33" s="1">
        <v>2.7559999999999998</v>
      </c>
      <c r="F33" s="1">
        <v>2.7559999999999998</v>
      </c>
      <c r="G33" s="1">
        <v>9.3049999999999997</v>
      </c>
      <c r="H33" s="747">
        <v>7.4046211714132185E-2</v>
      </c>
      <c r="I33" s="747">
        <v>0.29618484685652874</v>
      </c>
      <c r="J33" s="2136">
        <v>0.37023105857066091</v>
      </c>
      <c r="K33" s="89">
        <v>49</v>
      </c>
      <c r="L33" s="1">
        <v>0.72799999999999998</v>
      </c>
      <c r="M33" s="1">
        <v>11.332000000000001</v>
      </c>
      <c r="N33" s="1462">
        <v>0.63600000000000001</v>
      </c>
      <c r="O33" s="1">
        <v>0.63600000000000001</v>
      </c>
      <c r="P33" s="1">
        <v>10.604000000000001</v>
      </c>
      <c r="Q33" s="747">
        <v>6.8653338362881927E-2</v>
      </c>
      <c r="R33" s="747">
        <v>5.9977367031308938E-2</v>
      </c>
      <c r="S33" s="2136">
        <v>0.12863070539419086</v>
      </c>
      <c r="T33" s="89">
        <v>49</v>
      </c>
      <c r="U33" s="746">
        <v>0.70849999999999991</v>
      </c>
      <c r="V33" s="746">
        <v>10.663</v>
      </c>
      <c r="W33" s="746">
        <v>1.696</v>
      </c>
      <c r="X33" s="746">
        <v>1.696</v>
      </c>
      <c r="Y33" s="746">
        <v>9.9544999999999995</v>
      </c>
      <c r="Z33" s="2124">
        <v>7.1349775038507063E-2</v>
      </c>
      <c r="AA33" s="2124">
        <v>0.17808110694391885</v>
      </c>
      <c r="AB33" s="2151">
        <v>0.24943088198242588</v>
      </c>
    </row>
    <row r="34" spans="2:28">
      <c r="B34" s="2134">
        <v>50</v>
      </c>
      <c r="C34" s="2126">
        <v>0.66200000000000003</v>
      </c>
      <c r="D34" s="2126">
        <v>10.271000000000001</v>
      </c>
      <c r="E34" s="2126">
        <v>2.827</v>
      </c>
      <c r="F34" s="2126">
        <v>2.827</v>
      </c>
      <c r="G34" s="2126">
        <v>9.609</v>
      </c>
      <c r="H34" s="2127">
        <v>6.8893745446976795E-2</v>
      </c>
      <c r="I34" s="2127">
        <v>0.29420335102508066</v>
      </c>
      <c r="J34" s="2135">
        <v>0.36309709647205746</v>
      </c>
      <c r="K34" s="2134">
        <v>50</v>
      </c>
      <c r="L34" s="2126">
        <v>0.69199999999999995</v>
      </c>
      <c r="M34" s="2126">
        <v>11.625</v>
      </c>
      <c r="N34" s="2128">
        <v>0.64500000000000002</v>
      </c>
      <c r="O34" s="2126">
        <v>0.64500000000000002</v>
      </c>
      <c r="P34" s="2126">
        <v>10.933</v>
      </c>
      <c r="Q34" s="2127">
        <v>6.3294612640629286E-2</v>
      </c>
      <c r="R34" s="2127">
        <v>5.8995701088447823E-2</v>
      </c>
      <c r="S34" s="2135">
        <v>0.12229031372907712</v>
      </c>
      <c r="T34" s="2134">
        <v>50</v>
      </c>
      <c r="U34" s="1742">
        <v>0.67700000000000005</v>
      </c>
      <c r="V34" s="1742">
        <v>10.948</v>
      </c>
      <c r="W34" s="1742">
        <v>1.736</v>
      </c>
      <c r="X34" s="1742">
        <v>1.736</v>
      </c>
      <c r="Y34" s="1742">
        <v>10.271000000000001</v>
      </c>
      <c r="Z34" s="2129">
        <v>6.6094179043803047E-2</v>
      </c>
      <c r="AA34" s="2129">
        <v>0.17659952605676424</v>
      </c>
      <c r="AB34" s="2150">
        <v>0.24269370510056729</v>
      </c>
    </row>
    <row r="35" spans="2:28">
      <c r="B35" s="89">
        <v>51</v>
      </c>
      <c r="C35" s="1">
        <v>0.629</v>
      </c>
      <c r="D35" s="1">
        <v>10.555999999999999</v>
      </c>
      <c r="E35" s="1">
        <v>2.895</v>
      </c>
      <c r="F35" s="1">
        <v>2.895</v>
      </c>
      <c r="G35" s="1">
        <v>9.9269999999999996</v>
      </c>
      <c r="H35" s="747">
        <v>6.3362546590107788E-2</v>
      </c>
      <c r="I35" s="747">
        <v>0.29162889090359628</v>
      </c>
      <c r="J35" s="2136">
        <v>0.3549914374937041</v>
      </c>
      <c r="K35" s="89">
        <v>51</v>
      </c>
      <c r="L35" s="1">
        <v>0.65</v>
      </c>
      <c r="M35" s="1">
        <v>11.927</v>
      </c>
      <c r="N35" s="1462">
        <v>0.65200000000000002</v>
      </c>
      <c r="O35" s="1">
        <v>0.65200000000000002</v>
      </c>
      <c r="P35" s="1">
        <v>11.276999999999999</v>
      </c>
      <c r="Q35" s="747">
        <v>5.7639443114303454E-2</v>
      </c>
      <c r="R35" s="747">
        <v>5.781679524696285E-2</v>
      </c>
      <c r="S35" s="2136">
        <v>0.11545623836126631</v>
      </c>
      <c r="T35" s="89">
        <v>51</v>
      </c>
      <c r="U35" s="746">
        <v>0.63949999999999996</v>
      </c>
      <c r="V35" s="746">
        <v>11.241499999999998</v>
      </c>
      <c r="W35" s="746">
        <v>1.7735000000000001</v>
      </c>
      <c r="X35" s="746">
        <v>1.7735000000000001</v>
      </c>
      <c r="Y35" s="746">
        <v>10.602</v>
      </c>
      <c r="Z35" s="2124">
        <v>6.0500994852205621E-2</v>
      </c>
      <c r="AA35" s="2124">
        <v>0.17472284307527958</v>
      </c>
      <c r="AB35" s="2151">
        <v>0.23522383792748519</v>
      </c>
    </row>
    <row r="36" spans="2:28">
      <c r="B36" s="2134">
        <v>52</v>
      </c>
      <c r="C36" s="2126">
        <v>0.59099999999999997</v>
      </c>
      <c r="D36" s="2126">
        <v>10.851000000000001</v>
      </c>
      <c r="E36" s="2126">
        <v>2.9609999999999999</v>
      </c>
      <c r="F36" s="2126">
        <v>2.9609999999999999</v>
      </c>
      <c r="G36" s="2126">
        <v>10.260000000000002</v>
      </c>
      <c r="H36" s="2127">
        <v>5.7602339181286537E-2</v>
      </c>
      <c r="I36" s="2127">
        <v>0.28859649122807013</v>
      </c>
      <c r="J36" s="2135">
        <v>0.34619883040935667</v>
      </c>
      <c r="K36" s="2134">
        <v>52</v>
      </c>
      <c r="L36" s="2126">
        <v>0.60399999999999998</v>
      </c>
      <c r="M36" s="2126">
        <v>12.236000000000001</v>
      </c>
      <c r="N36" s="2128">
        <v>0.65800000000000003</v>
      </c>
      <c r="O36" s="2126">
        <v>0.65800000000000003</v>
      </c>
      <c r="P36" s="2126">
        <v>11.632000000000001</v>
      </c>
      <c r="Q36" s="2127">
        <v>5.1925722145804667E-2</v>
      </c>
      <c r="R36" s="2127">
        <v>5.6568088033012373E-2</v>
      </c>
      <c r="S36" s="2135">
        <v>0.10849381017881704</v>
      </c>
      <c r="T36" s="2134">
        <v>52</v>
      </c>
      <c r="U36" s="1742">
        <v>0.59749999999999992</v>
      </c>
      <c r="V36" s="1742">
        <v>11.543500000000002</v>
      </c>
      <c r="W36" s="1742">
        <v>1.8094999999999999</v>
      </c>
      <c r="X36" s="1742">
        <v>1.8094999999999999</v>
      </c>
      <c r="Y36" s="1742">
        <v>10.946000000000002</v>
      </c>
      <c r="Z36" s="2129">
        <v>5.4764030663545599E-2</v>
      </c>
      <c r="AA36" s="2129">
        <v>0.17258228963054126</v>
      </c>
      <c r="AB36" s="2150">
        <v>0.22734632029408686</v>
      </c>
    </row>
    <row r="37" spans="2:28">
      <c r="B37" s="89">
        <v>53</v>
      </c>
      <c r="C37" s="1">
        <v>0.54700000000000004</v>
      </c>
      <c r="D37" s="1">
        <v>11.156000000000001</v>
      </c>
      <c r="E37" s="1">
        <v>3.0249999999999999</v>
      </c>
      <c r="F37" s="1">
        <v>3.0249999999999999</v>
      </c>
      <c r="G37" s="1">
        <v>10.609</v>
      </c>
      <c r="H37" s="747">
        <v>5.1559996229616364E-2</v>
      </c>
      <c r="I37" s="747">
        <v>0.28513526251296067</v>
      </c>
      <c r="J37" s="2136">
        <v>0.33669525874257705</v>
      </c>
      <c r="K37" s="89">
        <v>53</v>
      </c>
      <c r="L37" s="1">
        <v>0.55200000000000005</v>
      </c>
      <c r="M37" s="1">
        <v>12.553000000000001</v>
      </c>
      <c r="N37" s="1462">
        <v>0.66300000000000003</v>
      </c>
      <c r="O37" s="1">
        <v>0.66300000000000003</v>
      </c>
      <c r="P37" s="1">
        <v>12.001000000000001</v>
      </c>
      <c r="Q37" s="747">
        <v>4.599616698608449E-2</v>
      </c>
      <c r="R37" s="747">
        <v>5.5245396216981914E-2</v>
      </c>
      <c r="S37" s="2136">
        <v>0.1012415632030664</v>
      </c>
      <c r="T37" s="89">
        <v>53</v>
      </c>
      <c r="U37" s="746">
        <v>0.5495000000000001</v>
      </c>
      <c r="V37" s="746">
        <v>11.854500000000002</v>
      </c>
      <c r="W37" s="746">
        <v>1.8439999999999999</v>
      </c>
      <c r="X37" s="746">
        <v>1.8439999999999999</v>
      </c>
      <c r="Y37" s="746">
        <v>11.305</v>
      </c>
      <c r="Z37" s="2124">
        <v>4.8778081607850424E-2</v>
      </c>
      <c r="AA37" s="2124">
        <v>0.1701903293649713</v>
      </c>
      <c r="AB37" s="2151">
        <v>0.21896841097282171</v>
      </c>
    </row>
    <row r="38" spans="2:28">
      <c r="B38" s="2134">
        <v>54</v>
      </c>
      <c r="C38" s="2126">
        <v>0.498</v>
      </c>
      <c r="D38" s="2126">
        <v>11.47</v>
      </c>
      <c r="E38" s="2126">
        <v>3.0859999999999999</v>
      </c>
      <c r="F38" s="2126">
        <v>3.0859999999999999</v>
      </c>
      <c r="G38" s="2126">
        <v>10.972000000000001</v>
      </c>
      <c r="H38" s="2127">
        <v>4.5388261028071447E-2</v>
      </c>
      <c r="I38" s="2127">
        <v>0.28126139263580019</v>
      </c>
      <c r="J38" s="2135">
        <v>0.32664965366387166</v>
      </c>
      <c r="K38" s="2134">
        <v>54</v>
      </c>
      <c r="L38" s="2126">
        <v>0.495</v>
      </c>
      <c r="M38" s="2126">
        <v>12.879</v>
      </c>
      <c r="N38" s="2128">
        <v>0.66600000000000004</v>
      </c>
      <c r="O38" s="2126">
        <v>0.66600000000000004</v>
      </c>
      <c r="P38" s="2126">
        <v>12.384</v>
      </c>
      <c r="Q38" s="2127">
        <v>3.9970930232558141E-2</v>
      </c>
      <c r="R38" s="2127">
        <v>5.3779069767441859E-2</v>
      </c>
      <c r="S38" s="2135">
        <v>9.375E-2</v>
      </c>
      <c r="T38" s="2134">
        <v>54</v>
      </c>
      <c r="U38" s="1742">
        <v>0.4965</v>
      </c>
      <c r="V38" s="1742">
        <v>12.1745</v>
      </c>
      <c r="W38" s="1742">
        <v>1.8759999999999999</v>
      </c>
      <c r="X38" s="1742">
        <v>1.8759999999999999</v>
      </c>
      <c r="Y38" s="1742">
        <v>11.678000000000001</v>
      </c>
      <c r="Z38" s="2129">
        <v>4.2679595630314794E-2</v>
      </c>
      <c r="AA38" s="2129">
        <v>0.16752023120162102</v>
      </c>
      <c r="AB38" s="2150">
        <v>0.21019982683193583</v>
      </c>
    </row>
    <row r="39" spans="2:28">
      <c r="B39" s="89">
        <v>55</v>
      </c>
      <c r="C39" s="1">
        <v>0.443</v>
      </c>
      <c r="D39" s="1">
        <v>11.795</v>
      </c>
      <c r="E39" s="1">
        <v>3.1440000000000001</v>
      </c>
      <c r="F39" s="1">
        <v>3.1440000000000001</v>
      </c>
      <c r="G39" s="1">
        <v>11.352</v>
      </c>
      <c r="H39" s="747">
        <v>3.9023960535588445E-2</v>
      </c>
      <c r="I39" s="747">
        <v>0.27695560253699791</v>
      </c>
      <c r="J39" s="2136">
        <v>0.31597956307258634</v>
      </c>
      <c r="K39" s="89">
        <v>55</v>
      </c>
      <c r="L39" s="1">
        <v>0.433</v>
      </c>
      <c r="M39" s="1">
        <v>13.214</v>
      </c>
      <c r="N39" s="1462">
        <v>0.66900000000000004</v>
      </c>
      <c r="O39" s="1">
        <v>0.66900000000000004</v>
      </c>
      <c r="P39" s="1">
        <v>12.781000000000001</v>
      </c>
      <c r="Q39" s="747">
        <v>3.3878413269697205E-2</v>
      </c>
      <c r="R39" s="747">
        <v>5.2343322118770047E-2</v>
      </c>
      <c r="S39" s="2136">
        <v>8.6221735388467252E-2</v>
      </c>
      <c r="T39" s="89">
        <v>55</v>
      </c>
      <c r="U39" s="746">
        <v>0.438</v>
      </c>
      <c r="V39" s="746">
        <v>12.5045</v>
      </c>
      <c r="W39" s="746">
        <v>1.9065000000000001</v>
      </c>
      <c r="X39" s="746">
        <v>1.9065000000000001</v>
      </c>
      <c r="Y39" s="746">
        <v>12.066500000000001</v>
      </c>
      <c r="Z39" s="2124">
        <v>3.6451186902642825E-2</v>
      </c>
      <c r="AA39" s="2124">
        <v>0.16464946232788397</v>
      </c>
      <c r="AB39" s="2151">
        <v>0.20110064923052678</v>
      </c>
    </row>
    <row r="40" spans="2:28">
      <c r="B40" s="2134">
        <v>56</v>
      </c>
      <c r="C40" s="2126">
        <v>0.38200000000000001</v>
      </c>
      <c r="D40" s="2126">
        <v>12.131</v>
      </c>
      <c r="E40" s="2126">
        <v>3.2</v>
      </c>
      <c r="F40" s="2126">
        <v>3.2</v>
      </c>
      <c r="G40" s="2126">
        <v>11.749000000000001</v>
      </c>
      <c r="H40" s="2127">
        <v>3.2513405396203933E-2</v>
      </c>
      <c r="I40" s="2127">
        <v>0.27236360541322668</v>
      </c>
      <c r="J40" s="2135">
        <v>0.30487701080943064</v>
      </c>
      <c r="K40" s="2134">
        <v>56</v>
      </c>
      <c r="L40" s="2126">
        <v>0.36599999999999999</v>
      </c>
      <c r="M40" s="2126">
        <v>13.558999999999999</v>
      </c>
      <c r="N40" s="2128">
        <v>0.67</v>
      </c>
      <c r="O40" s="2126">
        <v>0.67</v>
      </c>
      <c r="P40" s="2126">
        <v>13.193</v>
      </c>
      <c r="Q40" s="2127">
        <v>2.7741984385659061E-2</v>
      </c>
      <c r="R40" s="2127">
        <v>5.0784506935496104E-2</v>
      </c>
      <c r="S40" s="2135">
        <v>7.8526491321155162E-2</v>
      </c>
      <c r="T40" s="2134">
        <v>56</v>
      </c>
      <c r="U40" s="1742">
        <v>0.374</v>
      </c>
      <c r="V40" s="1742">
        <v>12.844999999999999</v>
      </c>
      <c r="W40" s="1742">
        <v>1.9350000000000001</v>
      </c>
      <c r="X40" s="1742">
        <v>1.9350000000000001</v>
      </c>
      <c r="Y40" s="1742">
        <v>12.471</v>
      </c>
      <c r="Z40" s="2129">
        <v>3.0127694890931499E-2</v>
      </c>
      <c r="AA40" s="2129">
        <v>0.16157405617436138</v>
      </c>
      <c r="AB40" s="2150">
        <v>0.19170175106529291</v>
      </c>
    </row>
    <row r="41" spans="2:28">
      <c r="B41" s="89">
        <v>57</v>
      </c>
      <c r="C41" s="1">
        <v>0.316</v>
      </c>
      <c r="D41" s="1">
        <v>12.478999999999999</v>
      </c>
      <c r="E41" s="1">
        <v>3.2559999999999998</v>
      </c>
      <c r="F41" s="1">
        <v>3.2559999999999998</v>
      </c>
      <c r="G41" s="1">
        <v>12.162999999999998</v>
      </c>
      <c r="H41" s="747">
        <v>2.5980432459097265E-2</v>
      </c>
      <c r="I41" s="747">
        <v>0.26769711419879966</v>
      </c>
      <c r="J41" s="2136">
        <v>0.29367754665789692</v>
      </c>
      <c r="K41" s="89">
        <v>57</v>
      </c>
      <c r="L41" s="1">
        <v>0.29499999999999998</v>
      </c>
      <c r="M41" s="1">
        <v>13.916</v>
      </c>
      <c r="N41" s="1462">
        <v>0.67</v>
      </c>
      <c r="O41" s="1">
        <v>0.67</v>
      </c>
      <c r="P41" s="1">
        <v>13.621</v>
      </c>
      <c r="Q41" s="747">
        <v>2.1657734380735628E-2</v>
      </c>
      <c r="R41" s="747">
        <v>4.9188752661331769E-2</v>
      </c>
      <c r="S41" s="2136">
        <v>7.0846487042067391E-2</v>
      </c>
      <c r="T41" s="89">
        <v>57</v>
      </c>
      <c r="U41" s="746">
        <v>0.30549999999999999</v>
      </c>
      <c r="V41" s="746">
        <v>13.1975</v>
      </c>
      <c r="W41" s="746">
        <v>1.9629999999999999</v>
      </c>
      <c r="X41" s="746">
        <v>1.9629999999999999</v>
      </c>
      <c r="Y41" s="746">
        <v>12.891999999999999</v>
      </c>
      <c r="Z41" s="2124">
        <v>2.3819083419916447E-2</v>
      </c>
      <c r="AA41" s="2124">
        <v>0.15844293343006571</v>
      </c>
      <c r="AB41" s="2151">
        <v>0.18226201684998217</v>
      </c>
    </row>
    <row r="42" spans="2:28">
      <c r="B42" s="2134">
        <v>58</v>
      </c>
      <c r="C42" s="2126">
        <v>0.249</v>
      </c>
      <c r="D42" s="2126">
        <v>12.840999999999999</v>
      </c>
      <c r="E42" s="2126">
        <v>3.3109999999999999</v>
      </c>
      <c r="F42" s="2126">
        <v>3.3109999999999999</v>
      </c>
      <c r="G42" s="2126">
        <v>12.591999999999999</v>
      </c>
      <c r="H42" s="2127">
        <v>1.9774459974587041E-2</v>
      </c>
      <c r="I42" s="2127">
        <v>0.26294472681067349</v>
      </c>
      <c r="J42" s="2135">
        <v>0.28271918678526053</v>
      </c>
      <c r="K42" s="2134">
        <v>58</v>
      </c>
      <c r="L42" s="2126">
        <v>0.22500000000000001</v>
      </c>
      <c r="M42" s="2126">
        <v>14.288</v>
      </c>
      <c r="N42" s="2128">
        <v>0.67</v>
      </c>
      <c r="O42" s="2126">
        <v>0.67</v>
      </c>
      <c r="P42" s="2126">
        <v>14.063000000000001</v>
      </c>
      <c r="Q42" s="2127">
        <v>1.5999431131337553E-2</v>
      </c>
      <c r="R42" s="2127">
        <v>4.7642750479982933E-2</v>
      </c>
      <c r="S42" s="2135">
        <v>6.3642181611320486E-2</v>
      </c>
      <c r="T42" s="2134">
        <v>58</v>
      </c>
      <c r="U42" s="1742">
        <v>0.23699999999999999</v>
      </c>
      <c r="V42" s="1742">
        <v>13.564499999999999</v>
      </c>
      <c r="W42" s="1742">
        <v>1.9904999999999999</v>
      </c>
      <c r="X42" s="1742">
        <v>1.9904999999999999</v>
      </c>
      <c r="Y42" s="1742">
        <v>13.327500000000001</v>
      </c>
      <c r="Z42" s="2129">
        <v>1.7886945552962295E-2</v>
      </c>
      <c r="AA42" s="2129">
        <v>0.15529373864532822</v>
      </c>
      <c r="AB42" s="2150">
        <v>0.17318068419829052</v>
      </c>
    </row>
    <row r="43" spans="2:28">
      <c r="B43" s="89">
        <v>59</v>
      </c>
      <c r="C43" s="1">
        <v>0.183</v>
      </c>
      <c r="D43" s="1">
        <v>13.22</v>
      </c>
      <c r="E43" s="1">
        <v>3.367</v>
      </c>
      <c r="F43" s="1">
        <v>3.367</v>
      </c>
      <c r="G43" s="1">
        <v>13.037000000000001</v>
      </c>
      <c r="H43" s="747">
        <v>1.4036971695942316E-2</v>
      </c>
      <c r="I43" s="747">
        <v>0.2582649382526655</v>
      </c>
      <c r="J43" s="2136">
        <v>0.27230190994860781</v>
      </c>
      <c r="K43" s="89">
        <v>59</v>
      </c>
      <c r="L43" s="1">
        <v>0.16</v>
      </c>
      <c r="M43" s="1">
        <v>14.679</v>
      </c>
      <c r="N43" s="1462">
        <v>0.67</v>
      </c>
      <c r="O43" s="1">
        <v>0.67</v>
      </c>
      <c r="P43" s="1">
        <v>14.519</v>
      </c>
      <c r="Q43" s="747">
        <v>1.1020042702665473E-2</v>
      </c>
      <c r="R43" s="747">
        <v>4.6146428817411669E-2</v>
      </c>
      <c r="S43" s="2136">
        <v>5.7166471520077144E-2</v>
      </c>
      <c r="T43" s="89">
        <v>59</v>
      </c>
      <c r="U43" s="746">
        <v>0.17149999999999999</v>
      </c>
      <c r="V43" s="746">
        <v>13.9495</v>
      </c>
      <c r="W43" s="746">
        <v>2.0185</v>
      </c>
      <c r="X43" s="746">
        <v>2.0185</v>
      </c>
      <c r="Y43" s="746">
        <v>13.778</v>
      </c>
      <c r="Z43" s="2124">
        <v>1.2528507199303894E-2</v>
      </c>
      <c r="AA43" s="2124">
        <v>0.15220568353503858</v>
      </c>
      <c r="AB43" s="2151">
        <v>0.16473419073434248</v>
      </c>
    </row>
    <row r="44" spans="2:28">
      <c r="B44" s="2134">
        <v>60</v>
      </c>
      <c r="C44" s="2126">
        <v>0.123</v>
      </c>
      <c r="D44" s="2126">
        <v>13.619</v>
      </c>
      <c r="E44" s="2126">
        <v>3.4249999999999998</v>
      </c>
      <c r="F44" s="2126">
        <v>3.4249999999999998</v>
      </c>
      <c r="G44" s="2126">
        <v>13.496</v>
      </c>
      <c r="H44" s="2127">
        <v>9.1138114997036147E-3</v>
      </c>
      <c r="I44" s="2127">
        <v>0.25377889745109661</v>
      </c>
      <c r="J44" s="2135">
        <v>0.26289270895080025</v>
      </c>
      <c r="K44" s="2134">
        <v>60</v>
      </c>
      <c r="L44" s="2126">
        <v>0.10299999999999999</v>
      </c>
      <c r="M44" s="2126">
        <v>15.093999999999999</v>
      </c>
      <c r="N44" s="2128">
        <v>0.66900000000000004</v>
      </c>
      <c r="O44" s="2126">
        <v>0.66900000000000004</v>
      </c>
      <c r="P44" s="2126">
        <v>14.991</v>
      </c>
      <c r="Q44" s="2127">
        <v>6.8707891401507569E-3</v>
      </c>
      <c r="R44" s="2127">
        <v>4.462677606563939E-2</v>
      </c>
      <c r="S44" s="2135">
        <v>5.1497565205790144E-2</v>
      </c>
      <c r="T44" s="2134">
        <v>60</v>
      </c>
      <c r="U44" s="1742">
        <v>0.11299999999999999</v>
      </c>
      <c r="V44" s="1742">
        <v>14.3565</v>
      </c>
      <c r="W44" s="1742">
        <v>2.0469999999999997</v>
      </c>
      <c r="X44" s="1742">
        <v>2.0469999999999997</v>
      </c>
      <c r="Y44" s="1742">
        <v>14.243500000000001</v>
      </c>
      <c r="Z44" s="2129">
        <v>7.9923003199271862E-3</v>
      </c>
      <c r="AA44" s="2129">
        <v>0.14920283675836798</v>
      </c>
      <c r="AB44" s="2150">
        <v>0.15719513707829519</v>
      </c>
    </row>
    <row r="45" spans="2:28">
      <c r="B45" s="89">
        <v>61</v>
      </c>
      <c r="C45" s="1">
        <v>7.3999999999999996E-2</v>
      </c>
      <c r="D45" s="1">
        <v>14.044</v>
      </c>
      <c r="E45" s="1">
        <v>3.4860000000000002</v>
      </c>
      <c r="F45" s="1">
        <v>3.4860000000000002</v>
      </c>
      <c r="G45" s="1">
        <v>13.97</v>
      </c>
      <c r="H45" s="747">
        <v>5.2970651395848238E-3</v>
      </c>
      <c r="I45" s="747">
        <v>0.24953471725125267</v>
      </c>
      <c r="J45" s="2136">
        <v>0.25483178239083748</v>
      </c>
      <c r="K45" s="89">
        <v>61</v>
      </c>
      <c r="L45" s="1">
        <v>5.8999999999999997E-2</v>
      </c>
      <c r="M45" s="1">
        <v>15.537000000000001</v>
      </c>
      <c r="N45" s="1462">
        <v>0.66800000000000004</v>
      </c>
      <c r="O45" s="1">
        <v>0.66800000000000004</v>
      </c>
      <c r="P45" s="1">
        <v>15.478000000000002</v>
      </c>
      <c r="Q45" s="747">
        <v>3.8118619976741175E-3</v>
      </c>
      <c r="R45" s="747">
        <v>4.3158030753327303E-2</v>
      </c>
      <c r="S45" s="2136">
        <v>4.696989275100142E-2</v>
      </c>
      <c r="T45" s="89">
        <v>61</v>
      </c>
      <c r="U45" s="746">
        <v>6.6500000000000004E-2</v>
      </c>
      <c r="V45" s="746">
        <v>14.790500000000002</v>
      </c>
      <c r="W45" s="746">
        <v>2.077</v>
      </c>
      <c r="X45" s="746">
        <v>2.077</v>
      </c>
      <c r="Y45" s="746">
        <v>14.724</v>
      </c>
      <c r="Z45" s="2124">
        <v>4.5544635686294707E-3</v>
      </c>
      <c r="AA45" s="2124">
        <v>0.14634637400229</v>
      </c>
      <c r="AB45" s="2151">
        <v>0.15090083757091946</v>
      </c>
    </row>
    <row r="46" spans="2:28">
      <c r="B46" s="2134">
        <v>62</v>
      </c>
      <c r="C46" s="2126">
        <v>3.6999999999999998E-2</v>
      </c>
      <c r="D46" s="2126">
        <v>14.497999999999999</v>
      </c>
      <c r="E46" s="2126">
        <v>3.5329999999999999</v>
      </c>
      <c r="F46" s="2126">
        <v>3.5329999999999999</v>
      </c>
      <c r="G46" s="2126">
        <v>14.460999999999999</v>
      </c>
      <c r="H46" s="2127">
        <v>2.5586059055390364E-3</v>
      </c>
      <c r="I46" s="2127">
        <v>0.24431228822349771</v>
      </c>
      <c r="J46" s="2135">
        <v>0.24687089412903673</v>
      </c>
      <c r="K46" s="2134">
        <v>62</v>
      </c>
      <c r="L46" s="2126">
        <v>2.8000000000000001E-2</v>
      </c>
      <c r="M46" s="2126">
        <v>16.010999999999999</v>
      </c>
      <c r="N46" s="2128">
        <v>0.66500000000000004</v>
      </c>
      <c r="O46" s="2126">
        <v>0.66500000000000004</v>
      </c>
      <c r="P46" s="2126">
        <v>15.982999999999999</v>
      </c>
      <c r="Q46" s="2127">
        <v>1.7518613526872303E-3</v>
      </c>
      <c r="R46" s="2127">
        <v>4.1606707126321724E-2</v>
      </c>
      <c r="S46" s="2135">
        <v>4.3358568479008951E-2</v>
      </c>
      <c r="T46" s="2134">
        <v>62</v>
      </c>
      <c r="U46" s="1742">
        <v>3.2500000000000001E-2</v>
      </c>
      <c r="V46" s="1742">
        <v>15.2545</v>
      </c>
      <c r="W46" s="1742">
        <v>2.0990000000000002</v>
      </c>
      <c r="X46" s="1742">
        <v>2.0990000000000002</v>
      </c>
      <c r="Y46" s="1742">
        <v>15.221999999999998</v>
      </c>
      <c r="Z46" s="2129">
        <v>2.1552336291131334E-3</v>
      </c>
      <c r="AA46" s="2129">
        <v>0.14295949767490973</v>
      </c>
      <c r="AB46" s="2150">
        <v>0.14511473130402283</v>
      </c>
    </row>
    <row r="47" spans="2:28">
      <c r="B47" s="89">
        <v>63</v>
      </c>
      <c r="C47" s="1">
        <v>1.4E-2</v>
      </c>
      <c r="D47" s="1">
        <v>14.983000000000001</v>
      </c>
      <c r="E47" s="1">
        <v>3.58</v>
      </c>
      <c r="F47" s="1">
        <v>3.58</v>
      </c>
      <c r="G47" s="1">
        <v>14.969000000000001</v>
      </c>
      <c r="H47" s="747">
        <v>9.3526621684815274E-4</v>
      </c>
      <c r="I47" s="747">
        <v>0.23916093259402765</v>
      </c>
      <c r="J47" s="2136">
        <v>0.24009619881087579</v>
      </c>
      <c r="K47" s="89">
        <v>63</v>
      </c>
      <c r="L47" s="1">
        <v>0.01</v>
      </c>
      <c r="M47" s="1">
        <v>16.516999999999999</v>
      </c>
      <c r="N47" s="1462">
        <v>0.66100000000000003</v>
      </c>
      <c r="O47" s="1">
        <v>0.66100000000000003</v>
      </c>
      <c r="P47" s="1">
        <v>16.506999999999998</v>
      </c>
      <c r="Q47" s="747">
        <v>6.0580359847337505E-4</v>
      </c>
      <c r="R47" s="747">
        <v>4.0043617859090087E-2</v>
      </c>
      <c r="S47" s="2136">
        <v>4.0649421457563464E-2</v>
      </c>
      <c r="T47" s="89">
        <v>63</v>
      </c>
      <c r="U47" s="746">
        <v>1.2E-2</v>
      </c>
      <c r="V47" s="746">
        <v>15.75</v>
      </c>
      <c r="W47" s="746">
        <v>2.1204999999999998</v>
      </c>
      <c r="X47" s="746">
        <v>2.1204999999999998</v>
      </c>
      <c r="Y47" s="746">
        <v>15.738</v>
      </c>
      <c r="Z47" s="2124">
        <v>7.7053490766076384E-4</v>
      </c>
      <c r="AA47" s="2124">
        <v>0.13960227522655888</v>
      </c>
      <c r="AB47" s="2151">
        <v>0.14037281013421962</v>
      </c>
    </row>
    <row r="48" spans="2:28">
      <c r="B48" s="2134">
        <v>64</v>
      </c>
      <c r="C48" s="2126">
        <v>3.0000000000000001E-3</v>
      </c>
      <c r="D48" s="2126">
        <v>15.500999999999999</v>
      </c>
      <c r="E48" s="2126">
        <v>3.6259999999999999</v>
      </c>
      <c r="F48" s="2126">
        <v>3.6259999999999999</v>
      </c>
      <c r="G48" s="2126">
        <v>15.497999999999999</v>
      </c>
      <c r="H48" s="2127">
        <v>1.9357336430507162E-4</v>
      </c>
      <c r="I48" s="2127">
        <v>0.23396567299006324</v>
      </c>
      <c r="J48" s="2135">
        <v>0.2341592463543683</v>
      </c>
      <c r="K48" s="2134">
        <v>64</v>
      </c>
      <c r="L48" s="2126">
        <v>2E-3</v>
      </c>
      <c r="M48" s="2126">
        <v>17.053000000000001</v>
      </c>
      <c r="N48" s="2128">
        <v>0.65600000000000003</v>
      </c>
      <c r="O48" s="2126">
        <v>0.65600000000000003</v>
      </c>
      <c r="P48" s="2126">
        <v>17.051000000000002</v>
      </c>
      <c r="Q48" s="2127">
        <v>1.1729517330361855E-4</v>
      </c>
      <c r="R48" s="2127">
        <v>3.8472816843586881E-2</v>
      </c>
      <c r="S48" s="2135">
        <v>3.8590112016890499E-2</v>
      </c>
      <c r="T48" s="2134">
        <v>64</v>
      </c>
      <c r="U48" s="1742">
        <v>2.5000000000000001E-3</v>
      </c>
      <c r="V48" s="1742">
        <v>16.277000000000001</v>
      </c>
      <c r="W48" s="1742">
        <v>2.141</v>
      </c>
      <c r="X48" s="1742">
        <v>2.141</v>
      </c>
      <c r="Y48" s="1742">
        <v>16.2745</v>
      </c>
      <c r="Z48" s="2129">
        <v>1.5543426880434508E-4</v>
      </c>
      <c r="AA48" s="2129">
        <v>0.13621924491682505</v>
      </c>
      <c r="AB48" s="2150">
        <v>0.1363746791856294</v>
      </c>
    </row>
    <row r="49" spans="2:28">
      <c r="B49" s="2155">
        <v>65</v>
      </c>
      <c r="C49" s="2156">
        <v>0</v>
      </c>
      <c r="D49" s="2156">
        <v>16.053000000000001</v>
      </c>
      <c r="E49" s="2156">
        <v>3.6680000000000001</v>
      </c>
      <c r="F49" s="2156">
        <v>3.6680000000000001</v>
      </c>
      <c r="G49" s="2156">
        <v>16.053000000000001</v>
      </c>
      <c r="H49" s="2157">
        <v>0</v>
      </c>
      <c r="I49" s="2157">
        <v>0.2284931165514234</v>
      </c>
      <c r="J49" s="2158">
        <v>0.2284931165514234</v>
      </c>
      <c r="K49" s="2155">
        <v>65</v>
      </c>
      <c r="L49" s="2156">
        <v>0</v>
      </c>
      <c r="M49" s="2156">
        <v>17.619</v>
      </c>
      <c r="N49" s="2159">
        <v>0.623</v>
      </c>
      <c r="O49" s="2156">
        <v>0.623</v>
      </c>
      <c r="P49" s="2156">
        <v>17.619</v>
      </c>
      <c r="Q49" s="2157">
        <v>0</v>
      </c>
      <c r="R49" s="2157">
        <v>3.5359555025824392E-2</v>
      </c>
      <c r="S49" s="2158">
        <v>3.5359555025824392E-2</v>
      </c>
      <c r="T49" s="2155">
        <v>65</v>
      </c>
      <c r="U49" s="2160">
        <v>0</v>
      </c>
      <c r="V49" s="2160">
        <v>16.835999999999999</v>
      </c>
      <c r="W49" s="2160">
        <v>2.1455000000000002</v>
      </c>
      <c r="X49" s="2160">
        <v>2.1455000000000002</v>
      </c>
      <c r="Y49" s="2160">
        <v>16.835999999999999</v>
      </c>
      <c r="Z49" s="2161">
        <v>0</v>
      </c>
      <c r="AA49" s="2161">
        <v>0.13192633578862389</v>
      </c>
      <c r="AB49" s="2162">
        <v>0.13192633578862389</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2.1389999999999998</v>
      </c>
      <c r="Y50" s="1742">
        <v>16.439</v>
      </c>
      <c r="Z50" s="2129">
        <v>0</v>
      </c>
      <c r="AA50" s="2129">
        <v>0.13483854868824233</v>
      </c>
      <c r="AB50" s="2150">
        <v>0.13483854868824233</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2.1320000000000001</v>
      </c>
      <c r="Y51" s="746">
        <v>16.032</v>
      </c>
      <c r="Z51" s="2124">
        <v>0</v>
      </c>
      <c r="AA51" s="2124">
        <v>0.13794060593778706</v>
      </c>
      <c r="AB51" s="2151">
        <v>0.13794060593778706</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2.1234999999999999</v>
      </c>
      <c r="Y52" s="1742">
        <v>15.6145</v>
      </c>
      <c r="Z52" s="2129">
        <v>0</v>
      </c>
      <c r="AA52" s="2129">
        <v>0.14120718648486638</v>
      </c>
      <c r="AB52" s="2150">
        <v>0.14120718648486638</v>
      </c>
    </row>
    <row r="53" spans="2:28">
      <c r="B53" s="89">
        <v>69</v>
      </c>
      <c r="C53" s="1"/>
      <c r="D53" s="1">
        <v>14.432</v>
      </c>
      <c r="E53" s="1">
        <v>3.681</v>
      </c>
      <c r="F53" s="1">
        <v>3.681</v>
      </c>
      <c r="G53" s="1">
        <v>14.432</v>
      </c>
      <c r="H53" s="747">
        <v>0</v>
      </c>
      <c r="I53" s="747">
        <v>0.25505820399113083</v>
      </c>
      <c r="J53" s="2136">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2.1150000000000002</v>
      </c>
      <c r="Y53" s="746">
        <v>15.186</v>
      </c>
      <c r="Z53" s="2124">
        <v>0</v>
      </c>
      <c r="AA53" s="2124">
        <v>0.14474993010096066</v>
      </c>
      <c r="AB53" s="2151">
        <v>0.14474993010096066</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2.1044999999999998</v>
      </c>
      <c r="Y54" s="1742">
        <v>14.746</v>
      </c>
      <c r="Z54" s="2129">
        <v>0</v>
      </c>
      <c r="AA54" s="2129">
        <v>0.14848190090708244</v>
      </c>
      <c r="AB54" s="2150">
        <v>0.14848190090708244</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2.0924999999999998</v>
      </c>
      <c r="Y55" s="746">
        <v>14.294</v>
      </c>
      <c r="Z55" s="2124">
        <v>0</v>
      </c>
      <c r="AA55" s="2124">
        <v>0.15245945026948621</v>
      </c>
      <c r="AB55" s="2151">
        <v>0.15245945026948621</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2.08</v>
      </c>
      <c r="Y56" s="1742">
        <v>13.830500000000001</v>
      </c>
      <c r="Z56" s="2129">
        <v>0</v>
      </c>
      <c r="AA56" s="2129">
        <v>0.15679352952755232</v>
      </c>
      <c r="AB56" s="2150">
        <v>0.15679352952755232</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2.0694999999999997</v>
      </c>
      <c r="Y57" s="746">
        <v>13.356</v>
      </c>
      <c r="Z57" s="2124">
        <v>0</v>
      </c>
      <c r="AA57" s="2124">
        <v>0.16172353040712417</v>
      </c>
      <c r="AB57" s="2151">
        <v>0.16172353040712417</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2.0575000000000001</v>
      </c>
      <c r="Y58" s="1742">
        <v>12.870999999999999</v>
      </c>
      <c r="Z58" s="2129">
        <v>0</v>
      </c>
      <c r="AA58" s="2129">
        <v>0.16702948376234281</v>
      </c>
      <c r="AB58" s="2150">
        <v>0.16702948376234281</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2.0444999999999998</v>
      </c>
      <c r="Y59" s="746">
        <v>12.376000000000001</v>
      </c>
      <c r="Z59" s="2124">
        <v>0</v>
      </c>
      <c r="AA59" s="2124">
        <v>0.17281031058717394</v>
      </c>
      <c r="AB59" s="2151">
        <v>0.17281031058717394</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2.0284999999999997</v>
      </c>
      <c r="Y60" s="1742">
        <v>11.873000000000001</v>
      </c>
      <c r="Z60" s="2129">
        <v>0</v>
      </c>
      <c r="AA60" s="2129">
        <v>0.17893543939696516</v>
      </c>
      <c r="AB60" s="2150">
        <v>0.17893543939696516</v>
      </c>
    </row>
    <row r="61" spans="2:28">
      <c r="B61" s="89">
        <v>77</v>
      </c>
      <c r="C61" s="1"/>
      <c r="D61" s="1">
        <v>10.724</v>
      </c>
      <c r="E61" s="1">
        <v>3.625</v>
      </c>
      <c r="F61" s="1">
        <v>3.625</v>
      </c>
      <c r="G61" s="1">
        <v>10.724</v>
      </c>
      <c r="H61" s="747">
        <v>0</v>
      </c>
      <c r="I61" s="747">
        <v>0.33802685565087653</v>
      </c>
      <c r="J61" s="2136">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2.0089999999999999</v>
      </c>
      <c r="Y61" s="746">
        <v>11.3635</v>
      </c>
      <c r="Z61" s="2124">
        <v>0</v>
      </c>
      <c r="AA61" s="2124">
        <v>0.18538433509861996</v>
      </c>
      <c r="AB61" s="2151">
        <v>0.18538433509861996</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1.986</v>
      </c>
      <c r="Y62" s="1742">
        <v>10.849499999999999</v>
      </c>
      <c r="Z62" s="2129">
        <v>0</v>
      </c>
      <c r="AA62" s="2129">
        <v>0.19219178544546964</v>
      </c>
      <c r="AB62" s="2150">
        <v>0.19219178544546964</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1.9594999999999998</v>
      </c>
      <c r="Y63" s="746">
        <v>10.3325</v>
      </c>
      <c r="Z63" s="2124">
        <v>0</v>
      </c>
      <c r="AA63" s="2124">
        <v>0.19935900414465418</v>
      </c>
      <c r="AB63" s="2151">
        <v>0.19935900414465418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1.929</v>
      </c>
      <c r="Y64" s="1742">
        <v>9.8149999999999995</v>
      </c>
      <c r="Z64" s="2129">
        <v>0</v>
      </c>
      <c r="AA64" s="2129">
        <v>0.20684605132830708</v>
      </c>
      <c r="AB64" s="2150">
        <v>0.20684605132830708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1.893</v>
      </c>
      <c r="Y65" s="746">
        <v>9.3000000000000007</v>
      </c>
      <c r="Z65" s="2124">
        <v>0</v>
      </c>
      <c r="AA65" s="2124">
        <v>0.21446644431575626</v>
      </c>
      <c r="AB65" s="2151">
        <v>0.21446644431575626</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1.845</v>
      </c>
      <c r="Y66" s="1742">
        <v>8.7904999999999998</v>
      </c>
      <c r="Z66" s="2129">
        <v>0</v>
      </c>
      <c r="AA66" s="2129">
        <v>0.22135935473113619</v>
      </c>
      <c r="AB66" s="2150">
        <v>0.22135935473113619</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v>
      </c>
      <c r="Y67" s="746">
        <v>8.2884999999999991</v>
      </c>
      <c r="Z67" s="2124">
        <v>0</v>
      </c>
      <c r="AA67" s="2124">
        <v>0.22795427386441577</v>
      </c>
      <c r="AB67" s="2151">
        <v>0.22795427386441577</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1.7289999999999999</v>
      </c>
      <c r="Y68" s="1742">
        <v>7.7990000000000004</v>
      </c>
      <c r="Z68" s="2129">
        <v>0</v>
      </c>
      <c r="AA68" s="2129">
        <v>0.23414621098311617</v>
      </c>
      <c r="AB68" s="2150">
        <v>0.23414621098311617</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1.5914999999999999</v>
      </c>
      <c r="Y70" s="1742">
        <v>6.8734999999999999</v>
      </c>
      <c r="Z70" s="2129">
        <v>0</v>
      </c>
      <c r="AA70" s="2129">
        <v>0.2446601078646358</v>
      </c>
      <c r="AB70" s="2150">
        <v>0.2446601078646358</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1.5175000000000001</v>
      </c>
      <c r="Y71" s="746">
        <v>6.4474999999999998</v>
      </c>
      <c r="Z71" s="2124">
        <v>0</v>
      </c>
      <c r="AA71" s="2124">
        <v>0.24856107107360967</v>
      </c>
      <c r="AB71" s="2151">
        <v>0.24856107107360967</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1.4275</v>
      </c>
      <c r="Y72" s="1742">
        <v>6.0549999999999997</v>
      </c>
      <c r="Z72" s="2129">
        <v>0</v>
      </c>
      <c r="AA72" s="2129">
        <v>0.2485984820624092</v>
      </c>
      <c r="AB72" s="2150">
        <v>0.2485984820624092</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1.333</v>
      </c>
      <c r="Y73" s="746">
        <v>5.7024999999999997</v>
      </c>
      <c r="Z73" s="2124">
        <v>0</v>
      </c>
      <c r="AA73" s="2124">
        <v>0.2458446034276548</v>
      </c>
      <c r="AB73" s="2151">
        <v>0.2458446034276548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1.242</v>
      </c>
      <c r="Y74" s="1742">
        <v>5.3849999999999998</v>
      </c>
      <c r="Z74" s="2129">
        <v>0</v>
      </c>
      <c r="AA74" s="2129">
        <v>0.24190981432360742</v>
      </c>
      <c r="AB74" s="2150">
        <v>0.24190981432360742</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1.1420000000000001</v>
      </c>
      <c r="Y75" s="746">
        <v>5.0909999999999993</v>
      </c>
      <c r="Z75" s="2124">
        <v>0</v>
      </c>
      <c r="AA75" s="2124">
        <v>0.23471837031422807</v>
      </c>
      <c r="AB75" s="2151">
        <v>0.23471837031422807</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1.05</v>
      </c>
      <c r="Y76" s="1742">
        <v>4.8164999999999996</v>
      </c>
      <c r="Z76" s="2129">
        <v>0</v>
      </c>
      <c r="AA76" s="2129">
        <v>0.22746599263800799</v>
      </c>
      <c r="AB76" s="2150">
        <v>0.22746599263800799</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0.95150000000000001</v>
      </c>
      <c r="Y77" s="746">
        <v>4.5615000000000006</v>
      </c>
      <c r="Z77" s="2124">
        <v>0</v>
      </c>
      <c r="AA77" s="2124">
        <v>0.21696272908243019</v>
      </c>
      <c r="AB77" s="2151">
        <v>0.21696272908243019</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0.86250000000000004</v>
      </c>
      <c r="Y78" s="1742">
        <v>4.3254999999999999</v>
      </c>
      <c r="Z78" s="2129">
        <v>0</v>
      </c>
      <c r="AA78" s="2129">
        <v>0.206674593018495</v>
      </c>
      <c r="AB78" s="2150">
        <v>0.206674593018495</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0.78449999999999998</v>
      </c>
      <c r="Y79" s="746">
        <v>4.1095000000000006</v>
      </c>
      <c r="Z79" s="2124">
        <v>0</v>
      </c>
      <c r="AA79" s="2124">
        <v>0.19713505868237771</v>
      </c>
      <c r="AB79" s="2151">
        <v>0.19713505868237771</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0.69899999999999995</v>
      </c>
      <c r="Y80" s="1742">
        <v>3.911</v>
      </c>
      <c r="Z80" s="2129">
        <v>0</v>
      </c>
      <c r="AA80" s="2129">
        <v>0.18384460221294663</v>
      </c>
      <c r="AB80" s="2150">
        <v>0.18384460221294663</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0.61849999999999994</v>
      </c>
      <c r="Y81" s="746">
        <v>3.7314999999999996</v>
      </c>
      <c r="Z81" s="2124">
        <v>0</v>
      </c>
      <c r="AA81" s="2124">
        <v>0.16982468372041148</v>
      </c>
      <c r="AB81" s="2151">
        <v>0.16982468372041148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0.52899999999999991</v>
      </c>
      <c r="Y82" s="1742">
        <v>3.569</v>
      </c>
      <c r="Z82" s="2129">
        <v>0</v>
      </c>
      <c r="AA82" s="2129">
        <v>0.15126028046026299</v>
      </c>
      <c r="AB82" s="2150">
        <v>0.15126028046026299</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0.43049999999999999</v>
      </c>
      <c r="Y83" s="746">
        <v>3.4219999999999997</v>
      </c>
      <c r="Z83" s="2124">
        <v>0</v>
      </c>
      <c r="AA83" s="2124">
        <v>0.12790824415378518</v>
      </c>
      <c r="AB83" s="2151">
        <v>0.12790824415378518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0.34100000000000003</v>
      </c>
      <c r="Y84" s="2152">
        <v>3.29</v>
      </c>
      <c r="Z84" s="2153">
        <v>0</v>
      </c>
      <c r="AA84" s="2153">
        <v>0.10504316408821783</v>
      </c>
      <c r="AB84" s="2154">
        <v>0.10504316408821783</v>
      </c>
    </row>
  </sheetData>
  <mergeCells count="4">
    <mergeCell ref="H2:J2"/>
    <mergeCell ref="Q2:S2"/>
    <mergeCell ref="B2:B3"/>
    <mergeCell ref="Z2:AB2"/>
  </mergeCells>
  <phoneticPr fontId="52" type="noConversion"/>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topLeftCell="B1" workbookViewId="0">
      <pane ySplit="1800" topLeftCell="A44" activePane="bottomLeft"/>
      <selection activeCell="B1" sqref="A1:XFD1048576"/>
      <selection pane="bottomLeft" activeCell="B62" sqref="B62"/>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1961</v>
      </c>
      <c r="B2" s="3960"/>
      <c r="C2" s="2131" t="s">
        <v>0</v>
      </c>
      <c r="D2" s="2131" t="s">
        <v>1</v>
      </c>
      <c r="E2" s="2131" t="s">
        <v>2</v>
      </c>
      <c r="F2" s="2131" t="s">
        <v>185</v>
      </c>
      <c r="G2" s="2131" t="s">
        <v>1962</v>
      </c>
      <c r="H2" s="3956" t="s">
        <v>162</v>
      </c>
      <c r="I2" s="3956"/>
      <c r="J2" s="3957"/>
      <c r="K2" s="2141"/>
      <c r="L2" s="2142" t="s">
        <v>0</v>
      </c>
      <c r="M2" s="2142" t="s">
        <v>1</v>
      </c>
      <c r="N2" s="2142" t="s">
        <v>2</v>
      </c>
      <c r="O2" s="2142" t="s">
        <v>218</v>
      </c>
      <c r="P2" s="2142" t="str">
        <f>+G2</f>
        <v>Anwartschafts-barwert d. Altersrente</v>
      </c>
      <c r="Q2" s="3958" t="s">
        <v>163</v>
      </c>
      <c r="R2" s="3958"/>
      <c r="S2" s="3959"/>
      <c r="T2" s="2146"/>
      <c r="U2" s="2147" t="s">
        <v>0</v>
      </c>
      <c r="V2" s="2147" t="s">
        <v>1</v>
      </c>
      <c r="W2" s="2147" t="s">
        <v>2</v>
      </c>
      <c r="X2" s="2147" t="str">
        <f>+O2</f>
        <v>Witwenrente</v>
      </c>
      <c r="Y2" s="2147" t="s">
        <v>4</v>
      </c>
      <c r="Z2" s="3962" t="s">
        <v>167</v>
      </c>
      <c r="AA2" s="3962"/>
      <c r="AB2" s="3963"/>
    </row>
    <row r="3" spans="1:28" s="2" customFormat="1" ht="18.75">
      <c r="A3" s="60"/>
      <c r="B3" s="3961"/>
      <c r="C3" s="2125" t="s">
        <v>15</v>
      </c>
      <c r="D3" s="2125" t="s">
        <v>14</v>
      </c>
      <c r="E3" s="2125" t="s">
        <v>28</v>
      </c>
      <c r="F3" s="2125" t="s">
        <v>1707</v>
      </c>
      <c r="G3" s="2125"/>
      <c r="H3" s="1133" t="s">
        <v>8</v>
      </c>
      <c r="I3" s="1133" t="s">
        <v>9</v>
      </c>
      <c r="J3" s="2133" t="s">
        <v>10</v>
      </c>
      <c r="K3" s="2143" t="s">
        <v>13</v>
      </c>
      <c r="L3" s="1134" t="s">
        <v>15</v>
      </c>
      <c r="M3" s="1134" t="s">
        <v>14</v>
      </c>
      <c r="N3" s="1134" t="s">
        <v>29</v>
      </c>
      <c r="O3" s="1134"/>
      <c r="P3" s="1134"/>
      <c r="Q3" s="1134" t="s">
        <v>8</v>
      </c>
      <c r="R3" s="1134" t="s">
        <v>9</v>
      </c>
      <c r="S3" s="2144" t="s">
        <v>10</v>
      </c>
      <c r="T3" s="2163" t="s">
        <v>13</v>
      </c>
      <c r="U3" s="2164" t="s">
        <v>15</v>
      </c>
      <c r="V3" s="2164" t="s">
        <v>14</v>
      </c>
      <c r="W3" s="2164" t="s">
        <v>29</v>
      </c>
      <c r="X3" s="2164"/>
      <c r="Y3" s="2164"/>
      <c r="Z3" s="2164" t="s">
        <v>8</v>
      </c>
      <c r="AA3" s="2164" t="s">
        <v>9</v>
      </c>
      <c r="AB3" s="2165" t="s">
        <v>10</v>
      </c>
    </row>
    <row r="4" spans="1:28">
      <c r="B4" s="2134">
        <v>20</v>
      </c>
      <c r="C4" s="2126">
        <v>0.32200000000000001</v>
      </c>
      <c r="D4" s="2126">
        <v>4.0860000000000003</v>
      </c>
      <c r="E4" s="2126">
        <v>0.53800000000000003</v>
      </c>
      <c r="F4" s="2126">
        <v>0.53800000000000003</v>
      </c>
      <c r="G4" s="2126">
        <v>3.7640000000000002</v>
      </c>
      <c r="H4" s="2127">
        <v>8.5547290116896921E-2</v>
      </c>
      <c r="I4" s="2127">
        <v>0.14293304994686504</v>
      </c>
      <c r="J4" s="2135">
        <v>0.22848034006376194</v>
      </c>
      <c r="K4" s="2134">
        <v>20</v>
      </c>
      <c r="L4" s="2126">
        <v>0.33300000000000002</v>
      </c>
      <c r="M4" s="2126">
        <v>4.835</v>
      </c>
      <c r="N4" s="2128">
        <v>0.13400000000000001</v>
      </c>
      <c r="O4" s="2126">
        <v>0.13400000000000001</v>
      </c>
      <c r="P4" s="2126">
        <v>4.5019999999999998</v>
      </c>
      <c r="Q4" s="2127">
        <v>7.3967125721901381E-2</v>
      </c>
      <c r="R4" s="2127">
        <v>2.976454908929365E-2</v>
      </c>
      <c r="S4" s="2135">
        <v>0.10373167481119502</v>
      </c>
      <c r="T4" s="2134">
        <v>20</v>
      </c>
      <c r="U4" s="1742">
        <v>0.32750000000000001</v>
      </c>
      <c r="V4" s="1742">
        <v>4.4604999999999997</v>
      </c>
      <c r="W4" s="1742">
        <v>0.33600000000000002</v>
      </c>
      <c r="X4" s="1742">
        <v>0.33600000000000002</v>
      </c>
      <c r="Y4" s="1742">
        <v>4.133</v>
      </c>
      <c r="Z4" s="2129">
        <v>7.9757207919399151E-2</v>
      </c>
      <c r="AA4" s="2129">
        <v>8.6348799518079347E-2</v>
      </c>
      <c r="AB4" s="2150">
        <v>0.1661060074374785</v>
      </c>
    </row>
    <row r="5" spans="1:28">
      <c r="B5" s="89">
        <v>21</v>
      </c>
      <c r="C5" s="1">
        <v>0.371</v>
      </c>
      <c r="D5" s="1">
        <v>4.21</v>
      </c>
      <c r="E5" s="1">
        <v>0.626</v>
      </c>
      <c r="F5" s="1">
        <v>0.626</v>
      </c>
      <c r="G5" s="1">
        <v>3.839</v>
      </c>
      <c r="H5" s="747">
        <v>9.663974993487888E-2</v>
      </c>
      <c r="I5" s="747">
        <v>0.16306329773378483</v>
      </c>
      <c r="J5" s="2135">
        <v>0.2597030476686637</v>
      </c>
      <c r="K5" s="89">
        <v>21</v>
      </c>
      <c r="L5" s="1">
        <v>0.40100000000000002</v>
      </c>
      <c r="M5" s="1">
        <v>4.9790000000000001</v>
      </c>
      <c r="N5" s="1462">
        <v>0.161</v>
      </c>
      <c r="O5" s="1">
        <v>0.161</v>
      </c>
      <c r="P5" s="1">
        <v>4.5780000000000003</v>
      </c>
      <c r="Q5" s="747">
        <v>8.7592835299257321E-2</v>
      </c>
      <c r="R5" s="747">
        <v>3.5168195718654434E-2</v>
      </c>
      <c r="S5" s="2136">
        <v>0.12276103101791175</v>
      </c>
      <c r="T5" s="89">
        <v>21</v>
      </c>
      <c r="U5" s="746">
        <v>0.38600000000000001</v>
      </c>
      <c r="V5" s="746">
        <v>4.5945</v>
      </c>
      <c r="W5" s="746">
        <v>0.39350000000000002</v>
      </c>
      <c r="X5" s="746">
        <v>0.39350000000000002</v>
      </c>
      <c r="Y5" s="746">
        <v>4.2084999999999999</v>
      </c>
      <c r="Z5" s="2124">
        <v>9.2116292617068107E-2</v>
      </c>
      <c r="AA5" s="2124">
        <v>9.9115746726219631E-2</v>
      </c>
      <c r="AB5" s="2151">
        <v>0.19123203934328772</v>
      </c>
    </row>
    <row r="6" spans="1:28">
      <c r="B6" s="2134">
        <v>22</v>
      </c>
      <c r="C6" s="2126">
        <v>0.42299999999999999</v>
      </c>
      <c r="D6" s="2126">
        <v>4.3360000000000003</v>
      </c>
      <c r="E6" s="2126">
        <v>0.71899999999999997</v>
      </c>
      <c r="F6" s="2126">
        <v>0.71899999999999997</v>
      </c>
      <c r="G6" s="2126">
        <v>3.9130000000000003</v>
      </c>
      <c r="H6" s="2127">
        <v>0.10810120112445692</v>
      </c>
      <c r="I6" s="2127">
        <v>0.18374648607206745</v>
      </c>
      <c r="J6" s="2135">
        <v>0.29184768719652437</v>
      </c>
      <c r="K6" s="2134">
        <v>22</v>
      </c>
      <c r="L6" s="2126">
        <v>0.46300000000000002</v>
      </c>
      <c r="M6" s="2126">
        <v>5.1269999999999998</v>
      </c>
      <c r="N6" s="2128">
        <v>0.187</v>
      </c>
      <c r="O6" s="2126">
        <v>0.187</v>
      </c>
      <c r="P6" s="2126">
        <v>4.6639999999999997</v>
      </c>
      <c r="Q6" s="2127">
        <v>9.9271012006861073E-2</v>
      </c>
      <c r="R6" s="2127">
        <v>4.0094339622641514E-2</v>
      </c>
      <c r="S6" s="2135">
        <v>0.13936535162950259</v>
      </c>
      <c r="T6" s="2134">
        <v>22</v>
      </c>
      <c r="U6" s="1742">
        <v>0.443</v>
      </c>
      <c r="V6" s="1742">
        <v>4.7315000000000005</v>
      </c>
      <c r="W6" s="1742">
        <v>0.45299999999999996</v>
      </c>
      <c r="X6" s="1742">
        <v>0.45299999999999996</v>
      </c>
      <c r="Y6" s="1742">
        <v>4.2885</v>
      </c>
      <c r="Z6" s="2129">
        <v>0.10368610656565899</v>
      </c>
      <c r="AA6" s="2129">
        <v>0.11192041284735449</v>
      </c>
      <c r="AB6" s="2150">
        <v>0.21560651941301348</v>
      </c>
    </row>
    <row r="7" spans="1:28">
      <c r="B7" s="89">
        <v>23</v>
      </c>
      <c r="C7" s="1">
        <v>0.47599999999999998</v>
      </c>
      <c r="D7" s="1">
        <v>4.4649999999999999</v>
      </c>
      <c r="E7" s="1">
        <v>0.81599999999999995</v>
      </c>
      <c r="F7" s="1">
        <v>0.81599999999999995</v>
      </c>
      <c r="G7" s="1">
        <v>3.9889999999999999</v>
      </c>
      <c r="H7" s="747">
        <v>0.11932815241915266</v>
      </c>
      <c r="I7" s="747">
        <v>0.20456254700426171</v>
      </c>
      <c r="J7" s="2135">
        <v>0.32389069942341436</v>
      </c>
      <c r="K7" s="89">
        <v>23</v>
      </c>
      <c r="L7" s="1">
        <v>0.51600000000000001</v>
      </c>
      <c r="M7" s="1">
        <v>5.2779999999999996</v>
      </c>
      <c r="N7" s="1462">
        <v>0.20899999999999999</v>
      </c>
      <c r="O7" s="1">
        <v>0.20899999999999999</v>
      </c>
      <c r="P7" s="1">
        <v>4.7619999999999996</v>
      </c>
      <c r="Q7" s="747">
        <v>0.10835783284334315</v>
      </c>
      <c r="R7" s="747">
        <v>4.388912221755565E-2</v>
      </c>
      <c r="S7" s="2136">
        <v>0.1522469550608988</v>
      </c>
      <c r="T7" s="89">
        <v>23</v>
      </c>
      <c r="U7" s="746">
        <v>0.496</v>
      </c>
      <c r="V7" s="746">
        <v>4.8714999999999993</v>
      </c>
      <c r="W7" s="746">
        <v>0.51249999999999996</v>
      </c>
      <c r="X7" s="746">
        <v>0.51249999999999996</v>
      </c>
      <c r="Y7" s="746">
        <v>4.3754999999999997</v>
      </c>
      <c r="Z7" s="2124">
        <v>0.11384299263124791</v>
      </c>
      <c r="AA7" s="2124">
        <v>0.12422583461090868</v>
      </c>
      <c r="AB7" s="2151">
        <v>0.23806882724215658</v>
      </c>
    </row>
    <row r="8" spans="1:28">
      <c r="B8" s="2134">
        <v>24</v>
      </c>
      <c r="C8" s="2126">
        <v>0.52400000000000002</v>
      </c>
      <c r="D8" s="2126">
        <v>4.5979999999999999</v>
      </c>
      <c r="E8" s="2126">
        <v>0.90600000000000003</v>
      </c>
      <c r="F8" s="2126">
        <v>0.90600000000000003</v>
      </c>
      <c r="G8" s="2126">
        <v>4.0739999999999998</v>
      </c>
      <c r="H8" s="2127">
        <v>0.12862052037309771</v>
      </c>
      <c r="I8" s="2127">
        <v>0.22238586156111931</v>
      </c>
      <c r="J8" s="2135">
        <v>0.35100638193421702</v>
      </c>
      <c r="K8" s="2134">
        <v>24</v>
      </c>
      <c r="L8" s="2126">
        <v>0.56399999999999995</v>
      </c>
      <c r="M8" s="2126">
        <v>5.4329999999999998</v>
      </c>
      <c r="N8" s="2128">
        <v>0.22900000000000001</v>
      </c>
      <c r="O8" s="2126">
        <v>0.22900000000000001</v>
      </c>
      <c r="P8" s="2126">
        <v>4.8689999999999998</v>
      </c>
      <c r="Q8" s="2127">
        <v>0.11583487369069624</v>
      </c>
      <c r="R8" s="2127">
        <v>4.7032244814130215E-2</v>
      </c>
      <c r="S8" s="2135">
        <v>0.16286711850482646</v>
      </c>
      <c r="T8" s="2134">
        <v>24</v>
      </c>
      <c r="U8" s="1742">
        <v>0.54400000000000004</v>
      </c>
      <c r="V8" s="1742">
        <v>5.0154999999999994</v>
      </c>
      <c r="W8" s="1742">
        <v>0.5675</v>
      </c>
      <c r="X8" s="1742">
        <v>0.5675</v>
      </c>
      <c r="Y8" s="1742">
        <v>4.4714999999999998</v>
      </c>
      <c r="Z8" s="2129">
        <v>0.12222769703189698</v>
      </c>
      <c r="AA8" s="2129">
        <v>0.13470905318762477</v>
      </c>
      <c r="AB8" s="2150">
        <v>0.25693675021952173</v>
      </c>
    </row>
    <row r="9" spans="1:28">
      <c r="B9" s="89">
        <v>25</v>
      </c>
      <c r="C9" s="1">
        <v>0.56599999999999995</v>
      </c>
      <c r="D9" s="1">
        <v>4.7329999999999997</v>
      </c>
      <c r="E9" s="1">
        <v>0.99</v>
      </c>
      <c r="F9" s="1">
        <v>0.99</v>
      </c>
      <c r="G9" s="1">
        <v>4.1669999999999998</v>
      </c>
      <c r="H9" s="747">
        <v>0.13582913366930646</v>
      </c>
      <c r="I9" s="747">
        <v>0.23758099352051837</v>
      </c>
      <c r="J9" s="2135">
        <v>0.3734101271898248</v>
      </c>
      <c r="K9" s="89">
        <v>25</v>
      </c>
      <c r="L9" s="1">
        <v>0.61099999999999999</v>
      </c>
      <c r="M9" s="1">
        <v>5.5910000000000002</v>
      </c>
      <c r="N9" s="1462">
        <v>0.25</v>
      </c>
      <c r="O9" s="1">
        <v>0.25</v>
      </c>
      <c r="P9" s="1">
        <v>4.9800000000000004</v>
      </c>
      <c r="Q9" s="747">
        <v>0.12269076305220883</v>
      </c>
      <c r="R9" s="747">
        <v>5.0200803212851398E-2</v>
      </c>
      <c r="S9" s="2136">
        <v>0.17289156626506022</v>
      </c>
      <c r="T9" s="89">
        <v>25</v>
      </c>
      <c r="U9" s="746">
        <v>0.58850000000000002</v>
      </c>
      <c r="V9" s="746">
        <v>5.1619999999999999</v>
      </c>
      <c r="W9" s="746">
        <v>0.62</v>
      </c>
      <c r="X9" s="746">
        <v>0.62</v>
      </c>
      <c r="Y9" s="746">
        <v>4.5735000000000001</v>
      </c>
      <c r="Z9" s="2124">
        <v>0.12925994836075766</v>
      </c>
      <c r="AA9" s="2124">
        <v>0.14389089836668489</v>
      </c>
      <c r="AB9" s="2151">
        <v>0.2731508467274425</v>
      </c>
    </row>
    <row r="10" spans="1:28">
      <c r="B10" s="2134">
        <v>26</v>
      </c>
      <c r="C10" s="2126">
        <v>0.60499999999999998</v>
      </c>
      <c r="D10" s="2126">
        <v>4.87</v>
      </c>
      <c r="E10" s="2126">
        <v>1.069</v>
      </c>
      <c r="F10" s="2126">
        <v>1.069</v>
      </c>
      <c r="G10" s="2126">
        <v>4.2650000000000006</v>
      </c>
      <c r="H10" s="2127">
        <v>0.14185228604923797</v>
      </c>
      <c r="I10" s="2127">
        <v>0.2506447831184056</v>
      </c>
      <c r="J10" s="2135">
        <v>0.3924970691676436</v>
      </c>
      <c r="K10" s="2134">
        <v>26</v>
      </c>
      <c r="L10" s="2126">
        <v>0.65800000000000003</v>
      </c>
      <c r="M10" s="2126">
        <v>5.7519999999999998</v>
      </c>
      <c r="N10" s="2128">
        <v>0.27100000000000002</v>
      </c>
      <c r="O10" s="2126">
        <v>0.27100000000000002</v>
      </c>
      <c r="P10" s="2126">
        <v>5.0939999999999994</v>
      </c>
      <c r="Q10" s="2127">
        <v>0.1291715744012564</v>
      </c>
      <c r="R10" s="2127">
        <v>5.3199842952493137E-2</v>
      </c>
      <c r="S10" s="2135">
        <v>0.18237141735374954</v>
      </c>
      <c r="T10" s="2134">
        <v>26</v>
      </c>
      <c r="U10" s="1742">
        <v>0.63149999999999995</v>
      </c>
      <c r="V10" s="1742">
        <v>5.3109999999999999</v>
      </c>
      <c r="W10" s="1742">
        <v>0.66999999999999993</v>
      </c>
      <c r="X10" s="1742">
        <v>0.66999999999999993</v>
      </c>
      <c r="Y10" s="1742">
        <v>4.6795</v>
      </c>
      <c r="Z10" s="2129">
        <v>0.13551193022524718</v>
      </c>
      <c r="AA10" s="2129">
        <v>0.15192231303544937</v>
      </c>
      <c r="AB10" s="2150">
        <v>0.28743424326069655</v>
      </c>
    </row>
    <row r="11" spans="1:28">
      <c r="B11" s="89">
        <v>27</v>
      </c>
      <c r="C11" s="1">
        <v>0.64</v>
      </c>
      <c r="D11" s="1">
        <v>5.0110000000000001</v>
      </c>
      <c r="E11" s="1">
        <v>1.145</v>
      </c>
      <c r="F11" s="1">
        <v>1.145</v>
      </c>
      <c r="G11" s="1">
        <v>4.3710000000000004</v>
      </c>
      <c r="H11" s="747">
        <v>0.14641958361930907</v>
      </c>
      <c r="I11" s="747">
        <v>0.26195378631892013</v>
      </c>
      <c r="J11" s="2135">
        <v>0.4083733699382292</v>
      </c>
      <c r="K11" s="89">
        <v>27</v>
      </c>
      <c r="L11" s="1">
        <v>0.70399999999999996</v>
      </c>
      <c r="M11" s="1">
        <v>5.915</v>
      </c>
      <c r="N11" s="1462">
        <v>0.29099999999999998</v>
      </c>
      <c r="O11" s="1">
        <v>0.29099999999999998</v>
      </c>
      <c r="P11" s="1">
        <v>5.2110000000000003</v>
      </c>
      <c r="Q11" s="747">
        <v>0.13509882939934753</v>
      </c>
      <c r="R11" s="747">
        <v>5.5843408175014389E-2</v>
      </c>
      <c r="S11" s="2136">
        <v>0.19094223757436191</v>
      </c>
      <c r="T11" s="89">
        <v>27</v>
      </c>
      <c r="U11" s="746">
        <v>0.67199999999999993</v>
      </c>
      <c r="V11" s="746">
        <v>5.4630000000000001</v>
      </c>
      <c r="W11" s="746">
        <v>0.71799999999999997</v>
      </c>
      <c r="X11" s="746">
        <v>0.71799999999999997</v>
      </c>
      <c r="Y11" s="746">
        <v>4.7910000000000004</v>
      </c>
      <c r="Z11" s="2124">
        <v>0.1407592065093283</v>
      </c>
      <c r="AA11" s="2124">
        <v>0.15889859724696725</v>
      </c>
      <c r="AB11" s="2151">
        <v>0.29965780375629558</v>
      </c>
    </row>
    <row r="12" spans="1:28">
      <c r="B12" s="2134">
        <v>28</v>
      </c>
      <c r="C12" s="2126">
        <v>0.67400000000000004</v>
      </c>
      <c r="D12" s="2126">
        <v>5.1550000000000002</v>
      </c>
      <c r="E12" s="2126">
        <v>1.22</v>
      </c>
      <c r="F12" s="2126">
        <v>1.22</v>
      </c>
      <c r="G12" s="2126">
        <v>4.4809999999999999</v>
      </c>
      <c r="H12" s="2127">
        <v>0.15041285427359966</v>
      </c>
      <c r="I12" s="2127">
        <v>0.27226065610354833</v>
      </c>
      <c r="J12" s="2135">
        <v>0.42267351037714795</v>
      </c>
      <c r="K12" s="2134">
        <v>28</v>
      </c>
      <c r="L12" s="2126">
        <v>0.748</v>
      </c>
      <c r="M12" s="2126">
        <v>6.0819999999999999</v>
      </c>
      <c r="N12" s="2128">
        <v>0.311</v>
      </c>
      <c r="O12" s="2126">
        <v>0.311</v>
      </c>
      <c r="P12" s="2126">
        <v>5.3339999999999996</v>
      </c>
      <c r="Q12" s="2127">
        <v>0.14023247094113236</v>
      </c>
      <c r="R12" s="2127">
        <v>5.8305211848518938E-2</v>
      </c>
      <c r="S12" s="2135">
        <v>0.19853768278965131</v>
      </c>
      <c r="T12" s="2134">
        <v>28</v>
      </c>
      <c r="U12" s="1742">
        <v>0.71100000000000008</v>
      </c>
      <c r="V12" s="1742">
        <v>5.6185</v>
      </c>
      <c r="W12" s="1742">
        <v>0.76549999999999996</v>
      </c>
      <c r="X12" s="1742">
        <v>0.76549999999999996</v>
      </c>
      <c r="Y12" s="1742">
        <v>4.9074999999999998</v>
      </c>
      <c r="Z12" s="2129">
        <v>0.14532266260736601</v>
      </c>
      <c r="AA12" s="2129">
        <v>0.16528293397603364</v>
      </c>
      <c r="AB12" s="2150">
        <v>0.31060559658339965</v>
      </c>
    </row>
    <row r="13" spans="1:28">
      <c r="B13" s="89">
        <v>29</v>
      </c>
      <c r="C13" s="1">
        <v>0.70499999999999996</v>
      </c>
      <c r="D13" s="1">
        <v>5.3019999999999996</v>
      </c>
      <c r="E13" s="1">
        <v>1.294</v>
      </c>
      <c r="F13" s="1">
        <v>1.294</v>
      </c>
      <c r="G13" s="1">
        <v>4.5969999999999995</v>
      </c>
      <c r="H13" s="747">
        <v>0.15336088753534916</v>
      </c>
      <c r="I13" s="747">
        <v>0.28148792690885366</v>
      </c>
      <c r="J13" s="2135">
        <v>0.43484881444420281</v>
      </c>
      <c r="K13" s="89">
        <v>29</v>
      </c>
      <c r="L13" s="1">
        <v>0.79</v>
      </c>
      <c r="M13" s="1">
        <v>6.2519999999999998</v>
      </c>
      <c r="N13" s="1462">
        <v>0.33100000000000002</v>
      </c>
      <c r="O13" s="1">
        <v>0.33100000000000002</v>
      </c>
      <c r="P13" s="1">
        <v>5.4619999999999997</v>
      </c>
      <c r="Q13" s="747">
        <v>0.14463566459172467</v>
      </c>
      <c r="R13" s="747">
        <v>6.0600512632735269E-2</v>
      </c>
      <c r="S13" s="2136">
        <v>0.20523617722445994</v>
      </c>
      <c r="T13" s="89">
        <v>29</v>
      </c>
      <c r="U13" s="746">
        <v>0.74750000000000005</v>
      </c>
      <c r="V13" s="746">
        <v>5.7769999999999992</v>
      </c>
      <c r="W13" s="746">
        <v>0.8125</v>
      </c>
      <c r="X13" s="746">
        <v>0.8125</v>
      </c>
      <c r="Y13" s="746">
        <v>5.0294999999999996</v>
      </c>
      <c r="Z13" s="2124">
        <v>0.14899827606353691</v>
      </c>
      <c r="AA13" s="2124">
        <v>0.17104421977079445</v>
      </c>
      <c r="AB13" s="2151">
        <v>0.32004249583433136</v>
      </c>
    </row>
    <row r="14" spans="1:28">
      <c r="B14" s="2134">
        <v>30</v>
      </c>
      <c r="C14" s="2126">
        <v>0.73399999999999999</v>
      </c>
      <c r="D14" s="2126">
        <v>5.452</v>
      </c>
      <c r="E14" s="2126">
        <v>1.3660000000000001</v>
      </c>
      <c r="F14" s="2126">
        <v>1.3660000000000001</v>
      </c>
      <c r="G14" s="2126">
        <v>4.718</v>
      </c>
      <c r="H14" s="2127">
        <v>0.155574395930479</v>
      </c>
      <c r="I14" s="2127">
        <v>0.28952946163628657</v>
      </c>
      <c r="J14" s="2135">
        <v>0.44510385756676557</v>
      </c>
      <c r="K14" s="2134">
        <v>30</v>
      </c>
      <c r="L14" s="2126">
        <v>0.83</v>
      </c>
      <c r="M14" s="2126">
        <v>6.4240000000000004</v>
      </c>
      <c r="N14" s="2128">
        <v>0.35099999999999998</v>
      </c>
      <c r="O14" s="2126">
        <v>0.35099999999999998</v>
      </c>
      <c r="P14" s="2126">
        <v>5.5940000000000003</v>
      </c>
      <c r="Q14" s="2127">
        <v>0.14837325706113691</v>
      </c>
      <c r="R14" s="2127">
        <v>6.2745799070432595E-2</v>
      </c>
      <c r="S14" s="2135">
        <v>0.2111190561315695</v>
      </c>
      <c r="T14" s="2134">
        <v>30</v>
      </c>
      <c r="U14" s="1742">
        <v>0.78200000000000003</v>
      </c>
      <c r="V14" s="1742">
        <v>5.9380000000000006</v>
      </c>
      <c r="W14" s="1742">
        <v>0.85850000000000004</v>
      </c>
      <c r="X14" s="1742">
        <v>0.85850000000000004</v>
      </c>
      <c r="Y14" s="1742">
        <v>5.1560000000000006</v>
      </c>
      <c r="Z14" s="2129">
        <v>0.15197382649580796</v>
      </c>
      <c r="AA14" s="2129">
        <v>0.17613763035335958</v>
      </c>
      <c r="AB14" s="2150">
        <v>0.32811145684916754</v>
      </c>
    </row>
    <row r="15" spans="1:28">
      <c r="B15" s="89">
        <v>31</v>
      </c>
      <c r="C15" s="1">
        <v>0.76200000000000001</v>
      </c>
      <c r="D15" s="1">
        <v>5.6059999999999999</v>
      </c>
      <c r="E15" s="1">
        <v>1.4379999999999999</v>
      </c>
      <c r="F15" s="1">
        <v>1.4379999999999999</v>
      </c>
      <c r="G15" s="1">
        <v>4.8439999999999994</v>
      </c>
      <c r="H15" s="747">
        <v>0.15730800990916599</v>
      </c>
      <c r="I15" s="747">
        <v>0.29686209744013214</v>
      </c>
      <c r="J15" s="2135">
        <v>0.45417010734929814</v>
      </c>
      <c r="K15" s="89">
        <v>31</v>
      </c>
      <c r="L15" s="1">
        <v>0.86799999999999999</v>
      </c>
      <c r="M15" s="1">
        <v>6.6</v>
      </c>
      <c r="N15" s="1462">
        <v>0.37</v>
      </c>
      <c r="O15" s="1">
        <v>0.37</v>
      </c>
      <c r="P15" s="1">
        <v>5.7319999999999993</v>
      </c>
      <c r="Q15" s="747">
        <v>0.15143056524773205</v>
      </c>
      <c r="R15" s="747">
        <v>6.454989532449408E-2</v>
      </c>
      <c r="S15" s="2136">
        <v>0.21598046057222614</v>
      </c>
      <c r="T15" s="89">
        <v>31</v>
      </c>
      <c r="U15" s="746">
        <v>0.81499999999999995</v>
      </c>
      <c r="V15" s="746">
        <v>6.1029999999999998</v>
      </c>
      <c r="W15" s="746">
        <v>0.90399999999999991</v>
      </c>
      <c r="X15" s="746">
        <v>0.90399999999999991</v>
      </c>
      <c r="Y15" s="746">
        <v>5.2879999999999994</v>
      </c>
      <c r="Z15" s="2124">
        <v>0.15436928757844903</v>
      </c>
      <c r="AA15" s="2124">
        <v>0.18070599638231311</v>
      </c>
      <c r="AB15" s="2151">
        <v>0.33507528396076214</v>
      </c>
    </row>
    <row r="16" spans="1:28">
      <c r="B16" s="2134">
        <v>32</v>
      </c>
      <c r="C16" s="2126">
        <v>0.78900000000000003</v>
      </c>
      <c r="D16" s="2126">
        <v>5.7629999999999999</v>
      </c>
      <c r="E16" s="2126">
        <v>1.51</v>
      </c>
      <c r="F16" s="2126">
        <v>1.51</v>
      </c>
      <c r="G16" s="2126">
        <v>4.9740000000000002</v>
      </c>
      <c r="H16" s="2127">
        <v>0.15862484921592279</v>
      </c>
      <c r="I16" s="2127">
        <v>0.30357860876558102</v>
      </c>
      <c r="J16" s="2135">
        <v>0.46220345798150381</v>
      </c>
      <c r="K16" s="2134">
        <v>32</v>
      </c>
      <c r="L16" s="2126">
        <v>0.90400000000000003</v>
      </c>
      <c r="M16" s="2126">
        <v>6.7789999999999999</v>
      </c>
      <c r="N16" s="2128">
        <v>0.38800000000000001</v>
      </c>
      <c r="O16" s="2126">
        <v>0.38800000000000001</v>
      </c>
      <c r="P16" s="2126">
        <v>5.875</v>
      </c>
      <c r="Q16" s="2127">
        <v>0.15387234042553191</v>
      </c>
      <c r="R16" s="2127">
        <v>6.604255319148937E-2</v>
      </c>
      <c r="S16" s="2135">
        <v>0.21991489361702127</v>
      </c>
      <c r="T16" s="2134">
        <v>32</v>
      </c>
      <c r="U16" s="1742">
        <v>0.84650000000000003</v>
      </c>
      <c r="V16" s="1742">
        <v>6.2709999999999999</v>
      </c>
      <c r="W16" s="1742">
        <v>0.94900000000000007</v>
      </c>
      <c r="X16" s="1742">
        <v>0.94900000000000007</v>
      </c>
      <c r="Y16" s="1742">
        <v>5.4245000000000001</v>
      </c>
      <c r="Z16" s="2129">
        <v>0.15624859482072734</v>
      </c>
      <c r="AA16" s="2129">
        <v>0.1848105809785352</v>
      </c>
      <c r="AB16" s="2150">
        <v>0.34105917579926254</v>
      </c>
    </row>
    <row r="17" spans="2:28">
      <c r="B17" s="89">
        <v>33</v>
      </c>
      <c r="C17" s="1">
        <v>0.81399999999999995</v>
      </c>
      <c r="D17" s="1">
        <v>5.9249999999999998</v>
      </c>
      <c r="E17" s="1">
        <v>1.5820000000000001</v>
      </c>
      <c r="F17" s="1">
        <v>1.5820000000000001</v>
      </c>
      <c r="G17" s="1">
        <v>5.1109999999999998</v>
      </c>
      <c r="H17" s="747">
        <v>0.15926433183330072</v>
      </c>
      <c r="I17" s="747">
        <v>0.30952846801017414</v>
      </c>
      <c r="J17" s="2135">
        <v>0.46879279984347488</v>
      </c>
      <c r="K17" s="89">
        <v>33</v>
      </c>
      <c r="L17" s="1">
        <v>0.93700000000000006</v>
      </c>
      <c r="M17" s="1">
        <v>6.9610000000000003</v>
      </c>
      <c r="N17" s="1462">
        <v>0.40600000000000003</v>
      </c>
      <c r="O17" s="1">
        <v>0.40600000000000003</v>
      </c>
      <c r="P17" s="1">
        <v>6.024</v>
      </c>
      <c r="Q17" s="747">
        <v>0.15554448871181939</v>
      </c>
      <c r="R17" s="747">
        <v>6.7397078353253662E-2</v>
      </c>
      <c r="S17" s="2136">
        <v>0.22294156706507307</v>
      </c>
      <c r="T17" s="89">
        <v>33</v>
      </c>
      <c r="U17" s="746">
        <v>0.87549999999999994</v>
      </c>
      <c r="V17" s="746">
        <v>6.4429999999999996</v>
      </c>
      <c r="W17" s="746">
        <v>0.99399999999999999</v>
      </c>
      <c r="X17" s="746">
        <v>0.99399999999999999</v>
      </c>
      <c r="Y17" s="746">
        <v>5.5674999999999999</v>
      </c>
      <c r="Z17" s="2124">
        <v>0.15740441027256005</v>
      </c>
      <c r="AA17" s="2124">
        <v>0.18846277318171389</v>
      </c>
      <c r="AB17" s="2151">
        <v>0.34586718345427397</v>
      </c>
    </row>
    <row r="18" spans="2:28">
      <c r="B18" s="2134">
        <v>34</v>
      </c>
      <c r="C18" s="2126">
        <v>0.83799999999999997</v>
      </c>
      <c r="D18" s="2126">
        <v>6.09</v>
      </c>
      <c r="E18" s="2126">
        <v>1.655</v>
      </c>
      <c r="F18" s="2126">
        <v>1.655</v>
      </c>
      <c r="G18" s="2126">
        <v>5.2519999999999998</v>
      </c>
      <c r="H18" s="2127">
        <v>0.15955826351865957</v>
      </c>
      <c r="I18" s="2127">
        <v>0.31511805026656514</v>
      </c>
      <c r="J18" s="2135">
        <v>0.47467631378522468</v>
      </c>
      <c r="K18" s="2134">
        <v>34</v>
      </c>
      <c r="L18" s="2126">
        <v>0.96599999999999997</v>
      </c>
      <c r="M18" s="2126">
        <v>7.1470000000000002</v>
      </c>
      <c r="N18" s="2128">
        <v>0.42399999999999999</v>
      </c>
      <c r="O18" s="2126">
        <v>0.42399999999999999</v>
      </c>
      <c r="P18" s="2126">
        <v>6.181</v>
      </c>
      <c r="Q18" s="2127">
        <v>0.15628539071347677</v>
      </c>
      <c r="R18" s="2127">
        <v>6.8597314350428734E-2</v>
      </c>
      <c r="S18" s="2135">
        <v>0.22488270506390551</v>
      </c>
      <c r="T18" s="2134">
        <v>34</v>
      </c>
      <c r="U18" s="1742">
        <v>0.90199999999999991</v>
      </c>
      <c r="V18" s="1742">
        <v>6.6185</v>
      </c>
      <c r="W18" s="1742">
        <v>1.0395000000000001</v>
      </c>
      <c r="X18" s="1742">
        <v>1.0395000000000001</v>
      </c>
      <c r="Y18" s="1742">
        <v>5.7164999999999999</v>
      </c>
      <c r="Z18" s="2129">
        <v>0.15792182711606817</v>
      </c>
      <c r="AA18" s="2129">
        <v>0.19185768230849692</v>
      </c>
      <c r="AB18" s="2150">
        <v>0.34977950942456509</v>
      </c>
    </row>
    <row r="19" spans="2:28">
      <c r="B19" s="89">
        <v>35</v>
      </c>
      <c r="C19" s="1">
        <v>0.86</v>
      </c>
      <c r="D19" s="1">
        <v>6.258</v>
      </c>
      <c r="E19" s="1">
        <v>1.7270000000000001</v>
      </c>
      <c r="F19" s="1">
        <v>1.7270000000000001</v>
      </c>
      <c r="G19" s="1">
        <v>5.3979999999999997</v>
      </c>
      <c r="H19" s="747">
        <v>0.15931826602445351</v>
      </c>
      <c r="I19" s="747">
        <v>0.31993330863282698</v>
      </c>
      <c r="J19" s="2135">
        <v>0.47925157465728052</v>
      </c>
      <c r="K19" s="89">
        <v>35</v>
      </c>
      <c r="L19" s="1">
        <v>0.99199999999999999</v>
      </c>
      <c r="M19" s="1">
        <v>7.335</v>
      </c>
      <c r="N19" s="1462">
        <v>0.441</v>
      </c>
      <c r="O19" s="1">
        <v>0.441</v>
      </c>
      <c r="P19" s="1">
        <v>6.343</v>
      </c>
      <c r="Q19" s="747">
        <v>0.15639287403436861</v>
      </c>
      <c r="R19" s="747">
        <v>6.9525461138262648E-2</v>
      </c>
      <c r="S19" s="2136">
        <v>0.22591833517263127</v>
      </c>
      <c r="T19" s="89">
        <v>35</v>
      </c>
      <c r="U19" s="746">
        <v>0.92599999999999993</v>
      </c>
      <c r="V19" s="746">
        <v>6.7965</v>
      </c>
      <c r="W19" s="746">
        <v>1.0840000000000001</v>
      </c>
      <c r="X19" s="746">
        <v>1.0840000000000001</v>
      </c>
      <c r="Y19" s="746">
        <v>5.8704999999999998</v>
      </c>
      <c r="Z19" s="2124">
        <v>0.15785557002941106</v>
      </c>
      <c r="AA19" s="2124">
        <v>0.19472938488554481</v>
      </c>
      <c r="AB19" s="2151">
        <v>0.35258495491495589</v>
      </c>
    </row>
    <row r="20" spans="2:28">
      <c r="B20" s="2134">
        <v>36</v>
      </c>
      <c r="C20" s="2126">
        <v>0.879</v>
      </c>
      <c r="D20" s="2126">
        <v>6.4290000000000003</v>
      </c>
      <c r="E20" s="2126">
        <v>1.8</v>
      </c>
      <c r="F20" s="2126">
        <v>1.8</v>
      </c>
      <c r="G20" s="2126">
        <v>5.5500000000000007</v>
      </c>
      <c r="H20" s="2127">
        <v>0.15837837837837837</v>
      </c>
      <c r="I20" s="2127">
        <v>0.32432432432432429</v>
      </c>
      <c r="J20" s="2135">
        <v>0.48270270270270266</v>
      </c>
      <c r="K20" s="2134">
        <v>36</v>
      </c>
      <c r="L20" s="2126">
        <v>1.0129999999999999</v>
      </c>
      <c r="M20" s="2126">
        <v>7.524</v>
      </c>
      <c r="N20" s="2128">
        <v>0.45700000000000002</v>
      </c>
      <c r="O20" s="2126">
        <v>0.45700000000000002</v>
      </c>
      <c r="P20" s="2126">
        <v>6.5110000000000001</v>
      </c>
      <c r="Q20" s="2127">
        <v>0.15558285977576408</v>
      </c>
      <c r="R20" s="2127">
        <v>7.0188911073567811E-2</v>
      </c>
      <c r="S20" s="2135">
        <v>0.22577177084933189</v>
      </c>
      <c r="T20" s="2134">
        <v>36</v>
      </c>
      <c r="U20" s="1742">
        <v>0.94599999999999995</v>
      </c>
      <c r="V20" s="1742">
        <v>6.9764999999999997</v>
      </c>
      <c r="W20" s="1742">
        <v>1.1285000000000001</v>
      </c>
      <c r="X20" s="1742">
        <v>1.1285000000000001</v>
      </c>
      <c r="Y20" s="1742">
        <v>6.0305</v>
      </c>
      <c r="Z20" s="2129">
        <v>0.15698061907707123</v>
      </c>
      <c r="AA20" s="2129">
        <v>0.19725661769894604</v>
      </c>
      <c r="AB20" s="2150">
        <v>0.35423723677601726</v>
      </c>
    </row>
    <row r="21" spans="2:28">
      <c r="B21" s="89">
        <v>37</v>
      </c>
      <c r="C21" s="1">
        <v>0.89300000000000002</v>
      </c>
      <c r="D21" s="1">
        <v>6.601</v>
      </c>
      <c r="E21" s="1">
        <v>1.8720000000000001</v>
      </c>
      <c r="F21" s="1">
        <v>1.8720000000000001</v>
      </c>
      <c r="G21" s="1">
        <v>5.7080000000000002</v>
      </c>
      <c r="H21" s="747">
        <v>0.15644709180098107</v>
      </c>
      <c r="I21" s="747">
        <v>0.3279607568325158</v>
      </c>
      <c r="J21" s="2135">
        <v>0.48440784863349684</v>
      </c>
      <c r="K21" s="89">
        <v>37</v>
      </c>
      <c r="L21" s="1">
        <v>1.028</v>
      </c>
      <c r="M21" s="1">
        <v>7.7160000000000002</v>
      </c>
      <c r="N21" s="1462">
        <v>0.47299999999999998</v>
      </c>
      <c r="O21" s="1">
        <v>0.47299999999999998</v>
      </c>
      <c r="P21" s="1">
        <v>6.6880000000000006</v>
      </c>
      <c r="Q21" s="747">
        <v>0.15370813397129185</v>
      </c>
      <c r="R21" s="747">
        <v>7.07236842105263E-2</v>
      </c>
      <c r="S21" s="2136">
        <v>0.22443181818181815</v>
      </c>
      <c r="T21" s="89">
        <v>37</v>
      </c>
      <c r="U21" s="746">
        <v>0.96050000000000002</v>
      </c>
      <c r="V21" s="746">
        <v>7.1585000000000001</v>
      </c>
      <c r="W21" s="746">
        <v>1.1725000000000001</v>
      </c>
      <c r="X21" s="746">
        <v>1.1725000000000001</v>
      </c>
      <c r="Y21" s="746">
        <v>6.1980000000000004</v>
      </c>
      <c r="Z21" s="2124">
        <v>0.15507761288613647</v>
      </c>
      <c r="AA21" s="2124">
        <v>0.19934222052152106</v>
      </c>
      <c r="AB21" s="2151">
        <v>0.35441983340765748</v>
      </c>
    </row>
    <row r="22" spans="2:28">
      <c r="B22" s="2134">
        <v>38</v>
      </c>
      <c r="C22" s="2126">
        <v>0.90100000000000002</v>
      </c>
      <c r="D22" s="2126">
        <v>6.774</v>
      </c>
      <c r="E22" s="2126">
        <v>1.944</v>
      </c>
      <c r="F22" s="2126">
        <v>1.944</v>
      </c>
      <c r="G22" s="2126">
        <v>5.8730000000000002</v>
      </c>
      <c r="H22" s="2127">
        <v>0.15341392814575175</v>
      </c>
      <c r="I22" s="2127">
        <v>0.33100630001702708</v>
      </c>
      <c r="J22" s="2135">
        <v>0.48442022816277885</v>
      </c>
      <c r="K22" s="2134">
        <v>38</v>
      </c>
      <c r="L22" s="2126">
        <v>1.0369999999999999</v>
      </c>
      <c r="M22" s="2126">
        <v>7.9080000000000004</v>
      </c>
      <c r="N22" s="2128">
        <v>0.48699999999999999</v>
      </c>
      <c r="O22" s="2126">
        <v>0.48699999999999999</v>
      </c>
      <c r="P22" s="2126">
        <v>6.8710000000000004</v>
      </c>
      <c r="Q22" s="2127">
        <v>0.15092417406491046</v>
      </c>
      <c r="R22" s="2127">
        <v>7.0877601513607905E-2</v>
      </c>
      <c r="S22" s="2135">
        <v>0.22180177557851838</v>
      </c>
      <c r="T22" s="2134">
        <v>38</v>
      </c>
      <c r="U22" s="1742">
        <v>0.96899999999999997</v>
      </c>
      <c r="V22" s="1742">
        <v>7.3410000000000002</v>
      </c>
      <c r="W22" s="1742">
        <v>1.2155</v>
      </c>
      <c r="X22" s="1742">
        <v>1.2155</v>
      </c>
      <c r="Y22" s="1742">
        <v>6.3719999999999999</v>
      </c>
      <c r="Z22" s="2129">
        <v>0.1521690511053311</v>
      </c>
      <c r="AA22" s="2129">
        <v>0.20094195076531748</v>
      </c>
      <c r="AB22" s="2150">
        <v>0.35311100187064859</v>
      </c>
    </row>
    <row r="23" spans="2:28">
      <c r="B23" s="89">
        <v>39</v>
      </c>
      <c r="C23" s="1">
        <v>0.90400000000000003</v>
      </c>
      <c r="D23" s="1">
        <v>6.9489999999999998</v>
      </c>
      <c r="E23" s="1">
        <v>2.016</v>
      </c>
      <c r="F23" s="1">
        <v>2.016</v>
      </c>
      <c r="G23" s="1">
        <v>6.0449999999999999</v>
      </c>
      <c r="H23" s="747">
        <v>0.14954507857733665</v>
      </c>
      <c r="I23" s="747">
        <v>0.33349875930521095</v>
      </c>
      <c r="J23" s="2135">
        <v>0.48304383788254757</v>
      </c>
      <c r="K23" s="89">
        <v>39</v>
      </c>
      <c r="L23" s="1">
        <v>1.0389999999999999</v>
      </c>
      <c r="M23" s="1">
        <v>8.1020000000000003</v>
      </c>
      <c r="N23" s="1462">
        <v>0.501</v>
      </c>
      <c r="O23" s="1">
        <v>0.501</v>
      </c>
      <c r="P23" s="1">
        <v>7.0630000000000006</v>
      </c>
      <c r="Q23" s="747">
        <v>0.14710462976072489</v>
      </c>
      <c r="R23" s="747">
        <v>7.0933031289820189E-2</v>
      </c>
      <c r="S23" s="2136">
        <v>0.21803766105054506</v>
      </c>
      <c r="T23" s="89">
        <v>39</v>
      </c>
      <c r="U23" s="746">
        <v>0.97150000000000003</v>
      </c>
      <c r="V23" s="746">
        <v>7.5255000000000001</v>
      </c>
      <c r="W23" s="746">
        <v>1.2585</v>
      </c>
      <c r="X23" s="746">
        <v>1.2585</v>
      </c>
      <c r="Y23" s="746">
        <v>6.5540000000000003</v>
      </c>
      <c r="Z23" s="2124">
        <v>0.14832485416903077</v>
      </c>
      <c r="AA23" s="2124">
        <v>0.20221589529751557</v>
      </c>
      <c r="AB23" s="2151">
        <v>0.35054074946654634</v>
      </c>
    </row>
    <row r="24" spans="2:28">
      <c r="B24" s="2134">
        <v>40</v>
      </c>
      <c r="C24" s="2126">
        <v>0.90300000000000002</v>
      </c>
      <c r="D24" s="2126">
        <v>7.1269999999999998</v>
      </c>
      <c r="E24" s="2126">
        <v>2.089</v>
      </c>
      <c r="F24" s="2126">
        <v>2.089</v>
      </c>
      <c r="G24" s="2126">
        <v>6.2240000000000002</v>
      </c>
      <c r="H24" s="2127">
        <v>0.14508354755784061</v>
      </c>
      <c r="I24" s="2127">
        <v>0.3356362467866324</v>
      </c>
      <c r="J24" s="2135">
        <v>0.48071979434447298</v>
      </c>
      <c r="K24" s="2134">
        <v>40</v>
      </c>
      <c r="L24" s="2126">
        <v>1.0349999999999999</v>
      </c>
      <c r="M24" s="2126">
        <v>8.2989999999999995</v>
      </c>
      <c r="N24" s="2128">
        <v>0.51500000000000001</v>
      </c>
      <c r="O24" s="2126">
        <v>0.51500000000000001</v>
      </c>
      <c r="P24" s="2126">
        <v>7.2639999999999993</v>
      </c>
      <c r="Q24" s="2127">
        <v>0.14248348017621146</v>
      </c>
      <c r="R24" s="2127">
        <v>7.0897577092511016E-2</v>
      </c>
      <c r="S24" s="2135">
        <v>0.21338105726872247</v>
      </c>
      <c r="T24" s="2134">
        <v>40</v>
      </c>
      <c r="U24" s="1742">
        <v>0.96899999999999997</v>
      </c>
      <c r="V24" s="1742">
        <v>7.7129999999999992</v>
      </c>
      <c r="W24" s="1742">
        <v>1.302</v>
      </c>
      <c r="X24" s="1742">
        <v>1.302</v>
      </c>
      <c r="Y24" s="1742">
        <v>6.7439999999999998</v>
      </c>
      <c r="Z24" s="2129">
        <v>0.14378351386702604</v>
      </c>
      <c r="AA24" s="2129">
        <v>0.20326691193957169</v>
      </c>
      <c r="AB24" s="2150">
        <v>0.34705042580659773</v>
      </c>
    </row>
    <row r="25" spans="2:28">
      <c r="B25" s="89">
        <v>41</v>
      </c>
      <c r="C25" s="1">
        <v>0.89900000000000002</v>
      </c>
      <c r="D25" s="1">
        <v>7.31</v>
      </c>
      <c r="E25" s="1">
        <v>2.1629999999999998</v>
      </c>
      <c r="F25" s="1">
        <v>2.1629999999999998</v>
      </c>
      <c r="G25" s="1">
        <v>6.4109999999999996</v>
      </c>
      <c r="H25" s="747">
        <v>0.14022773358290438</v>
      </c>
      <c r="I25" s="747">
        <v>0.33738886289190451</v>
      </c>
      <c r="J25" s="2135">
        <v>0.47761659647480892</v>
      </c>
      <c r="K25" s="89">
        <v>41</v>
      </c>
      <c r="L25" s="1">
        <v>1.028</v>
      </c>
      <c r="M25" s="1">
        <v>8.4990000000000006</v>
      </c>
      <c r="N25" s="1462">
        <v>0.52700000000000002</v>
      </c>
      <c r="O25" s="1">
        <v>0.52700000000000002</v>
      </c>
      <c r="P25" s="1">
        <v>7.4710000000000001</v>
      </c>
      <c r="Q25" s="747">
        <v>0.13759871503145496</v>
      </c>
      <c r="R25" s="747">
        <v>7.0539419087136929E-2</v>
      </c>
      <c r="S25" s="2136">
        <v>0.20813813411859189</v>
      </c>
      <c r="T25" s="89">
        <v>41</v>
      </c>
      <c r="U25" s="746">
        <v>0.96350000000000002</v>
      </c>
      <c r="V25" s="746">
        <v>7.9045000000000005</v>
      </c>
      <c r="W25" s="746">
        <v>1.345</v>
      </c>
      <c r="X25" s="746">
        <v>1.345</v>
      </c>
      <c r="Y25" s="746">
        <v>6.9409999999999998</v>
      </c>
      <c r="Z25" s="2124">
        <v>0.13891322430717967</v>
      </c>
      <c r="AA25" s="2124">
        <v>0.2039641409895207</v>
      </c>
      <c r="AB25" s="2151">
        <v>0.34287736529670043</v>
      </c>
    </row>
    <row r="26" spans="2:28">
      <c r="B26" s="2134">
        <v>42</v>
      </c>
      <c r="C26" s="2126">
        <v>0.89500000000000002</v>
      </c>
      <c r="D26" s="2126">
        <v>7.4980000000000002</v>
      </c>
      <c r="E26" s="2126">
        <v>2.238</v>
      </c>
      <c r="F26" s="2126">
        <v>2.238</v>
      </c>
      <c r="G26" s="2126">
        <v>6.6029999999999998</v>
      </c>
      <c r="H26" s="2127">
        <v>0.13554444949265487</v>
      </c>
      <c r="I26" s="2127">
        <v>0.33893684688777831</v>
      </c>
      <c r="J26" s="2135">
        <v>0.47448129638043318</v>
      </c>
      <c r="K26" s="2134">
        <v>42</v>
      </c>
      <c r="L26" s="2126">
        <v>1.0169999999999999</v>
      </c>
      <c r="M26" s="2126">
        <v>8.7040000000000006</v>
      </c>
      <c r="N26" s="2128">
        <v>0.54</v>
      </c>
      <c r="O26" s="2126">
        <v>0.54</v>
      </c>
      <c r="P26" s="2126">
        <v>7.6870000000000012</v>
      </c>
      <c r="Q26" s="2127">
        <v>0.13230128788864312</v>
      </c>
      <c r="R26" s="2127">
        <v>7.024847144529725E-2</v>
      </c>
      <c r="S26" s="2135">
        <v>0.20254975933394037</v>
      </c>
      <c r="T26" s="2134">
        <v>42</v>
      </c>
      <c r="U26" s="1742">
        <v>0.95599999999999996</v>
      </c>
      <c r="V26" s="1742">
        <v>8.1010000000000009</v>
      </c>
      <c r="W26" s="1742">
        <v>1.389</v>
      </c>
      <c r="X26" s="1742">
        <v>1.389</v>
      </c>
      <c r="Y26" s="1742">
        <v>7.1450000000000005</v>
      </c>
      <c r="Z26" s="2129">
        <v>0.13392286869064901</v>
      </c>
      <c r="AA26" s="2129">
        <v>0.20459265916653779</v>
      </c>
      <c r="AB26" s="2150">
        <v>0.33851552785718675</v>
      </c>
    </row>
    <row r="27" spans="2:28">
      <c r="B27" s="89">
        <v>43</v>
      </c>
      <c r="C27" s="1">
        <v>0.89</v>
      </c>
      <c r="D27" s="1">
        <v>7.694</v>
      </c>
      <c r="E27" s="1">
        <v>2.3130000000000002</v>
      </c>
      <c r="F27" s="1">
        <v>2.3130000000000002</v>
      </c>
      <c r="G27" s="1">
        <v>6.8040000000000003</v>
      </c>
      <c r="H27" s="747">
        <v>0.13080540858318634</v>
      </c>
      <c r="I27" s="747">
        <v>0.33994708994708994</v>
      </c>
      <c r="J27" s="2135">
        <v>0.47075249853027629</v>
      </c>
      <c r="K27" s="89">
        <v>43</v>
      </c>
      <c r="L27" s="1">
        <v>1.0029999999999999</v>
      </c>
      <c r="M27" s="1">
        <v>8.9149999999999991</v>
      </c>
      <c r="N27" s="1462">
        <v>0.55200000000000005</v>
      </c>
      <c r="O27" s="1">
        <v>0.55200000000000005</v>
      </c>
      <c r="P27" s="1">
        <v>7.911999999999999</v>
      </c>
      <c r="Q27" s="747">
        <v>0.12676946410515672</v>
      </c>
      <c r="R27" s="747">
        <v>6.9767441860465129E-2</v>
      </c>
      <c r="S27" s="2136">
        <v>0.19653690596562184</v>
      </c>
      <c r="T27" s="89">
        <v>43</v>
      </c>
      <c r="U27" s="746">
        <v>0.9464999999999999</v>
      </c>
      <c r="V27" s="746">
        <v>8.3044999999999991</v>
      </c>
      <c r="W27" s="746">
        <v>1.4325000000000001</v>
      </c>
      <c r="X27" s="746">
        <v>1.4325000000000001</v>
      </c>
      <c r="Y27" s="746">
        <v>7.3579999999999997</v>
      </c>
      <c r="Z27" s="2124">
        <v>0.12878743634417153</v>
      </c>
      <c r="AA27" s="2124">
        <v>0.20485726590377754</v>
      </c>
      <c r="AB27" s="2151">
        <v>0.33364470224794907</v>
      </c>
    </row>
    <row r="28" spans="2:28">
      <c r="B28" s="2134">
        <v>44</v>
      </c>
      <c r="C28" s="2126">
        <v>0.88500000000000001</v>
      </c>
      <c r="D28" s="2126">
        <v>7.8970000000000002</v>
      </c>
      <c r="E28" s="2126">
        <v>2.39</v>
      </c>
      <c r="F28" s="2126">
        <v>2.39</v>
      </c>
      <c r="G28" s="2126">
        <v>7.0120000000000005</v>
      </c>
      <c r="H28" s="2127">
        <v>0.12621220764403879</v>
      </c>
      <c r="I28" s="2127">
        <v>0.34084426697090703</v>
      </c>
      <c r="J28" s="2135">
        <v>0.46705647461494582</v>
      </c>
      <c r="K28" s="2134">
        <v>44</v>
      </c>
      <c r="L28" s="2126">
        <v>0.98799999999999999</v>
      </c>
      <c r="M28" s="2126">
        <v>9.1329999999999991</v>
      </c>
      <c r="N28" s="2128">
        <v>0.56399999999999995</v>
      </c>
      <c r="O28" s="2126">
        <v>0.56399999999999995</v>
      </c>
      <c r="P28" s="2126">
        <v>8.1449999999999996</v>
      </c>
      <c r="Q28" s="2127">
        <v>0.12130141190914671</v>
      </c>
      <c r="R28" s="2127">
        <v>6.9244935543278083E-2</v>
      </c>
      <c r="S28" s="2135">
        <v>0.1905463474524248</v>
      </c>
      <c r="T28" s="2134">
        <v>44</v>
      </c>
      <c r="U28" s="1742">
        <v>0.9365</v>
      </c>
      <c r="V28" s="1742">
        <v>8.5150000000000006</v>
      </c>
      <c r="W28" s="1742">
        <v>1.4770000000000001</v>
      </c>
      <c r="X28" s="1742">
        <v>1.4770000000000001</v>
      </c>
      <c r="Y28" s="1742">
        <v>7.5785</v>
      </c>
      <c r="Z28" s="2129">
        <v>0.12375680977659276</v>
      </c>
      <c r="AA28" s="2129">
        <v>0.20504460125709256</v>
      </c>
      <c r="AB28" s="2150">
        <v>0.32880141103368532</v>
      </c>
    </row>
    <row r="29" spans="2:28">
      <c r="B29" s="89">
        <v>45</v>
      </c>
      <c r="C29" s="1">
        <v>0.878</v>
      </c>
      <c r="D29" s="1">
        <v>8.1059999999999999</v>
      </c>
      <c r="E29" s="1">
        <v>2.4660000000000002</v>
      </c>
      <c r="F29" s="1">
        <v>2.4660000000000002</v>
      </c>
      <c r="G29" s="1">
        <v>7.2279999999999998</v>
      </c>
      <c r="H29" s="747">
        <v>0.12147205312672939</v>
      </c>
      <c r="I29" s="747">
        <v>0.34117321527393474</v>
      </c>
      <c r="J29" s="2135">
        <v>0.46264526840066411</v>
      </c>
      <c r="K29" s="89">
        <v>45</v>
      </c>
      <c r="L29" s="1">
        <v>0.97</v>
      </c>
      <c r="M29" s="1">
        <v>9.3569999999999993</v>
      </c>
      <c r="N29" s="1462">
        <v>0.57599999999999996</v>
      </c>
      <c r="O29" s="1">
        <v>0.57599999999999996</v>
      </c>
      <c r="P29" s="1">
        <v>8.3869999999999987</v>
      </c>
      <c r="Q29" s="747">
        <v>0.11565518063669968</v>
      </c>
      <c r="R29" s="747">
        <v>6.8677715512102069E-2</v>
      </c>
      <c r="S29" s="2136">
        <v>0.18433289614880174</v>
      </c>
      <c r="T29" s="89">
        <v>45</v>
      </c>
      <c r="U29" s="746">
        <v>0.92399999999999993</v>
      </c>
      <c r="V29" s="746">
        <v>8.7315000000000005</v>
      </c>
      <c r="W29" s="746">
        <v>1.5210000000000001</v>
      </c>
      <c r="X29" s="746">
        <v>1.5210000000000001</v>
      </c>
      <c r="Y29" s="746">
        <v>7.8074999999999992</v>
      </c>
      <c r="Z29" s="2124">
        <v>0.11856361688171453</v>
      </c>
      <c r="AA29" s="2124">
        <v>0.2049254653930184</v>
      </c>
      <c r="AB29" s="2151">
        <v>0.32348908227473294</v>
      </c>
    </row>
    <row r="30" spans="2:28">
      <c r="B30" s="2134">
        <v>46</v>
      </c>
      <c r="C30" s="2126">
        <v>0.86899999999999999</v>
      </c>
      <c r="D30" s="2126">
        <v>8.3230000000000004</v>
      </c>
      <c r="E30" s="2126">
        <v>2.5430000000000001</v>
      </c>
      <c r="F30" s="2126">
        <v>2.5430000000000001</v>
      </c>
      <c r="G30" s="2126">
        <v>7.4540000000000006</v>
      </c>
      <c r="H30" s="2127">
        <v>0.11658170110008048</v>
      </c>
      <c r="I30" s="2127">
        <v>0.34115910920311243</v>
      </c>
      <c r="J30" s="2135">
        <v>0.45774081030319291</v>
      </c>
      <c r="K30" s="2134">
        <v>46</v>
      </c>
      <c r="L30" s="2126">
        <v>0.95</v>
      </c>
      <c r="M30" s="2126">
        <v>9.5879999999999992</v>
      </c>
      <c r="N30" s="2128">
        <v>0.58699999999999997</v>
      </c>
      <c r="O30" s="2126">
        <v>0.58699999999999997</v>
      </c>
      <c r="P30" s="2126">
        <v>8.6379999999999999</v>
      </c>
      <c r="Q30" s="2127">
        <v>0.10997916184301922</v>
      </c>
      <c r="R30" s="2127">
        <v>6.7955545265107664E-2</v>
      </c>
      <c r="S30" s="2135">
        <v>0.17793470710812687</v>
      </c>
      <c r="T30" s="2134">
        <v>46</v>
      </c>
      <c r="U30" s="1742">
        <v>0.90949999999999998</v>
      </c>
      <c r="V30" s="1742">
        <v>8.9555000000000007</v>
      </c>
      <c r="W30" s="1742">
        <v>1.5649999999999999</v>
      </c>
      <c r="X30" s="1742">
        <v>1.5649999999999999</v>
      </c>
      <c r="Y30" s="1742">
        <v>8.0459999999999994</v>
      </c>
      <c r="Z30" s="2129">
        <v>0.11328043147154984</v>
      </c>
      <c r="AA30" s="2129">
        <v>0.20455732723411005</v>
      </c>
      <c r="AB30" s="2150">
        <v>0.31783775870565989</v>
      </c>
    </row>
    <row r="31" spans="2:28">
      <c r="B31" s="89">
        <v>47</v>
      </c>
      <c r="C31" s="1">
        <v>0.85799999999999998</v>
      </c>
      <c r="D31" s="1">
        <v>8.5459999999999994</v>
      </c>
      <c r="E31" s="1">
        <v>2.6179999999999999</v>
      </c>
      <c r="F31" s="1">
        <v>2.6179999999999999</v>
      </c>
      <c r="G31" s="1">
        <v>7.6879999999999997</v>
      </c>
      <c r="H31" s="747">
        <v>0.11160249739854318</v>
      </c>
      <c r="I31" s="747">
        <v>0.34053069719042661</v>
      </c>
      <c r="J31" s="2135">
        <v>0.45213319458896978</v>
      </c>
      <c r="K31" s="89">
        <v>47</v>
      </c>
      <c r="L31" s="1">
        <v>0.92600000000000005</v>
      </c>
      <c r="M31" s="1">
        <v>9.8249999999999993</v>
      </c>
      <c r="N31" s="1462">
        <v>0.59799999999999998</v>
      </c>
      <c r="O31" s="1">
        <v>0.59799999999999998</v>
      </c>
      <c r="P31" s="1">
        <v>8.8989999999999991</v>
      </c>
      <c r="Q31" s="747">
        <v>0.10405663557703114</v>
      </c>
      <c r="R31" s="747">
        <v>6.7198561636138895E-2</v>
      </c>
      <c r="S31" s="2136">
        <v>0.17125519721317004</v>
      </c>
      <c r="T31" s="89">
        <v>47</v>
      </c>
      <c r="U31" s="746">
        <v>0.89200000000000002</v>
      </c>
      <c r="V31" s="746">
        <v>9.1854999999999993</v>
      </c>
      <c r="W31" s="746">
        <v>1.6079999999999999</v>
      </c>
      <c r="X31" s="746">
        <v>1.6079999999999999</v>
      </c>
      <c r="Y31" s="746">
        <v>8.2934999999999999</v>
      </c>
      <c r="Z31" s="2124">
        <v>0.10782956648778716</v>
      </c>
      <c r="AA31" s="2124">
        <v>0.20386462941328276</v>
      </c>
      <c r="AB31" s="2151">
        <v>0.31169419590106989</v>
      </c>
    </row>
    <row r="32" spans="2:28">
      <c r="B32" s="2134">
        <v>48</v>
      </c>
      <c r="C32" s="2126">
        <v>0.84299999999999997</v>
      </c>
      <c r="D32" s="2126">
        <v>8.7750000000000004</v>
      </c>
      <c r="E32" s="2126">
        <v>2.6920000000000002</v>
      </c>
      <c r="F32" s="2126">
        <v>2.6920000000000002</v>
      </c>
      <c r="G32" s="2126">
        <v>7.9320000000000004</v>
      </c>
      <c r="H32" s="2127">
        <v>0.10627836611195159</v>
      </c>
      <c r="I32" s="2127">
        <v>0.3393847705496722</v>
      </c>
      <c r="J32" s="2135">
        <v>0.44566313666162377</v>
      </c>
      <c r="K32" s="2134">
        <v>48</v>
      </c>
      <c r="L32" s="2126">
        <v>0.9</v>
      </c>
      <c r="M32" s="2126">
        <v>10.07</v>
      </c>
      <c r="N32" s="2128">
        <v>0.60799999999999998</v>
      </c>
      <c r="O32" s="2126">
        <v>0.60799999999999998</v>
      </c>
      <c r="P32" s="2126">
        <v>9.17</v>
      </c>
      <c r="Q32" s="2127">
        <v>9.8146128680479824E-2</v>
      </c>
      <c r="R32" s="2127">
        <v>6.6303162486368597E-2</v>
      </c>
      <c r="S32" s="2135">
        <v>0.16444929116684842</v>
      </c>
      <c r="T32" s="2134">
        <v>48</v>
      </c>
      <c r="U32" s="1742">
        <v>0.87149999999999994</v>
      </c>
      <c r="V32" s="1742">
        <v>9.4224999999999994</v>
      </c>
      <c r="W32" s="1742">
        <v>1.6500000000000001</v>
      </c>
      <c r="X32" s="1742">
        <v>1.6500000000000001</v>
      </c>
      <c r="Y32" s="1742">
        <v>8.5510000000000002</v>
      </c>
      <c r="Z32" s="2129">
        <v>0.10221224739621571</v>
      </c>
      <c r="AA32" s="2129">
        <v>0.20284396651802039</v>
      </c>
      <c r="AB32" s="2150">
        <v>0.3050562139142361</v>
      </c>
    </row>
    <row r="33" spans="2:28">
      <c r="B33" s="89">
        <v>49</v>
      </c>
      <c r="C33" s="1">
        <v>0.82299999999999995</v>
      </c>
      <c r="D33" s="1">
        <v>9.0109999999999992</v>
      </c>
      <c r="E33" s="1">
        <v>2.7650000000000001</v>
      </c>
      <c r="F33" s="1">
        <v>2.7650000000000001</v>
      </c>
      <c r="G33" s="1">
        <v>8.1879999999999988</v>
      </c>
      <c r="H33" s="747">
        <v>0.10051294577430386</v>
      </c>
      <c r="I33" s="747">
        <v>0.33768930141670744</v>
      </c>
      <c r="J33" s="2135">
        <v>0.43820224719101131</v>
      </c>
      <c r="K33" s="89">
        <v>49</v>
      </c>
      <c r="L33" s="1">
        <v>0.86899999999999999</v>
      </c>
      <c r="M33" s="1">
        <v>10.32</v>
      </c>
      <c r="N33" s="1462">
        <v>0.61599999999999999</v>
      </c>
      <c r="O33" s="1">
        <v>0.61599999999999999</v>
      </c>
      <c r="P33" s="1">
        <v>9.4510000000000005</v>
      </c>
      <c r="Q33" s="747">
        <v>9.1947942016717799E-2</v>
      </c>
      <c r="R33" s="747">
        <v>6.5178288011850591E-2</v>
      </c>
      <c r="S33" s="2136">
        <v>0.1571262300285684</v>
      </c>
      <c r="T33" s="89">
        <v>49</v>
      </c>
      <c r="U33" s="746">
        <v>0.84599999999999997</v>
      </c>
      <c r="V33" s="746">
        <v>9.6654999999999998</v>
      </c>
      <c r="W33" s="746">
        <v>1.6905000000000001</v>
      </c>
      <c r="X33" s="746">
        <v>1.6905000000000001</v>
      </c>
      <c r="Y33" s="746">
        <v>8.8194999999999997</v>
      </c>
      <c r="Z33" s="2124">
        <v>9.6230443895510831E-2</v>
      </c>
      <c r="AA33" s="2124">
        <v>0.20143379471427902</v>
      </c>
      <c r="AB33" s="2151">
        <v>0.29766423860978986</v>
      </c>
    </row>
    <row r="34" spans="2:28">
      <c r="B34" s="2134">
        <v>50</v>
      </c>
      <c r="C34" s="2126">
        <v>0.79700000000000004</v>
      </c>
      <c r="D34" s="2126">
        <v>9.2530000000000001</v>
      </c>
      <c r="E34" s="2126">
        <v>2.835</v>
      </c>
      <c r="F34" s="2126">
        <v>2.835</v>
      </c>
      <c r="G34" s="2126">
        <v>8.4559999999999995</v>
      </c>
      <c r="H34" s="2127">
        <v>9.4252601702932842E-2</v>
      </c>
      <c r="I34" s="2127">
        <v>0.33526490066225167</v>
      </c>
      <c r="J34" s="2135">
        <v>0.42951750236518449</v>
      </c>
      <c r="K34" s="2134">
        <v>50</v>
      </c>
      <c r="L34" s="2126">
        <v>0.83299999999999996</v>
      </c>
      <c r="M34" s="2126">
        <v>10.577</v>
      </c>
      <c r="N34" s="2128">
        <v>0.624</v>
      </c>
      <c r="O34" s="2126">
        <v>0.624</v>
      </c>
      <c r="P34" s="2126">
        <v>9.7439999999999998</v>
      </c>
      <c r="Q34" s="2127">
        <v>8.5488505747126436E-2</v>
      </c>
      <c r="R34" s="2127">
        <v>6.4039408866995079E-2</v>
      </c>
      <c r="S34" s="2135">
        <v>0.14952791461412152</v>
      </c>
      <c r="T34" s="2134">
        <v>50</v>
      </c>
      <c r="U34" s="1742">
        <v>0.81499999999999995</v>
      </c>
      <c r="V34" s="1742">
        <v>9.9149999999999991</v>
      </c>
      <c r="W34" s="1742">
        <v>1.7295</v>
      </c>
      <c r="X34" s="1742">
        <v>1.7295</v>
      </c>
      <c r="Y34" s="1742">
        <v>9.1</v>
      </c>
      <c r="Z34" s="2129">
        <v>8.9870553725029639E-2</v>
      </c>
      <c r="AA34" s="2129">
        <v>0.19965215476462339</v>
      </c>
      <c r="AB34" s="2150">
        <v>0.289522708489653</v>
      </c>
    </row>
    <row r="35" spans="2:28">
      <c r="B35" s="89">
        <v>51</v>
      </c>
      <c r="C35" s="1">
        <v>0.76500000000000001</v>
      </c>
      <c r="D35" s="1">
        <v>9.5009999999999994</v>
      </c>
      <c r="E35" s="1">
        <v>2.9020000000000001</v>
      </c>
      <c r="F35" s="1">
        <v>2.9020000000000001</v>
      </c>
      <c r="G35" s="1">
        <v>8.7359999999999989</v>
      </c>
      <c r="H35" s="747">
        <v>8.7568681318681327E-2</v>
      </c>
      <c r="I35" s="747">
        <v>0.33218864468864473</v>
      </c>
      <c r="J35" s="2135">
        <v>0.41975732600732607</v>
      </c>
      <c r="K35" s="89">
        <v>51</v>
      </c>
      <c r="L35" s="1">
        <v>0.79200000000000004</v>
      </c>
      <c r="M35" s="1">
        <v>10.839</v>
      </c>
      <c r="N35" s="1462">
        <v>0.63100000000000001</v>
      </c>
      <c r="O35" s="1">
        <v>0.63100000000000001</v>
      </c>
      <c r="P35" s="1">
        <v>10.047000000000001</v>
      </c>
      <c r="Q35" s="747">
        <v>7.8829501343684674E-2</v>
      </c>
      <c r="R35" s="747">
        <v>6.2804817358415449E-2</v>
      </c>
      <c r="S35" s="2136">
        <v>0.14163431870210014</v>
      </c>
      <c r="T35" s="89">
        <v>51</v>
      </c>
      <c r="U35" s="746">
        <v>0.77849999999999997</v>
      </c>
      <c r="V35" s="746">
        <v>10.17</v>
      </c>
      <c r="W35" s="746">
        <v>1.7665000000000002</v>
      </c>
      <c r="X35" s="746">
        <v>1.7665000000000002</v>
      </c>
      <c r="Y35" s="746">
        <v>9.3915000000000006</v>
      </c>
      <c r="Z35" s="2124">
        <v>8.3199091331183E-2</v>
      </c>
      <c r="AA35" s="2124">
        <v>0.1974967310235301</v>
      </c>
      <c r="AB35" s="2151">
        <v>0.28069582235471313</v>
      </c>
    </row>
    <row r="36" spans="2:28">
      <c r="B36" s="2134">
        <v>52</v>
      </c>
      <c r="C36" s="2126">
        <v>0.72799999999999998</v>
      </c>
      <c r="D36" s="2126">
        <v>9.7569999999999997</v>
      </c>
      <c r="E36" s="2126">
        <v>2.9670000000000001</v>
      </c>
      <c r="F36" s="2126">
        <v>2.9670000000000001</v>
      </c>
      <c r="G36" s="2126">
        <v>9.0289999999999999</v>
      </c>
      <c r="H36" s="2127">
        <v>8.0629084062465384E-2</v>
      </c>
      <c r="I36" s="2127">
        <v>0.32860781924908627</v>
      </c>
      <c r="J36" s="2135">
        <v>0.40923690331155166</v>
      </c>
      <c r="K36" s="2134">
        <v>52</v>
      </c>
      <c r="L36" s="2126">
        <v>0.74399999999999999</v>
      </c>
      <c r="M36" s="2126">
        <v>11.108000000000001</v>
      </c>
      <c r="N36" s="2128">
        <v>0.63600000000000001</v>
      </c>
      <c r="O36" s="2126">
        <v>0.63600000000000001</v>
      </c>
      <c r="P36" s="2126">
        <v>10.364000000000001</v>
      </c>
      <c r="Q36" s="2127">
        <v>7.1786954843689688E-2</v>
      </c>
      <c r="R36" s="2127">
        <v>6.1366267850250865E-2</v>
      </c>
      <c r="S36" s="2135">
        <v>0.13315322269394056</v>
      </c>
      <c r="T36" s="2134">
        <v>52</v>
      </c>
      <c r="U36" s="1742">
        <v>0.73599999999999999</v>
      </c>
      <c r="V36" s="1742">
        <v>10.432500000000001</v>
      </c>
      <c r="W36" s="1742">
        <v>1.8015000000000001</v>
      </c>
      <c r="X36" s="1742">
        <v>1.8015000000000001</v>
      </c>
      <c r="Y36" s="1742">
        <v>9.6965000000000003</v>
      </c>
      <c r="Z36" s="2129">
        <v>7.6208019453077536E-2</v>
      </c>
      <c r="AA36" s="2129">
        <v>0.19498704354966856</v>
      </c>
      <c r="AB36" s="2150">
        <v>0.2711950630027461</v>
      </c>
    </row>
    <row r="37" spans="2:28">
      <c r="B37" s="89">
        <v>53</v>
      </c>
      <c r="C37" s="1">
        <v>0.68400000000000005</v>
      </c>
      <c r="D37" s="1">
        <v>10.02</v>
      </c>
      <c r="E37" s="1">
        <v>3.0289999999999999</v>
      </c>
      <c r="F37" s="1">
        <v>3.0289999999999999</v>
      </c>
      <c r="G37" s="1">
        <v>9.3360000000000003</v>
      </c>
      <c r="H37" s="747">
        <v>7.3264781491002573E-2</v>
      </c>
      <c r="I37" s="747">
        <v>0.32444301628106254</v>
      </c>
      <c r="J37" s="2135">
        <v>0.39770779777206511</v>
      </c>
      <c r="K37" s="89">
        <v>53</v>
      </c>
      <c r="L37" s="1">
        <v>0.69</v>
      </c>
      <c r="M37" s="1">
        <v>11.382</v>
      </c>
      <c r="N37" s="1462">
        <v>0.64</v>
      </c>
      <c r="O37" s="1">
        <v>0.64</v>
      </c>
      <c r="P37" s="1">
        <v>10.692</v>
      </c>
      <c r="Q37" s="747">
        <v>6.4534231200897865E-2</v>
      </c>
      <c r="R37" s="747">
        <v>5.9857837635615412E-2</v>
      </c>
      <c r="S37" s="2136">
        <v>0.12439206883651327</v>
      </c>
      <c r="T37" s="89">
        <v>53</v>
      </c>
      <c r="U37" s="746">
        <v>0.68700000000000006</v>
      </c>
      <c r="V37" s="746">
        <v>10.701000000000001</v>
      </c>
      <c r="W37" s="746">
        <v>1.8345</v>
      </c>
      <c r="X37" s="746">
        <v>1.8345</v>
      </c>
      <c r="Y37" s="746">
        <v>10.013999999999999</v>
      </c>
      <c r="Z37" s="2124">
        <v>6.8899506345950212E-2</v>
      </c>
      <c r="AA37" s="2124">
        <v>0.19215042695833898</v>
      </c>
      <c r="AB37" s="2151">
        <v>0.26104993330428916</v>
      </c>
    </row>
    <row r="38" spans="2:28">
      <c r="B38" s="2134">
        <v>54</v>
      </c>
      <c r="C38" s="2126">
        <v>0.63200000000000001</v>
      </c>
      <c r="D38" s="2126">
        <v>10.29</v>
      </c>
      <c r="E38" s="2126">
        <v>3.0870000000000002</v>
      </c>
      <c r="F38" s="2126">
        <v>3.0870000000000002</v>
      </c>
      <c r="G38" s="2126">
        <v>9.6579999999999995</v>
      </c>
      <c r="H38" s="2127">
        <v>6.5437978877614419E-2</v>
      </c>
      <c r="I38" s="2127">
        <v>0.31963139366328436</v>
      </c>
      <c r="J38" s="2135">
        <v>0.38506937254089879</v>
      </c>
      <c r="K38" s="2134">
        <v>54</v>
      </c>
      <c r="L38" s="2126">
        <v>0.629</v>
      </c>
      <c r="M38" s="2126">
        <v>11.662000000000001</v>
      </c>
      <c r="N38" s="2128">
        <v>0.64200000000000002</v>
      </c>
      <c r="O38" s="2126">
        <v>0.64200000000000002</v>
      </c>
      <c r="P38" s="2126">
        <v>11.033000000000001</v>
      </c>
      <c r="Q38" s="2127">
        <v>5.7010785824345142E-2</v>
      </c>
      <c r="R38" s="2127">
        <v>5.8189069156167852E-2</v>
      </c>
      <c r="S38" s="2135">
        <v>0.11519985498051299</v>
      </c>
      <c r="T38" s="2134">
        <v>54</v>
      </c>
      <c r="U38" s="1742">
        <v>0.63050000000000006</v>
      </c>
      <c r="V38" s="1742">
        <v>10.975999999999999</v>
      </c>
      <c r="W38" s="1742">
        <v>1.8645</v>
      </c>
      <c r="X38" s="1742">
        <v>1.8645</v>
      </c>
      <c r="Y38" s="1742">
        <v>10.345500000000001</v>
      </c>
      <c r="Z38" s="2129">
        <v>6.1224382350979781E-2</v>
      </c>
      <c r="AA38" s="2129">
        <v>0.1889102314097261</v>
      </c>
      <c r="AB38" s="2150">
        <v>0.25013461376070589</v>
      </c>
    </row>
    <row r="39" spans="2:28">
      <c r="B39" s="89">
        <v>55</v>
      </c>
      <c r="C39" s="1">
        <v>0.57399999999999995</v>
      </c>
      <c r="D39" s="1">
        <v>10.568</v>
      </c>
      <c r="E39" s="1">
        <v>3.1429999999999998</v>
      </c>
      <c r="F39" s="1">
        <v>3.1429999999999998</v>
      </c>
      <c r="G39" s="1">
        <v>9.9939999999999998</v>
      </c>
      <c r="H39" s="747">
        <v>5.7434460676405841E-2</v>
      </c>
      <c r="I39" s="747">
        <v>0.31448869321592954</v>
      </c>
      <c r="J39" s="2135">
        <v>0.37192315389233538</v>
      </c>
      <c r="K39" s="89">
        <v>55</v>
      </c>
      <c r="L39" s="1">
        <v>0.56000000000000005</v>
      </c>
      <c r="M39" s="1">
        <v>11.949</v>
      </c>
      <c r="N39" s="1462">
        <v>0.64300000000000002</v>
      </c>
      <c r="O39" s="1">
        <v>0.64300000000000002</v>
      </c>
      <c r="P39" s="1">
        <v>11.388999999999999</v>
      </c>
      <c r="Q39" s="747">
        <v>4.9170251997541492E-2</v>
      </c>
      <c r="R39" s="747">
        <v>5.6457985775748537E-2</v>
      </c>
      <c r="S39" s="2136">
        <v>0.10562823777329003</v>
      </c>
      <c r="T39" s="89">
        <v>55</v>
      </c>
      <c r="U39" s="746">
        <v>0.56699999999999995</v>
      </c>
      <c r="V39" s="746">
        <v>11.2585</v>
      </c>
      <c r="W39" s="746">
        <v>1.8929999999999998</v>
      </c>
      <c r="X39" s="746">
        <v>1.8929999999999998</v>
      </c>
      <c r="Y39" s="746">
        <v>10.6915</v>
      </c>
      <c r="Z39" s="2124">
        <v>5.3302356336973666E-2</v>
      </c>
      <c r="AA39" s="2124">
        <v>0.18547333949583905</v>
      </c>
      <c r="AB39" s="2151">
        <v>0.23877569583281272</v>
      </c>
    </row>
    <row r="40" spans="2:28">
      <c r="B40" s="2134">
        <v>56</v>
      </c>
      <c r="C40" s="2126">
        <v>0.50700000000000001</v>
      </c>
      <c r="D40" s="2126">
        <v>10.853999999999999</v>
      </c>
      <c r="E40" s="2126">
        <v>3.1960000000000002</v>
      </c>
      <c r="F40" s="2126">
        <v>3.1960000000000002</v>
      </c>
      <c r="G40" s="2126">
        <v>10.347</v>
      </c>
      <c r="H40" s="2127">
        <v>4.8999710060887214E-2</v>
      </c>
      <c r="I40" s="2127">
        <v>0.30888180148835415</v>
      </c>
      <c r="J40" s="2135">
        <v>0.35788151154924136</v>
      </c>
      <c r="K40" s="2134">
        <v>56</v>
      </c>
      <c r="L40" s="2126">
        <v>0.48499999999999999</v>
      </c>
      <c r="M40" s="2126">
        <v>12.242000000000001</v>
      </c>
      <c r="N40" s="2128">
        <v>0.64300000000000002</v>
      </c>
      <c r="O40" s="2126">
        <v>0.64300000000000002</v>
      </c>
      <c r="P40" s="2126">
        <v>11.757000000000001</v>
      </c>
      <c r="Q40" s="2127">
        <v>4.1252020073147905E-2</v>
      </c>
      <c r="R40" s="2127">
        <v>5.4690822488730112E-2</v>
      </c>
      <c r="S40" s="2135">
        <v>9.5942842561878017E-2</v>
      </c>
      <c r="T40" s="2134">
        <v>56</v>
      </c>
      <c r="U40" s="1742">
        <v>0.496</v>
      </c>
      <c r="V40" s="1742">
        <v>11.548</v>
      </c>
      <c r="W40" s="1742">
        <v>1.9195000000000002</v>
      </c>
      <c r="X40" s="1742">
        <v>1.9195000000000002</v>
      </c>
      <c r="Y40" s="1742">
        <v>11.052</v>
      </c>
      <c r="Z40" s="2129">
        <v>4.5125865067017559E-2</v>
      </c>
      <c r="AA40" s="2129">
        <v>0.18178631198854212</v>
      </c>
      <c r="AB40" s="2150">
        <v>0.22691217705555969</v>
      </c>
    </row>
    <row r="41" spans="2:28">
      <c r="B41" s="89">
        <v>57</v>
      </c>
      <c r="C41" s="1">
        <v>0.434</v>
      </c>
      <c r="D41" s="1">
        <v>11.148999999999999</v>
      </c>
      <c r="E41" s="1">
        <v>3.2480000000000002</v>
      </c>
      <c r="F41" s="1">
        <v>3.2480000000000002</v>
      </c>
      <c r="G41" s="1">
        <v>10.715</v>
      </c>
      <c r="H41" s="747">
        <v>4.0503966402239848E-2</v>
      </c>
      <c r="I41" s="747">
        <v>0.30312645823611761</v>
      </c>
      <c r="J41" s="2135">
        <v>0.34363042463835747</v>
      </c>
      <c r="K41" s="89">
        <v>57</v>
      </c>
      <c r="L41" s="1">
        <v>0.40500000000000003</v>
      </c>
      <c r="M41" s="1">
        <v>12.544</v>
      </c>
      <c r="N41" s="1462">
        <v>0.64100000000000001</v>
      </c>
      <c r="O41" s="1">
        <v>0.64100000000000001</v>
      </c>
      <c r="P41" s="1">
        <v>12.139000000000001</v>
      </c>
      <c r="Q41" s="747">
        <v>3.3363539006507952E-2</v>
      </c>
      <c r="R41" s="747">
        <v>5.2805008649806404E-2</v>
      </c>
      <c r="S41" s="2136">
        <v>8.6168547656314348E-2</v>
      </c>
      <c r="T41" s="89">
        <v>57</v>
      </c>
      <c r="U41" s="746">
        <v>0.41949999999999998</v>
      </c>
      <c r="V41" s="746">
        <v>11.846499999999999</v>
      </c>
      <c r="W41" s="746">
        <v>1.9445000000000001</v>
      </c>
      <c r="X41" s="746">
        <v>1.9445000000000001</v>
      </c>
      <c r="Y41" s="746">
        <v>11.427</v>
      </c>
      <c r="Z41" s="2124">
        <v>3.69337527043739E-2</v>
      </c>
      <c r="AA41" s="2124">
        <v>0.17796573344296202</v>
      </c>
      <c r="AB41" s="2151">
        <v>0.21489948614733589</v>
      </c>
    </row>
    <row r="42" spans="2:28">
      <c r="B42" s="2134">
        <v>58</v>
      </c>
      <c r="C42" s="2126">
        <v>0.35599999999999998</v>
      </c>
      <c r="D42" s="2126">
        <v>11.454000000000001</v>
      </c>
      <c r="E42" s="2126">
        <v>3.298</v>
      </c>
      <c r="F42" s="2126">
        <v>3.298</v>
      </c>
      <c r="G42" s="2126">
        <v>11.098000000000001</v>
      </c>
      <c r="H42" s="2127">
        <v>3.2077851865200936E-2</v>
      </c>
      <c r="I42" s="2127">
        <v>0.29717066138042891</v>
      </c>
      <c r="J42" s="2135">
        <v>0.32924851324562987</v>
      </c>
      <c r="K42" s="2134">
        <v>58</v>
      </c>
      <c r="L42" s="2126">
        <v>0.32200000000000001</v>
      </c>
      <c r="M42" s="2126">
        <v>12.856999999999999</v>
      </c>
      <c r="N42" s="2128">
        <v>0.63900000000000001</v>
      </c>
      <c r="O42" s="2126">
        <v>0.63900000000000001</v>
      </c>
      <c r="P42" s="2126">
        <v>12.535</v>
      </c>
      <c r="Q42" s="2127">
        <v>2.5688073394495414E-2</v>
      </c>
      <c r="R42" s="2127">
        <v>5.097726366174711E-2</v>
      </c>
      <c r="S42" s="2135">
        <v>7.6665337056242525E-2</v>
      </c>
      <c r="T42" s="2134">
        <v>58</v>
      </c>
      <c r="U42" s="1742">
        <v>0.33899999999999997</v>
      </c>
      <c r="V42" s="1742">
        <v>12.1555</v>
      </c>
      <c r="W42" s="1742">
        <v>1.9685000000000001</v>
      </c>
      <c r="X42" s="1742">
        <v>1.9685000000000001</v>
      </c>
      <c r="Y42" s="1742">
        <v>11.816500000000001</v>
      </c>
      <c r="Z42" s="2129">
        <v>2.8882962629848175E-2</v>
      </c>
      <c r="AA42" s="2129">
        <v>0.174073962521088</v>
      </c>
      <c r="AB42" s="2150">
        <v>0.20295692515093619</v>
      </c>
    </row>
    <row r="43" spans="2:28">
      <c r="B43" s="89">
        <v>59</v>
      </c>
      <c r="C43" s="1">
        <v>0.27700000000000002</v>
      </c>
      <c r="D43" s="1">
        <v>11.773</v>
      </c>
      <c r="E43" s="1">
        <v>3.3490000000000002</v>
      </c>
      <c r="F43" s="1">
        <v>3.3490000000000002</v>
      </c>
      <c r="G43" s="1">
        <v>11.496</v>
      </c>
      <c r="H43" s="747">
        <v>2.4095337508698678E-2</v>
      </c>
      <c r="I43" s="747">
        <v>0.29131871955462768</v>
      </c>
      <c r="J43" s="2135">
        <v>0.31541405706332637</v>
      </c>
      <c r="K43" s="89">
        <v>59</v>
      </c>
      <c r="L43" s="1">
        <v>0.24099999999999999</v>
      </c>
      <c r="M43" s="1">
        <v>13.186</v>
      </c>
      <c r="N43" s="1462">
        <v>0.63600000000000001</v>
      </c>
      <c r="O43" s="1">
        <v>0.63600000000000001</v>
      </c>
      <c r="P43" s="1">
        <v>12.945</v>
      </c>
      <c r="Q43" s="747">
        <v>1.861722672846659E-2</v>
      </c>
      <c r="R43" s="747">
        <v>4.9130938586326764E-2</v>
      </c>
      <c r="S43" s="2136">
        <v>6.7748165314793357E-2</v>
      </c>
      <c r="T43" s="89">
        <v>59</v>
      </c>
      <c r="U43" s="746">
        <v>0.25900000000000001</v>
      </c>
      <c r="V43" s="746">
        <v>12.4795</v>
      </c>
      <c r="W43" s="746">
        <v>1.9925000000000002</v>
      </c>
      <c r="X43" s="746">
        <v>1.9925000000000002</v>
      </c>
      <c r="Y43" s="746">
        <v>12.220500000000001</v>
      </c>
      <c r="Z43" s="2124">
        <v>2.1356282118582634E-2</v>
      </c>
      <c r="AA43" s="2124">
        <v>0.17022482907047723</v>
      </c>
      <c r="AB43" s="2151">
        <v>0.19158111118905985</v>
      </c>
    </row>
    <row r="44" spans="2:28">
      <c r="B44" s="2134">
        <v>60</v>
      </c>
      <c r="C44" s="2126">
        <v>0.20200000000000001</v>
      </c>
      <c r="D44" s="2126">
        <v>12.11</v>
      </c>
      <c r="E44" s="2126">
        <v>3.4009999999999998</v>
      </c>
      <c r="F44" s="2126">
        <v>3.4009999999999998</v>
      </c>
      <c r="G44" s="2126">
        <v>11.907999999999999</v>
      </c>
      <c r="H44" s="2127">
        <v>1.696338595901915E-2</v>
      </c>
      <c r="I44" s="2127">
        <v>0.28560631508229761</v>
      </c>
      <c r="J44" s="2135">
        <v>0.30256970104131675</v>
      </c>
      <c r="K44" s="2134">
        <v>60</v>
      </c>
      <c r="L44" s="2126">
        <v>0.16800000000000001</v>
      </c>
      <c r="M44" s="2126">
        <v>13.537000000000001</v>
      </c>
      <c r="N44" s="2128">
        <v>0.63300000000000001</v>
      </c>
      <c r="O44" s="2126">
        <v>0.63300000000000001</v>
      </c>
      <c r="P44" s="2126">
        <v>13.369000000000002</v>
      </c>
      <c r="Q44" s="2127">
        <v>1.2566384920338096E-2</v>
      </c>
      <c r="R44" s="2127">
        <v>4.7348343181988176E-2</v>
      </c>
      <c r="S44" s="2135">
        <v>5.9914728102326273E-2</v>
      </c>
      <c r="T44" s="2134">
        <v>60</v>
      </c>
      <c r="U44" s="1742">
        <v>0.185</v>
      </c>
      <c r="V44" s="1742">
        <v>12.823499999999999</v>
      </c>
      <c r="W44" s="1742">
        <v>2.0169999999999999</v>
      </c>
      <c r="X44" s="1742">
        <v>2.0169999999999999</v>
      </c>
      <c r="Y44" s="1742">
        <v>12.638500000000001</v>
      </c>
      <c r="Z44" s="2129">
        <v>1.4764885439678622E-2</v>
      </c>
      <c r="AA44" s="2129">
        <v>0.16647732913214289</v>
      </c>
      <c r="AB44" s="2150">
        <v>0.18124221457182152</v>
      </c>
    </row>
    <row r="45" spans="2:28">
      <c r="B45" s="89">
        <v>61</v>
      </c>
      <c r="C45" s="1">
        <v>0.13700000000000001</v>
      </c>
      <c r="D45" s="1">
        <v>12.47</v>
      </c>
      <c r="E45" s="1">
        <v>3.4550000000000001</v>
      </c>
      <c r="F45" s="1">
        <v>3.4550000000000001</v>
      </c>
      <c r="G45" s="1">
        <v>12.333</v>
      </c>
      <c r="H45" s="747">
        <v>1.1108408335360417E-2</v>
      </c>
      <c r="I45" s="747">
        <v>0.28014270655963674</v>
      </c>
      <c r="J45" s="2135">
        <v>0.29125111489499717</v>
      </c>
      <c r="K45" s="89">
        <v>61</v>
      </c>
      <c r="L45" s="1">
        <v>0.108</v>
      </c>
      <c r="M45" s="1">
        <v>13.914</v>
      </c>
      <c r="N45" s="1462">
        <v>0.63</v>
      </c>
      <c r="O45" s="1">
        <v>0.63</v>
      </c>
      <c r="P45" s="1">
        <v>13.805999999999999</v>
      </c>
      <c r="Q45" s="747">
        <v>7.8226857887874843E-3</v>
      </c>
      <c r="R45" s="747">
        <v>4.563233376792699E-2</v>
      </c>
      <c r="S45" s="2136">
        <v>5.3455019556714473E-2</v>
      </c>
      <c r="T45" s="89">
        <v>61</v>
      </c>
      <c r="U45" s="746">
        <v>0.1225</v>
      </c>
      <c r="V45" s="746">
        <v>13.192</v>
      </c>
      <c r="W45" s="746">
        <v>2.0425</v>
      </c>
      <c r="X45" s="746">
        <v>2.0425</v>
      </c>
      <c r="Y45" s="746">
        <v>13.0695</v>
      </c>
      <c r="Z45" s="2124">
        <v>9.4655470620739514E-3</v>
      </c>
      <c r="AA45" s="2124">
        <v>0.16288752016378186</v>
      </c>
      <c r="AB45" s="2151">
        <v>0.1723530672258558</v>
      </c>
    </row>
    <row r="46" spans="2:28">
      <c r="B46" s="2134">
        <v>62</v>
      </c>
      <c r="C46" s="2126">
        <v>8.4000000000000005E-2</v>
      </c>
      <c r="D46" s="2126">
        <v>12.856</v>
      </c>
      <c r="E46" s="2126">
        <v>3.4950000000000001</v>
      </c>
      <c r="F46" s="2126">
        <v>3.4950000000000001</v>
      </c>
      <c r="G46" s="2126">
        <v>12.772</v>
      </c>
      <c r="H46" s="2127">
        <v>6.5768869401816475E-3</v>
      </c>
      <c r="I46" s="2127">
        <v>0.27364547447541498</v>
      </c>
      <c r="J46" s="2135">
        <v>0.28022236141559664</v>
      </c>
      <c r="K46" s="2134">
        <v>62</v>
      </c>
      <c r="L46" s="2126">
        <v>6.2E-2</v>
      </c>
      <c r="M46" s="2126">
        <v>14.321</v>
      </c>
      <c r="N46" s="2128">
        <v>0.625</v>
      </c>
      <c r="O46" s="2126">
        <v>0.625</v>
      </c>
      <c r="P46" s="2126">
        <v>14.259</v>
      </c>
      <c r="Q46" s="2127">
        <v>4.3481310049793111E-3</v>
      </c>
      <c r="R46" s="2127">
        <v>4.3831965776001118E-2</v>
      </c>
      <c r="S46" s="2135">
        <v>4.8180096780980432E-2</v>
      </c>
      <c r="T46" s="2134">
        <v>62</v>
      </c>
      <c r="U46" s="1742">
        <v>7.3000000000000009E-2</v>
      </c>
      <c r="V46" s="1742">
        <v>13.5885</v>
      </c>
      <c r="W46" s="1742">
        <v>2.06</v>
      </c>
      <c r="X46" s="1742">
        <v>2.06</v>
      </c>
      <c r="Y46" s="1742">
        <v>13.515499999999999</v>
      </c>
      <c r="Z46" s="2129">
        <v>5.4625089725804793E-3</v>
      </c>
      <c r="AA46" s="2129">
        <v>0.15873872012570805</v>
      </c>
      <c r="AB46" s="2150">
        <v>0.16420122909828855</v>
      </c>
    </row>
    <row r="47" spans="2:28">
      <c r="B47" s="89">
        <v>63</v>
      </c>
      <c r="C47" s="1">
        <v>4.4999999999999998E-2</v>
      </c>
      <c r="D47" s="1">
        <v>13.273</v>
      </c>
      <c r="E47" s="1">
        <v>3.536</v>
      </c>
      <c r="F47" s="1">
        <v>3.536</v>
      </c>
      <c r="G47" s="1">
        <v>13.228</v>
      </c>
      <c r="H47" s="747">
        <v>3.4018748110069548E-3</v>
      </c>
      <c r="I47" s="747">
        <v>0.26731176292712427</v>
      </c>
      <c r="J47" s="2135">
        <v>0.27071363773813123</v>
      </c>
      <c r="K47" s="89">
        <v>63</v>
      </c>
      <c r="L47" s="1">
        <v>3.2000000000000001E-2</v>
      </c>
      <c r="M47" s="1">
        <v>14.76</v>
      </c>
      <c r="N47" s="1462">
        <v>0.61899999999999999</v>
      </c>
      <c r="O47" s="1">
        <v>0.61899999999999999</v>
      </c>
      <c r="P47" s="1">
        <v>14.728</v>
      </c>
      <c r="Q47" s="747">
        <v>2.1727322107550247E-3</v>
      </c>
      <c r="R47" s="747">
        <v>4.2028788701792504E-2</v>
      </c>
      <c r="S47" s="2136">
        <v>4.4201520912547532E-2</v>
      </c>
      <c r="T47" s="89">
        <v>63</v>
      </c>
      <c r="U47" s="746">
        <v>3.85E-2</v>
      </c>
      <c r="V47" s="746">
        <v>14.016500000000001</v>
      </c>
      <c r="W47" s="746">
        <v>2.0775000000000001</v>
      </c>
      <c r="X47" s="746">
        <v>2.0775000000000001</v>
      </c>
      <c r="Y47" s="746">
        <v>13.978</v>
      </c>
      <c r="Z47" s="2124">
        <v>2.7873035108809899E-3</v>
      </c>
      <c r="AA47" s="2124">
        <v>0.15467027581445839</v>
      </c>
      <c r="AB47" s="2151">
        <v>0.15745757932533938</v>
      </c>
    </row>
    <row r="48" spans="2:28">
      <c r="B48" s="2134">
        <v>64</v>
      </c>
      <c r="C48" s="2126">
        <v>1.9E-2</v>
      </c>
      <c r="D48" s="2126">
        <v>13.721</v>
      </c>
      <c r="E48" s="2126">
        <v>3.5760000000000001</v>
      </c>
      <c r="F48" s="2126">
        <v>3.5760000000000001</v>
      </c>
      <c r="G48" s="2126">
        <v>13.702</v>
      </c>
      <c r="H48" s="2127">
        <v>1.3866588819150488E-3</v>
      </c>
      <c r="I48" s="2127">
        <v>0.26098379798569554</v>
      </c>
      <c r="J48" s="2135">
        <v>0.26237045686761057</v>
      </c>
      <c r="K48" s="2134">
        <v>64</v>
      </c>
      <c r="L48" s="2126">
        <v>1.2999999999999999E-2</v>
      </c>
      <c r="M48" s="2126">
        <v>15.228999999999999</v>
      </c>
      <c r="N48" s="2128">
        <v>0.61299999999999999</v>
      </c>
      <c r="O48" s="2126">
        <v>0.61299999999999999</v>
      </c>
      <c r="P48" s="2126">
        <v>15.215999999999999</v>
      </c>
      <c r="Q48" s="2127">
        <v>8.5436382754994742E-4</v>
      </c>
      <c r="R48" s="2127">
        <v>4.0286540483701366E-2</v>
      </c>
      <c r="S48" s="2135">
        <v>4.1140904311251315E-2</v>
      </c>
      <c r="T48" s="2134">
        <v>64</v>
      </c>
      <c r="U48" s="1742">
        <v>1.6E-2</v>
      </c>
      <c r="V48" s="1742">
        <v>14.475</v>
      </c>
      <c r="W48" s="1742">
        <v>2.0945</v>
      </c>
      <c r="X48" s="1742">
        <v>2.0945</v>
      </c>
      <c r="Y48" s="1742">
        <v>14.459</v>
      </c>
      <c r="Z48" s="2129">
        <v>1.1205113547324982E-3</v>
      </c>
      <c r="AA48" s="2129">
        <v>0.15063516923469844</v>
      </c>
      <c r="AB48" s="2150">
        <v>0.15175568058943095</v>
      </c>
    </row>
    <row r="49" spans="2:28">
      <c r="B49" s="89">
        <v>65</v>
      </c>
      <c r="C49" s="1">
        <v>7.0000000000000001E-3</v>
      </c>
      <c r="D49" s="1">
        <v>14.202999999999999</v>
      </c>
      <c r="E49" s="1">
        <v>3.613</v>
      </c>
      <c r="F49" s="1">
        <v>3.613</v>
      </c>
      <c r="G49" s="1">
        <v>14.196</v>
      </c>
      <c r="H49" s="747">
        <v>4.9309664694280081E-4</v>
      </c>
      <c r="I49" s="747">
        <v>0.25450831220061992</v>
      </c>
      <c r="J49" s="2136">
        <v>0.25500140884756273</v>
      </c>
      <c r="K49" s="89">
        <v>65</v>
      </c>
      <c r="L49" s="1">
        <v>4.0000000000000001E-3</v>
      </c>
      <c r="M49" s="1">
        <v>15.728</v>
      </c>
      <c r="N49" s="1462">
        <v>0.60499999999999998</v>
      </c>
      <c r="O49" s="1">
        <v>0.60499999999999998</v>
      </c>
      <c r="P49" s="1">
        <v>15.724</v>
      </c>
      <c r="Q49" s="747">
        <v>2.5438819638768761E-4</v>
      </c>
      <c r="R49" s="747">
        <v>3.8476214703637747E-2</v>
      </c>
      <c r="S49" s="2136">
        <v>3.8730602900025432E-2</v>
      </c>
      <c r="T49" s="89">
        <v>65</v>
      </c>
      <c r="U49" s="746">
        <v>5.4999999999999997E-3</v>
      </c>
      <c r="V49" s="746">
        <v>14.965499999999999</v>
      </c>
      <c r="W49" s="746">
        <v>2.109</v>
      </c>
      <c r="X49" s="746">
        <v>2.109</v>
      </c>
      <c r="Y49" s="746">
        <v>14.96</v>
      </c>
      <c r="Z49" s="967">
        <v>3.7374242166524421E-4</v>
      </c>
      <c r="AA49" s="967">
        <v>0.14649226345212885</v>
      </c>
      <c r="AB49" s="968">
        <v>0.14686600587379409</v>
      </c>
    </row>
    <row r="50" spans="2:28">
      <c r="B50" s="2134">
        <v>66</v>
      </c>
      <c r="C50" s="2126">
        <v>1E-3</v>
      </c>
      <c r="D50" s="2126">
        <v>14.717000000000001</v>
      </c>
      <c r="E50" s="2126">
        <v>3.6469999999999998</v>
      </c>
      <c r="F50" s="2126">
        <v>3.6469999999999998</v>
      </c>
      <c r="G50" s="2126">
        <v>14.716000000000001</v>
      </c>
      <c r="H50" s="2127">
        <v>6.7953248165262298E-5</v>
      </c>
      <c r="I50" s="2127">
        <v>0.24782549605871157</v>
      </c>
      <c r="J50" s="2135">
        <v>0.24789344930687685</v>
      </c>
      <c r="K50" s="2134">
        <v>66</v>
      </c>
      <c r="L50" s="2126">
        <v>1E-3</v>
      </c>
      <c r="M50" s="2126">
        <v>16.253</v>
      </c>
      <c r="N50" s="2128">
        <v>0.59599999999999997</v>
      </c>
      <c r="O50" s="2126">
        <v>0.59599999999999997</v>
      </c>
      <c r="P50" s="2126">
        <v>16.251999999999999</v>
      </c>
      <c r="Q50" s="2127">
        <v>6.1530888506030037E-5</v>
      </c>
      <c r="R50" s="2127">
        <v>3.6672409549593894E-2</v>
      </c>
      <c r="S50" s="2135">
        <v>3.6733940438099924E-2</v>
      </c>
      <c r="T50" s="2134">
        <v>66</v>
      </c>
      <c r="U50" s="1742">
        <v>1E-3</v>
      </c>
      <c r="V50" s="1742">
        <v>15.484999999999999</v>
      </c>
      <c r="W50" s="1742">
        <v>2.1214999999999997</v>
      </c>
      <c r="X50" s="1742">
        <v>2.1214999999999997</v>
      </c>
      <c r="Y50" s="1742">
        <v>15.484</v>
      </c>
      <c r="Z50" s="2129">
        <v>6.4742068335646167E-5</v>
      </c>
      <c r="AA50" s="2129">
        <v>0.14224895280415273</v>
      </c>
      <c r="AB50" s="2150">
        <v>0.14231369487248838</v>
      </c>
    </row>
    <row r="51" spans="2:28">
      <c r="B51" s="2155">
        <v>67</v>
      </c>
      <c r="C51" s="2156">
        <v>0</v>
      </c>
      <c r="D51" s="2156">
        <v>15.260999999999999</v>
      </c>
      <c r="E51" s="2156">
        <v>3.6779999999999999</v>
      </c>
      <c r="F51" s="2156">
        <v>3.6779999999999999</v>
      </c>
      <c r="G51" s="2156">
        <v>15.260999999999999</v>
      </c>
      <c r="H51" s="2157">
        <v>0</v>
      </c>
      <c r="I51" s="2157">
        <v>0.24100648712404169</v>
      </c>
      <c r="J51" s="2158">
        <v>0.24100648712404169</v>
      </c>
      <c r="K51" s="2155">
        <v>67</v>
      </c>
      <c r="L51" s="2156">
        <v>0</v>
      </c>
      <c r="M51" s="2156">
        <v>16.803000000000001</v>
      </c>
      <c r="N51" s="2159">
        <v>0.58599999999999997</v>
      </c>
      <c r="O51" s="2156">
        <v>0.58599999999999997</v>
      </c>
      <c r="P51" s="2156">
        <v>16.803000000000001</v>
      </c>
      <c r="Q51" s="2157">
        <v>0</v>
      </c>
      <c r="R51" s="2157">
        <v>3.4874724751532464E-2</v>
      </c>
      <c r="S51" s="2158">
        <v>3.4874724751532464E-2</v>
      </c>
      <c r="T51" s="2155">
        <v>67</v>
      </c>
      <c r="U51" s="2160">
        <v>0</v>
      </c>
      <c r="V51" s="2160">
        <v>16.032</v>
      </c>
      <c r="W51" s="2160">
        <v>2.1320000000000001</v>
      </c>
      <c r="X51" s="2160">
        <v>2.1320000000000001</v>
      </c>
      <c r="Y51" s="2160">
        <v>16.032</v>
      </c>
      <c r="Z51" s="2161">
        <v>0</v>
      </c>
      <c r="AA51" s="2161">
        <v>0.13794060593778706</v>
      </c>
      <c r="AB51" s="2162">
        <v>0.13794060593778706</v>
      </c>
    </row>
    <row r="52" spans="2:28">
      <c r="B52" s="2134">
        <v>68</v>
      </c>
      <c r="C52" s="2126">
        <v>0</v>
      </c>
      <c r="D52" s="2126">
        <v>14.851000000000001</v>
      </c>
      <c r="E52" s="2126">
        <v>3.6779999999999999</v>
      </c>
      <c r="F52" s="2126">
        <v>3.6779999999999999</v>
      </c>
      <c r="G52" s="2126">
        <v>14.851000000000001</v>
      </c>
      <c r="H52" s="2127">
        <v>0</v>
      </c>
      <c r="I52" s="2127">
        <v>0.24766009022961416</v>
      </c>
      <c r="J52" s="2135">
        <v>0.24766009022961416</v>
      </c>
      <c r="K52" s="2134">
        <v>68</v>
      </c>
      <c r="L52" s="2126">
        <v>0</v>
      </c>
      <c r="M52" s="2126">
        <v>16.378</v>
      </c>
      <c r="N52" s="2128">
        <v>0.59099999999999997</v>
      </c>
      <c r="O52" s="2126">
        <v>0.56699999999999995</v>
      </c>
      <c r="P52" s="2126">
        <v>16.378</v>
      </c>
      <c r="Q52" s="2127">
        <v>0</v>
      </c>
      <c r="R52" s="2127">
        <v>3.4619611674197089E-2</v>
      </c>
      <c r="S52" s="2135">
        <v>3.4619611674197089E-2</v>
      </c>
      <c r="T52" s="2134">
        <v>68</v>
      </c>
      <c r="U52" s="1742">
        <v>0</v>
      </c>
      <c r="V52" s="1742">
        <v>15.6145</v>
      </c>
      <c r="W52" s="1742">
        <v>2.1345000000000001</v>
      </c>
      <c r="X52" s="1742">
        <v>2.1225000000000001</v>
      </c>
      <c r="Y52" s="1742">
        <v>15.6145</v>
      </c>
      <c r="Z52" s="2129">
        <v>0</v>
      </c>
      <c r="AA52" s="2129">
        <v>0.14113985095190562</v>
      </c>
      <c r="AB52" s="2150">
        <v>0.14113985095190562</v>
      </c>
    </row>
    <row r="53" spans="2:28">
      <c r="B53" s="89">
        <v>69</v>
      </c>
      <c r="C53" s="1">
        <v>0</v>
      </c>
      <c r="D53" s="1">
        <v>14.432</v>
      </c>
      <c r="E53" s="1">
        <v>3.68</v>
      </c>
      <c r="F53" s="1">
        <v>3.68</v>
      </c>
      <c r="G53" s="1">
        <v>14.432</v>
      </c>
      <c r="H53" s="747">
        <v>0</v>
      </c>
      <c r="I53" s="747">
        <v>0.25498891352549891</v>
      </c>
      <c r="J53" s="2135">
        <v>0.25498891352549891</v>
      </c>
      <c r="K53" s="89">
        <v>69</v>
      </c>
      <c r="L53" s="1">
        <v>0</v>
      </c>
      <c r="M53" s="1">
        <v>15.94</v>
      </c>
      <c r="N53" s="1462">
        <v>0.57199999999999995</v>
      </c>
      <c r="O53" s="1">
        <v>0.54900000000000004</v>
      </c>
      <c r="P53" s="1">
        <v>15.94</v>
      </c>
      <c r="Q53" s="747">
        <v>0</v>
      </c>
      <c r="R53" s="747">
        <v>3.4441656210790469E-2</v>
      </c>
      <c r="S53" s="2136">
        <v>3.4441656210790469E-2</v>
      </c>
      <c r="T53" s="89">
        <v>69</v>
      </c>
      <c r="U53" s="746">
        <v>0</v>
      </c>
      <c r="V53" s="746">
        <v>15.186</v>
      </c>
      <c r="W53" s="746">
        <v>2.1259999999999999</v>
      </c>
      <c r="X53" s="746">
        <v>2.1145</v>
      </c>
      <c r="Y53" s="746">
        <v>15.186</v>
      </c>
      <c r="Z53" s="2124">
        <v>0</v>
      </c>
      <c r="AA53" s="2124">
        <v>0.14471528486814469</v>
      </c>
      <c r="AB53" s="2151">
        <v>0.14471528486814469</v>
      </c>
    </row>
    <row r="54" spans="2:28">
      <c r="B54" s="2134">
        <v>70</v>
      </c>
      <c r="C54" s="2126">
        <v>0</v>
      </c>
      <c r="D54" s="2126">
        <v>14.002000000000001</v>
      </c>
      <c r="E54" s="2126">
        <v>3.681</v>
      </c>
      <c r="F54" s="2126">
        <v>3.681</v>
      </c>
      <c r="G54" s="2126">
        <v>14.002000000000001</v>
      </c>
      <c r="H54" s="2127">
        <v>0</v>
      </c>
      <c r="I54" s="2127">
        <v>0.26289101556920441</v>
      </c>
      <c r="J54" s="2135">
        <v>0.26289101556920441</v>
      </c>
      <c r="K54" s="2134">
        <v>70</v>
      </c>
      <c r="L54" s="2126">
        <v>0</v>
      </c>
      <c r="M54" s="2126">
        <v>15.49</v>
      </c>
      <c r="N54" s="2128">
        <v>0.55100000000000005</v>
      </c>
      <c r="O54" s="2126">
        <v>0.53</v>
      </c>
      <c r="P54" s="2126">
        <v>15.49</v>
      </c>
      <c r="Q54" s="2127">
        <v>0</v>
      </c>
      <c r="R54" s="2127">
        <v>3.4215622982569402E-2</v>
      </c>
      <c r="S54" s="2135">
        <v>3.4215622982569402E-2</v>
      </c>
      <c r="T54" s="2134">
        <v>70</v>
      </c>
      <c r="U54" s="1742">
        <v>0</v>
      </c>
      <c r="V54" s="1742">
        <v>14.746</v>
      </c>
      <c r="W54" s="1742">
        <v>2.1160000000000001</v>
      </c>
      <c r="X54" s="1742">
        <v>2.1055000000000001</v>
      </c>
      <c r="Y54" s="1742">
        <v>14.746</v>
      </c>
      <c r="Z54" s="2129">
        <v>0</v>
      </c>
      <c r="AA54" s="2129">
        <v>0.14855331927588691</v>
      </c>
      <c r="AB54" s="2150">
        <v>0.14855331927588691</v>
      </c>
    </row>
    <row r="55" spans="2:28">
      <c r="B55" s="89">
        <v>71</v>
      </c>
      <c r="C55" s="1">
        <v>0</v>
      </c>
      <c r="D55" s="1">
        <v>13.561999999999999</v>
      </c>
      <c r="E55" s="1">
        <v>3.6789999999999998</v>
      </c>
      <c r="F55" s="1">
        <v>3.6789999999999998</v>
      </c>
      <c r="G55" s="1">
        <v>13.561999999999999</v>
      </c>
      <c r="H55" s="747">
        <v>0</v>
      </c>
      <c r="I55" s="747">
        <v>0.27127267364695473</v>
      </c>
      <c r="J55" s="2135">
        <v>0.27127267364695473</v>
      </c>
      <c r="K55" s="89">
        <v>71</v>
      </c>
      <c r="L55" s="1">
        <v>0</v>
      </c>
      <c r="M55" s="1">
        <v>15.026</v>
      </c>
      <c r="N55" s="1462">
        <v>0.53100000000000003</v>
      </c>
      <c r="O55" s="1">
        <v>0.51</v>
      </c>
      <c r="P55" s="1">
        <v>15.026</v>
      </c>
      <c r="Q55" s="747">
        <v>0</v>
      </c>
      <c r="R55" s="747">
        <v>3.3941168641022229E-2</v>
      </c>
      <c r="S55" s="2136">
        <v>3.3941168641022229E-2</v>
      </c>
      <c r="T55" s="89">
        <v>71</v>
      </c>
      <c r="U55" s="746">
        <v>0</v>
      </c>
      <c r="V55" s="746">
        <v>14.294</v>
      </c>
      <c r="W55" s="746">
        <v>2.105</v>
      </c>
      <c r="X55" s="746">
        <v>2.0945</v>
      </c>
      <c r="Y55" s="746">
        <v>14.294</v>
      </c>
      <c r="Z55" s="2124">
        <v>0</v>
      </c>
      <c r="AA55" s="2124">
        <v>0.15260692114398849</v>
      </c>
      <c r="AB55" s="2151">
        <v>0.15260692114398849</v>
      </c>
    </row>
    <row r="56" spans="2:28">
      <c r="B56" s="2134">
        <v>72</v>
      </c>
      <c r="C56" s="2126">
        <v>0</v>
      </c>
      <c r="D56" s="2126">
        <v>13.111000000000001</v>
      </c>
      <c r="E56" s="2126">
        <v>3.6749999999999998</v>
      </c>
      <c r="F56" s="2126">
        <v>3.6749999999999998</v>
      </c>
      <c r="G56" s="2126">
        <v>13.111000000000001</v>
      </c>
      <c r="H56" s="2127">
        <v>0</v>
      </c>
      <c r="I56" s="2127">
        <v>0.28029898558462357</v>
      </c>
      <c r="J56" s="2135">
        <v>0.28029898558462357</v>
      </c>
      <c r="K56" s="2134">
        <v>72</v>
      </c>
      <c r="L56" s="2126">
        <v>0</v>
      </c>
      <c r="M56" s="2126">
        <v>14.55</v>
      </c>
      <c r="N56" s="2128">
        <v>0.51</v>
      </c>
      <c r="O56" s="2126">
        <v>0.49099999999999999</v>
      </c>
      <c r="P56" s="2126">
        <v>14.55</v>
      </c>
      <c r="Q56" s="2127">
        <v>0</v>
      </c>
      <c r="R56" s="2127">
        <v>3.3745704467353949E-2</v>
      </c>
      <c r="S56" s="2135">
        <v>3.3745704467353949E-2</v>
      </c>
      <c r="T56" s="2134">
        <v>72</v>
      </c>
      <c r="U56" s="1742">
        <v>0</v>
      </c>
      <c r="V56" s="1742">
        <v>13.830500000000001</v>
      </c>
      <c r="W56" s="1742">
        <v>2.0924999999999998</v>
      </c>
      <c r="X56" s="1742">
        <v>2.0829999999999997</v>
      </c>
      <c r="Y56" s="1742">
        <v>13.830500000000001</v>
      </c>
      <c r="Z56" s="2129">
        <v>0</v>
      </c>
      <c r="AA56" s="2129">
        <v>0.15702234502598877</v>
      </c>
      <c r="AB56" s="2150">
        <v>0.15702234502598877</v>
      </c>
    </row>
    <row r="57" spans="2:28">
      <c r="B57" s="89">
        <v>73</v>
      </c>
      <c r="C57" s="1">
        <v>0</v>
      </c>
      <c r="D57" s="1">
        <v>12.65</v>
      </c>
      <c r="E57" s="1">
        <v>3.669</v>
      </c>
      <c r="F57" s="1">
        <v>3.669</v>
      </c>
      <c r="G57" s="1">
        <v>12.65</v>
      </c>
      <c r="H57" s="747">
        <v>0</v>
      </c>
      <c r="I57" s="747">
        <v>0.29003952569169961</v>
      </c>
      <c r="J57" s="2135">
        <v>0.29003952569169961</v>
      </c>
      <c r="K57" s="89">
        <v>73</v>
      </c>
      <c r="L57" s="1">
        <v>0</v>
      </c>
      <c r="M57" s="1">
        <v>14.061999999999999</v>
      </c>
      <c r="N57" s="1462">
        <v>0.48899999999999999</v>
      </c>
      <c r="O57" s="1">
        <v>0.47199999999999998</v>
      </c>
      <c r="P57" s="1">
        <v>14.061999999999999</v>
      </c>
      <c r="Q57" s="747">
        <v>0</v>
      </c>
      <c r="R57" s="747">
        <v>3.3565637889347175E-2</v>
      </c>
      <c r="S57" s="2136">
        <v>3.3565637889347175E-2</v>
      </c>
      <c r="T57" s="89">
        <v>73</v>
      </c>
      <c r="U57" s="746">
        <v>0</v>
      </c>
      <c r="V57" s="746">
        <v>13.356</v>
      </c>
      <c r="W57" s="746">
        <v>2.0790000000000002</v>
      </c>
      <c r="X57" s="746">
        <v>2.0705</v>
      </c>
      <c r="Y57" s="746">
        <v>13.356</v>
      </c>
      <c r="Z57" s="2124">
        <v>0</v>
      </c>
      <c r="AA57" s="2124">
        <v>0.1618025817905234</v>
      </c>
      <c r="AB57" s="2151">
        <v>0.1618025817905234</v>
      </c>
    </row>
    <row r="58" spans="2:28">
      <c r="B58" s="2134">
        <v>74</v>
      </c>
      <c r="C58" s="2126">
        <v>0</v>
      </c>
      <c r="D58" s="2126">
        <v>12.18</v>
      </c>
      <c r="E58" s="2126">
        <v>3.6669999999999998</v>
      </c>
      <c r="F58" s="2126">
        <v>3.6669999999999998</v>
      </c>
      <c r="G58" s="2126">
        <v>12.18</v>
      </c>
      <c r="H58" s="2127">
        <v>0</v>
      </c>
      <c r="I58" s="2127">
        <v>0.30106732348111659</v>
      </c>
      <c r="J58" s="2135">
        <v>0.30106732348111659</v>
      </c>
      <c r="K58" s="2134">
        <v>74</v>
      </c>
      <c r="L58" s="2126">
        <v>0</v>
      </c>
      <c r="M58" s="2126">
        <v>13.561999999999999</v>
      </c>
      <c r="N58" s="2128">
        <v>0.46899999999999997</v>
      </c>
      <c r="O58" s="2126">
        <v>0.45300000000000001</v>
      </c>
      <c r="P58" s="2126">
        <v>13.561999999999999</v>
      </c>
      <c r="Q58" s="2127">
        <v>0</v>
      </c>
      <c r="R58" s="2127">
        <v>3.3402153074767738E-2</v>
      </c>
      <c r="S58" s="2135">
        <v>3.3402153074767738E-2</v>
      </c>
      <c r="T58" s="2134">
        <v>74</v>
      </c>
      <c r="U58" s="1742">
        <v>0</v>
      </c>
      <c r="V58" s="1742">
        <v>12.870999999999999</v>
      </c>
      <c r="W58" s="1742">
        <v>2.0680000000000001</v>
      </c>
      <c r="X58" s="1742">
        <v>2.06</v>
      </c>
      <c r="Y58" s="1742">
        <v>12.870999999999999</v>
      </c>
      <c r="Z58" s="2129">
        <v>0</v>
      </c>
      <c r="AA58" s="2129">
        <v>0.16723473827794216</v>
      </c>
      <c r="AB58" s="2150">
        <v>0.16723473827794216</v>
      </c>
    </row>
    <row r="59" spans="2:28">
      <c r="B59" s="89">
        <v>75</v>
      </c>
      <c r="C59" s="1">
        <v>0</v>
      </c>
      <c r="D59" s="1">
        <v>11.701000000000001</v>
      </c>
      <c r="E59" s="1">
        <v>3.6619999999999999</v>
      </c>
      <c r="F59" s="1">
        <v>3.6619999999999999</v>
      </c>
      <c r="G59" s="1">
        <v>11.701000000000001</v>
      </c>
      <c r="H59" s="747">
        <v>0</v>
      </c>
      <c r="I59" s="747">
        <v>0.31296470387146397</v>
      </c>
      <c r="J59" s="2135">
        <v>0.31296470387146397</v>
      </c>
      <c r="K59" s="89">
        <v>75</v>
      </c>
      <c r="L59" s="1">
        <v>0</v>
      </c>
      <c r="M59" s="1">
        <v>13.051</v>
      </c>
      <c r="N59" s="1462">
        <v>0.44800000000000001</v>
      </c>
      <c r="O59" s="1">
        <v>0.434</v>
      </c>
      <c r="P59" s="1">
        <v>13.051</v>
      </c>
      <c r="Q59" s="747">
        <v>0</v>
      </c>
      <c r="R59" s="747">
        <v>3.3254156769596199E-2</v>
      </c>
      <c r="S59" s="2136">
        <v>3.3254156769596199E-2</v>
      </c>
      <c r="T59" s="89">
        <v>75</v>
      </c>
      <c r="U59" s="746">
        <v>0</v>
      </c>
      <c r="V59" s="746">
        <v>12.376000000000001</v>
      </c>
      <c r="W59" s="746">
        <v>2.0550000000000002</v>
      </c>
      <c r="X59" s="746">
        <v>2.048</v>
      </c>
      <c r="Y59" s="746">
        <v>12.376000000000001</v>
      </c>
      <c r="Z59" s="2124">
        <v>0</v>
      </c>
      <c r="AA59" s="2124">
        <v>0.17310943032053008</v>
      </c>
      <c r="AB59" s="2151">
        <v>0.17310943032053008</v>
      </c>
    </row>
    <row r="60" spans="2:28">
      <c r="B60" s="2134">
        <v>76</v>
      </c>
      <c r="C60" s="2126">
        <v>0</v>
      </c>
      <c r="D60" s="2126">
        <v>11.215</v>
      </c>
      <c r="E60" s="2126">
        <v>3.6549999999999998</v>
      </c>
      <c r="F60" s="2126">
        <v>3.6549999999999998</v>
      </c>
      <c r="G60" s="2126">
        <v>11.215</v>
      </c>
      <c r="H60" s="2127">
        <v>0</v>
      </c>
      <c r="I60" s="2127">
        <v>0.32590280873829691</v>
      </c>
      <c r="J60" s="2135">
        <v>0.32590280873829691</v>
      </c>
      <c r="K60" s="2134">
        <v>76</v>
      </c>
      <c r="L60" s="2126">
        <v>0</v>
      </c>
      <c r="M60" s="2126">
        <v>12.531000000000001</v>
      </c>
      <c r="N60" s="2128">
        <v>0.42699999999999999</v>
      </c>
      <c r="O60" s="2126">
        <v>0.41399999999999998</v>
      </c>
      <c r="P60" s="2126">
        <v>12.531000000000001</v>
      </c>
      <c r="Q60" s="2127">
        <v>0</v>
      </c>
      <c r="R60" s="2127">
        <v>3.3038065597318644E-2</v>
      </c>
      <c r="S60" s="2135">
        <v>3.3038065597318644E-2</v>
      </c>
      <c r="T60" s="2134">
        <v>76</v>
      </c>
      <c r="U60" s="1742">
        <v>0</v>
      </c>
      <c r="V60" s="1742">
        <v>11.873000000000001</v>
      </c>
      <c r="W60" s="1742">
        <v>2.0409999999999999</v>
      </c>
      <c r="X60" s="1742">
        <v>2.0345</v>
      </c>
      <c r="Y60" s="1742">
        <v>11.873000000000001</v>
      </c>
      <c r="Z60" s="2129">
        <v>0</v>
      </c>
      <c r="AA60" s="2129">
        <v>0.17947043716780778</v>
      </c>
      <c r="AB60" s="2150">
        <v>0.17947043716780778</v>
      </c>
    </row>
    <row r="61" spans="2:28">
      <c r="B61" s="89">
        <v>77</v>
      </c>
      <c r="C61" s="1">
        <v>0</v>
      </c>
      <c r="D61" s="1">
        <v>10.724</v>
      </c>
      <c r="E61" s="1">
        <v>3.6429999999999998</v>
      </c>
      <c r="F61" s="1">
        <v>3.6429999999999998</v>
      </c>
      <c r="G61" s="1">
        <v>10.724</v>
      </c>
      <c r="H61" s="747">
        <v>0</v>
      </c>
      <c r="I61" s="747">
        <v>0.33970533383066015</v>
      </c>
      <c r="J61" s="2135">
        <v>0.33970533383066015</v>
      </c>
      <c r="K61" s="89">
        <v>77</v>
      </c>
      <c r="L61" s="1">
        <v>0</v>
      </c>
      <c r="M61" s="1">
        <v>12.003</v>
      </c>
      <c r="N61" s="1462">
        <v>0.40400000000000003</v>
      </c>
      <c r="O61" s="1">
        <v>0.39300000000000002</v>
      </c>
      <c r="P61" s="1">
        <v>12.003</v>
      </c>
      <c r="Q61" s="747">
        <v>0</v>
      </c>
      <c r="R61" s="747">
        <v>3.2741814546363407E-2</v>
      </c>
      <c r="S61" s="2136">
        <v>3.2741814546363407E-2</v>
      </c>
      <c r="T61" s="89">
        <v>77</v>
      </c>
      <c r="U61" s="746">
        <v>0</v>
      </c>
      <c r="V61" s="746">
        <v>11.3635</v>
      </c>
      <c r="W61" s="746">
        <v>2.0234999999999999</v>
      </c>
      <c r="X61" s="746">
        <v>2.0179999999999998</v>
      </c>
      <c r="Y61" s="746">
        <v>11.3635</v>
      </c>
      <c r="Z61" s="2124">
        <v>0</v>
      </c>
      <c r="AA61" s="2124">
        <v>0.18622357418851176</v>
      </c>
      <c r="AB61" s="2151">
        <v>0.18622357418851176</v>
      </c>
    </row>
    <row r="62" spans="2:28">
      <c r="B62" s="2134">
        <v>78</v>
      </c>
      <c r="C62" s="2126">
        <v>0</v>
      </c>
      <c r="D62" s="2126">
        <v>10.228999999999999</v>
      </c>
      <c r="E62" s="2126">
        <v>3.625</v>
      </c>
      <c r="F62" s="2126">
        <v>3.625</v>
      </c>
      <c r="G62" s="2126">
        <v>10.228999999999999</v>
      </c>
      <c r="H62" s="2127">
        <v>0</v>
      </c>
      <c r="I62" s="2127">
        <v>0.35438459282432305</v>
      </c>
      <c r="J62" s="2135">
        <v>0.35438459282432305</v>
      </c>
      <c r="K62" s="2134">
        <v>78</v>
      </c>
      <c r="L62" s="2126">
        <v>0</v>
      </c>
      <c r="M62" s="2126">
        <v>11.47</v>
      </c>
      <c r="N62" s="2128">
        <v>0.38100000000000001</v>
      </c>
      <c r="O62" s="2126">
        <v>0.371</v>
      </c>
      <c r="P62" s="2126">
        <v>11.47</v>
      </c>
      <c r="Q62" s="2127">
        <v>0</v>
      </c>
      <c r="R62" s="2127">
        <v>3.2345248474280733E-2</v>
      </c>
      <c r="S62" s="2135">
        <v>3.2345248474280733E-2</v>
      </c>
      <c r="T62" s="2134">
        <v>78</v>
      </c>
      <c r="U62" s="1742">
        <v>0</v>
      </c>
      <c r="V62" s="1742">
        <v>10.849499999999999</v>
      </c>
      <c r="W62" s="1742">
        <v>2.0030000000000001</v>
      </c>
      <c r="X62" s="1742">
        <v>1.998</v>
      </c>
      <c r="Y62" s="1742">
        <v>10.849499999999999</v>
      </c>
      <c r="Z62" s="2129">
        <v>0</v>
      </c>
      <c r="AA62" s="2129">
        <v>0.19336492064930189</v>
      </c>
      <c r="AB62" s="2150">
        <v>0.19336492064930189</v>
      </c>
    </row>
    <row r="63" spans="2:28">
      <c r="B63" s="89">
        <v>79</v>
      </c>
      <c r="C63" s="1">
        <v>0</v>
      </c>
      <c r="D63" s="1">
        <v>9.7330000000000005</v>
      </c>
      <c r="E63" s="1">
        <v>3.601</v>
      </c>
      <c r="F63" s="1">
        <v>3.601</v>
      </c>
      <c r="G63" s="1">
        <v>9.7330000000000005</v>
      </c>
      <c r="H63" s="747">
        <v>0</v>
      </c>
      <c r="I63" s="747">
        <v>0.36997842391862734</v>
      </c>
      <c r="J63" s="2135">
        <v>0.36997842391862734</v>
      </c>
      <c r="K63" s="89">
        <v>79</v>
      </c>
      <c r="L63" s="1">
        <v>0</v>
      </c>
      <c r="M63" s="1">
        <v>10.932</v>
      </c>
      <c r="N63" s="1462">
        <v>0.35699999999999998</v>
      </c>
      <c r="O63" s="1">
        <v>0.34899999999999998</v>
      </c>
      <c r="P63" s="1">
        <v>10.932</v>
      </c>
      <c r="Q63" s="747">
        <v>0</v>
      </c>
      <c r="R63" s="747">
        <v>3.1924624954262709E-2</v>
      </c>
      <c r="S63" s="2136">
        <v>3.1924624954262709E-2</v>
      </c>
      <c r="T63" s="89">
        <v>79</v>
      </c>
      <c r="U63" s="746">
        <v>0</v>
      </c>
      <c r="V63" s="746">
        <v>10.3325</v>
      </c>
      <c r="W63" s="746">
        <v>1.9790000000000001</v>
      </c>
      <c r="X63" s="746">
        <v>1.9750000000000001</v>
      </c>
      <c r="Y63" s="746">
        <v>10.3325</v>
      </c>
      <c r="Z63" s="2124">
        <v>0</v>
      </c>
      <c r="AA63" s="2124">
        <v>0.20095152443644504</v>
      </c>
      <c r="AB63" s="2151">
        <v>0.20095152443644504</v>
      </c>
    </row>
    <row r="64" spans="2:28">
      <c r="B64" s="2134">
        <v>80</v>
      </c>
      <c r="C64" s="2126">
        <v>0</v>
      </c>
      <c r="D64" s="2126">
        <v>9.2379999999999995</v>
      </c>
      <c r="E64" s="2126">
        <v>3.57</v>
      </c>
      <c r="F64" s="2126">
        <v>3.57</v>
      </c>
      <c r="G64" s="2126">
        <v>9.2379999999999995</v>
      </c>
      <c r="H64" s="2127">
        <v>0</v>
      </c>
      <c r="I64" s="2127">
        <v>0.38644728296168002</v>
      </c>
      <c r="J64" s="2135">
        <v>0.38644728296168002</v>
      </c>
      <c r="K64" s="2134">
        <v>80</v>
      </c>
      <c r="L64" s="2126">
        <v>0</v>
      </c>
      <c r="M64" s="2126">
        <v>10.391999999999999</v>
      </c>
      <c r="N64" s="2128">
        <v>0.33300000000000002</v>
      </c>
      <c r="O64" s="2126">
        <v>0.32700000000000001</v>
      </c>
      <c r="P64" s="2126">
        <v>10.391999999999999</v>
      </c>
      <c r="Q64" s="2127">
        <v>0</v>
      </c>
      <c r="R64" s="2127">
        <v>3.1466512702078522E-2</v>
      </c>
      <c r="S64" s="2135">
        <v>3.1466512702078522E-2</v>
      </c>
      <c r="T64" s="2134">
        <v>80</v>
      </c>
      <c r="U64" s="1742">
        <v>0</v>
      </c>
      <c r="V64" s="1742">
        <v>9.8149999999999995</v>
      </c>
      <c r="W64" s="1742">
        <v>1.9515</v>
      </c>
      <c r="X64" s="1742">
        <v>1.9484999999999999</v>
      </c>
      <c r="Y64" s="1742">
        <v>9.8149999999999995</v>
      </c>
      <c r="Z64" s="2129">
        <v>0</v>
      </c>
      <c r="AA64" s="2129">
        <v>0.20895689783187926</v>
      </c>
      <c r="AB64" s="2150">
        <v>0.20895689783187926</v>
      </c>
    </row>
    <row r="65" spans="2:28">
      <c r="B65" s="89">
        <v>81</v>
      </c>
      <c r="C65" s="1">
        <v>0</v>
      </c>
      <c r="D65" s="1">
        <v>8.7469999999999999</v>
      </c>
      <c r="E65" s="1">
        <v>3.5310000000000001</v>
      </c>
      <c r="F65" s="1">
        <v>3.5310000000000001</v>
      </c>
      <c r="G65" s="1">
        <v>8.7469999999999999</v>
      </c>
      <c r="H65" s="747">
        <v>0</v>
      </c>
      <c r="I65" s="747">
        <v>0.40368126214702188</v>
      </c>
      <c r="J65" s="2135">
        <v>0.40368126214702188</v>
      </c>
      <c r="K65" s="89">
        <v>81</v>
      </c>
      <c r="L65" s="1">
        <v>0</v>
      </c>
      <c r="M65" s="1">
        <v>9.8529999999999998</v>
      </c>
      <c r="N65" s="1462">
        <v>0.309</v>
      </c>
      <c r="O65" s="1">
        <v>0.30399999999999999</v>
      </c>
      <c r="P65" s="1">
        <v>9.8529999999999998</v>
      </c>
      <c r="Q65" s="747">
        <v>0</v>
      </c>
      <c r="R65" s="747">
        <v>3.0853547143002133E-2</v>
      </c>
      <c r="S65" s="2136">
        <v>3.0853547143002133E-2</v>
      </c>
      <c r="T65" s="89">
        <v>81</v>
      </c>
      <c r="U65" s="746">
        <v>0</v>
      </c>
      <c r="V65" s="746">
        <v>9.3000000000000007</v>
      </c>
      <c r="W65" s="746">
        <v>1.9200000000000002</v>
      </c>
      <c r="X65" s="746">
        <v>1.9175</v>
      </c>
      <c r="Y65" s="746">
        <v>9.3000000000000007</v>
      </c>
      <c r="Z65" s="2124">
        <v>0</v>
      </c>
      <c r="AA65" s="2124">
        <v>0.21726740464501201</v>
      </c>
      <c r="AB65" s="2151">
        <v>0.21726740464501201</v>
      </c>
    </row>
    <row r="66" spans="2:28">
      <c r="B66" s="2134">
        <v>82</v>
      </c>
      <c r="C66" s="2126">
        <v>0</v>
      </c>
      <c r="D66" s="2126">
        <v>8.2629999999999999</v>
      </c>
      <c r="E66" s="2126">
        <v>3.4820000000000002</v>
      </c>
      <c r="F66" s="2126">
        <v>3.4820000000000002</v>
      </c>
      <c r="G66" s="2126">
        <v>8.2629999999999999</v>
      </c>
      <c r="H66" s="2127">
        <v>0</v>
      </c>
      <c r="I66" s="2127">
        <v>0.4213965871959337</v>
      </c>
      <c r="J66" s="2135">
        <v>0.4213965871959337</v>
      </c>
      <c r="K66" s="2134">
        <v>82</v>
      </c>
      <c r="L66" s="2126">
        <v>0</v>
      </c>
      <c r="M66" s="2126">
        <v>9.3179999999999996</v>
      </c>
      <c r="N66" s="2128">
        <v>0.28499999999999998</v>
      </c>
      <c r="O66" s="2126">
        <v>0.28100000000000003</v>
      </c>
      <c r="P66" s="2126">
        <v>9.3179999999999996</v>
      </c>
      <c r="Q66" s="2127">
        <v>0</v>
      </c>
      <c r="R66" s="2127">
        <v>3.0156685984116766E-2</v>
      </c>
      <c r="S66" s="2135">
        <v>3.0156685984116766E-2</v>
      </c>
      <c r="T66" s="2134">
        <v>82</v>
      </c>
      <c r="U66" s="1742">
        <v>0</v>
      </c>
      <c r="V66" s="1742">
        <v>8.7904999999999998</v>
      </c>
      <c r="W66" s="1742">
        <v>1.8835000000000002</v>
      </c>
      <c r="X66" s="1742">
        <v>1.8815000000000002</v>
      </c>
      <c r="Y66" s="1742">
        <v>8.7904999999999998</v>
      </c>
      <c r="Z66" s="2129">
        <v>0</v>
      </c>
      <c r="AA66" s="2129">
        <v>0.22577663659002523</v>
      </c>
      <c r="AB66" s="2150">
        <v>0.22577663659002523</v>
      </c>
    </row>
    <row r="67" spans="2:28">
      <c r="B67" s="89">
        <v>83</v>
      </c>
      <c r="C67" s="1">
        <v>0</v>
      </c>
      <c r="D67" s="1">
        <v>7.7880000000000003</v>
      </c>
      <c r="E67" s="1">
        <v>3.4089999999999998</v>
      </c>
      <c r="F67" s="1">
        <v>3.4089999999999998</v>
      </c>
      <c r="G67" s="1">
        <v>7.7880000000000003</v>
      </c>
      <c r="H67" s="747">
        <v>0</v>
      </c>
      <c r="I67" s="747">
        <v>0.43772470467385716</v>
      </c>
      <c r="J67" s="2135">
        <v>0.43772470467385716</v>
      </c>
      <c r="K67" s="89">
        <v>83</v>
      </c>
      <c r="L67" s="1">
        <v>0</v>
      </c>
      <c r="M67" s="1">
        <v>8.7889999999999997</v>
      </c>
      <c r="N67" s="1462">
        <v>0.26100000000000001</v>
      </c>
      <c r="O67" s="1">
        <v>0.25800000000000001</v>
      </c>
      <c r="P67" s="1">
        <v>8.7889999999999997</v>
      </c>
      <c r="Q67" s="747">
        <v>0</v>
      </c>
      <c r="R67" s="747">
        <v>2.9354875412447381E-2</v>
      </c>
      <c r="S67" s="2136">
        <v>2.9354875412447381E-2</v>
      </c>
      <c r="T67" s="89">
        <v>83</v>
      </c>
      <c r="U67" s="746">
        <v>0</v>
      </c>
      <c r="V67" s="746">
        <v>8.2884999999999991</v>
      </c>
      <c r="W67" s="746">
        <v>1.835</v>
      </c>
      <c r="X67" s="746">
        <v>1.8334999999999999</v>
      </c>
      <c r="Y67" s="746">
        <v>8.2884999999999991</v>
      </c>
      <c r="Z67" s="2124">
        <v>0</v>
      </c>
      <c r="AA67" s="2124">
        <v>0.23353979004315226</v>
      </c>
      <c r="AB67" s="2151">
        <v>0.23353979004315226</v>
      </c>
    </row>
    <row r="68" spans="2:28">
      <c r="B68" s="2134">
        <v>84</v>
      </c>
      <c r="C68" s="2126">
        <v>0</v>
      </c>
      <c r="D68" s="2126">
        <v>7.327</v>
      </c>
      <c r="E68" s="2126">
        <v>3.3220000000000001</v>
      </c>
      <c r="F68" s="2126">
        <v>3.3220000000000001</v>
      </c>
      <c r="G68" s="2126">
        <v>7.327</v>
      </c>
      <c r="H68" s="2127">
        <v>0</v>
      </c>
      <c r="I68" s="2127">
        <v>0.4533915654428825</v>
      </c>
      <c r="J68" s="2135">
        <v>0.4533915654428825</v>
      </c>
      <c r="K68" s="2134">
        <v>84</v>
      </c>
      <c r="L68" s="2126">
        <v>0</v>
      </c>
      <c r="M68" s="2126">
        <v>8.2710000000000008</v>
      </c>
      <c r="N68" s="2128">
        <v>0.23799999999999999</v>
      </c>
      <c r="O68" s="2126">
        <v>0.23499999999999999</v>
      </c>
      <c r="P68" s="2126">
        <v>8.2710000000000008</v>
      </c>
      <c r="Q68" s="2127">
        <v>0</v>
      </c>
      <c r="R68" s="2127">
        <v>2.8412525692177483E-2</v>
      </c>
      <c r="S68" s="2135">
        <v>2.8412525692177483E-2</v>
      </c>
      <c r="T68" s="2134">
        <v>84</v>
      </c>
      <c r="U68" s="1742">
        <v>0</v>
      </c>
      <c r="V68" s="1742">
        <v>7.7990000000000004</v>
      </c>
      <c r="W68" s="1742">
        <v>1.78</v>
      </c>
      <c r="X68" s="1742">
        <v>1.7785</v>
      </c>
      <c r="Y68" s="1742">
        <v>7.7990000000000004</v>
      </c>
      <c r="Z68" s="2129">
        <v>0</v>
      </c>
      <c r="AA68" s="2129">
        <v>0.24090204556753</v>
      </c>
      <c r="AB68" s="2150">
        <v>0.24090204556753</v>
      </c>
    </row>
    <row r="69" spans="2:28">
      <c r="B69" s="89">
        <v>85</v>
      </c>
      <c r="C69" s="1">
        <v>0</v>
      </c>
      <c r="D69" s="1">
        <v>6.883</v>
      </c>
      <c r="E69" s="1">
        <v>3.2229999999999999</v>
      </c>
      <c r="F69" s="1">
        <v>3.2229999999999999</v>
      </c>
      <c r="G69" s="1">
        <v>6.883</v>
      </c>
      <c r="H69" s="747">
        <v>0</v>
      </c>
      <c r="I69" s="747">
        <v>0.46825512131338076</v>
      </c>
      <c r="J69" s="2135">
        <v>0.46825512131338076</v>
      </c>
      <c r="K69" s="89">
        <v>85</v>
      </c>
      <c r="L69" s="1">
        <v>0</v>
      </c>
      <c r="M69" s="1">
        <v>7.7679999999999998</v>
      </c>
      <c r="N69" s="1462">
        <v>0.21199999999999999</v>
      </c>
      <c r="O69" s="1">
        <v>0.21</v>
      </c>
      <c r="P69" s="1">
        <v>7.7679999999999998</v>
      </c>
      <c r="Q69" s="747">
        <v>0</v>
      </c>
      <c r="R69" s="747">
        <v>2.7033985581874358E-2</v>
      </c>
      <c r="S69" s="2136">
        <v>2.7033985581874358E-2</v>
      </c>
      <c r="T69" s="89">
        <v>85</v>
      </c>
      <c r="U69" s="746">
        <v>0</v>
      </c>
      <c r="V69" s="746">
        <v>7.3254999999999999</v>
      </c>
      <c r="W69" s="746">
        <v>1.7175</v>
      </c>
      <c r="X69" s="746">
        <v>1.7164999999999999</v>
      </c>
      <c r="Y69" s="746">
        <v>7.3254999999999999</v>
      </c>
      <c r="Z69" s="2124">
        <v>0</v>
      </c>
      <c r="AA69" s="2124">
        <v>0.24764455344762756</v>
      </c>
      <c r="AB69" s="2151">
        <v>0.24764455344762756</v>
      </c>
    </row>
    <row r="70" spans="2:28">
      <c r="B70" s="2134">
        <v>86</v>
      </c>
      <c r="C70" s="2126">
        <v>0</v>
      </c>
      <c r="D70" s="2126">
        <v>6.4619999999999997</v>
      </c>
      <c r="E70" s="2126">
        <v>3.1139999999999999</v>
      </c>
      <c r="F70" s="2126">
        <v>3.1139999999999999</v>
      </c>
      <c r="G70" s="2126">
        <v>6.4619999999999997</v>
      </c>
      <c r="H70" s="2127">
        <v>0</v>
      </c>
      <c r="I70" s="2127">
        <v>0.48189415041782729</v>
      </c>
      <c r="J70" s="2135">
        <v>0.48189415041782729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1.65</v>
      </c>
      <c r="X70" s="1742">
        <v>1.65</v>
      </c>
      <c r="Y70" s="1742">
        <v>6.8734999999999999</v>
      </c>
      <c r="Z70" s="2129">
        <v>0</v>
      </c>
      <c r="AA70" s="2129">
        <v>0.25371303265572215</v>
      </c>
      <c r="AB70" s="2150">
        <v>0.25371303265572215</v>
      </c>
    </row>
    <row r="71" spans="2:28">
      <c r="B71" s="89">
        <v>87</v>
      </c>
      <c r="C71" s="1">
        <v>0</v>
      </c>
      <c r="D71" s="1">
        <v>6.069</v>
      </c>
      <c r="E71" s="1">
        <v>2.9969999999999999</v>
      </c>
      <c r="F71" s="1">
        <v>2.9969999999999999</v>
      </c>
      <c r="G71" s="1">
        <v>6.069</v>
      </c>
      <c r="H71" s="747">
        <v>0</v>
      </c>
      <c r="I71" s="747">
        <v>0.49382105783489866</v>
      </c>
      <c r="J71" s="2135">
        <v>0.49382105783489866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1.5794999999999999</v>
      </c>
      <c r="X71" s="746">
        <v>1.5794999999999999</v>
      </c>
      <c r="Y71" s="746">
        <v>6.4474999999999998</v>
      </c>
      <c r="Z71" s="2124">
        <v>0</v>
      </c>
      <c r="AA71" s="2124">
        <v>0.25877692211991049</v>
      </c>
      <c r="AB71" s="2151">
        <v>0.25877692211991049</v>
      </c>
    </row>
    <row r="72" spans="2:28">
      <c r="B72" s="2134">
        <v>88</v>
      </c>
      <c r="C72" s="2126">
        <v>0</v>
      </c>
      <c r="D72" s="2126">
        <v>5.7119999999999997</v>
      </c>
      <c r="E72" s="2126">
        <v>2.8730000000000002</v>
      </c>
      <c r="F72" s="2126">
        <v>2.8730000000000002</v>
      </c>
      <c r="G72" s="2126">
        <v>5.7119999999999997</v>
      </c>
      <c r="H72" s="2127">
        <v>0</v>
      </c>
      <c r="I72" s="2127">
        <v>0.50297619047619058</v>
      </c>
      <c r="J72" s="2135">
        <v>0.50297619047619058</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1.5065000000000002</v>
      </c>
      <c r="X72" s="1742">
        <v>1.5065000000000002</v>
      </c>
      <c r="Y72" s="1742">
        <v>6.0549999999999997</v>
      </c>
      <c r="Z72" s="2129">
        <v>0</v>
      </c>
      <c r="AA72" s="2129">
        <v>0.26242901427529441</v>
      </c>
      <c r="AB72" s="2150">
        <v>0.26242901427529441</v>
      </c>
    </row>
    <row r="73" spans="2:28">
      <c r="B73" s="89">
        <v>89</v>
      </c>
      <c r="C73" s="1">
        <v>0</v>
      </c>
      <c r="D73" s="1">
        <v>5.3979999999999997</v>
      </c>
      <c r="E73" s="1">
        <v>2.7149999999999999</v>
      </c>
      <c r="F73" s="1">
        <v>2.7149999999999999</v>
      </c>
      <c r="G73" s="1">
        <v>5.3979999999999997</v>
      </c>
      <c r="H73" s="747">
        <v>0</v>
      </c>
      <c r="I73" s="747">
        <v>0.50296406076324562</v>
      </c>
      <c r="J73" s="2135">
        <v>0.50296406076324562</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1.4159999999999999</v>
      </c>
      <c r="X73" s="746">
        <v>1.4159999999999999</v>
      </c>
      <c r="Y73" s="746">
        <v>5.7024999999999997</v>
      </c>
      <c r="Z73" s="2124">
        <v>0</v>
      </c>
      <c r="AA73" s="2124">
        <v>0.26122066863699156</v>
      </c>
      <c r="AB73" s="2151">
        <v>0.26122066863699156</v>
      </c>
    </row>
    <row r="74" spans="2:28">
      <c r="B74" s="2134">
        <v>90</v>
      </c>
      <c r="C74" s="2126">
        <v>0</v>
      </c>
      <c r="D74" s="2126">
        <v>5.1150000000000002</v>
      </c>
      <c r="E74" s="2126">
        <v>2.5489999999999999</v>
      </c>
      <c r="F74" s="2126">
        <v>2.5489999999999999</v>
      </c>
      <c r="G74" s="2126">
        <v>5.1150000000000002</v>
      </c>
      <c r="H74" s="2127">
        <v>0</v>
      </c>
      <c r="I74" s="2127">
        <v>0.49833822091886604</v>
      </c>
      <c r="J74" s="2135">
        <v>0.49833822091886604</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1.323</v>
      </c>
      <c r="X74" s="1742">
        <v>1.323</v>
      </c>
      <c r="Y74" s="1742">
        <v>5.3849999999999998</v>
      </c>
      <c r="Z74" s="2129">
        <v>0</v>
      </c>
      <c r="AA74" s="2129">
        <v>0.2577455914497071</v>
      </c>
      <c r="AB74" s="2150">
        <v>0.2577455914497071</v>
      </c>
    </row>
    <row r="75" spans="2:28">
      <c r="B75" s="89">
        <v>91</v>
      </c>
      <c r="C75" s="1">
        <v>0</v>
      </c>
      <c r="D75" s="1">
        <v>4.8499999999999996</v>
      </c>
      <c r="E75" s="1">
        <v>2.387</v>
      </c>
      <c r="F75" s="1">
        <v>2.387</v>
      </c>
      <c r="G75" s="1">
        <v>4.8499999999999996</v>
      </c>
      <c r="H75" s="747">
        <v>0</v>
      </c>
      <c r="I75" s="747">
        <v>0.49216494845360831</v>
      </c>
      <c r="J75" s="2135">
        <v>0.49216494845360831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1.2335</v>
      </c>
      <c r="X75" s="746">
        <v>1.2335</v>
      </c>
      <c r="Y75" s="746">
        <v>5.0909999999999993</v>
      </c>
      <c r="Z75" s="2124">
        <v>0</v>
      </c>
      <c r="AA75" s="2124">
        <v>0.2535843496956714</v>
      </c>
      <c r="AB75" s="2151">
        <v>0.2535843496956714</v>
      </c>
    </row>
    <row r="76" spans="2:28">
      <c r="B76" s="2134">
        <v>92</v>
      </c>
      <c r="C76" s="2126">
        <v>0</v>
      </c>
      <c r="D76" s="2126">
        <v>4.6040000000000001</v>
      </c>
      <c r="E76" s="2126">
        <v>2.2040000000000002</v>
      </c>
      <c r="F76" s="2126">
        <v>2.2040000000000002</v>
      </c>
      <c r="G76" s="2126">
        <v>4.6040000000000001</v>
      </c>
      <c r="H76" s="2127">
        <v>0</v>
      </c>
      <c r="I76" s="2127">
        <v>0.47871416159860991</v>
      </c>
      <c r="J76" s="2135">
        <v>0.47871416159860991</v>
      </c>
      <c r="K76" s="2134">
        <v>92</v>
      </c>
      <c r="L76" s="2126">
        <v>0</v>
      </c>
      <c r="M76" s="2126">
        <v>5.0289999999999999</v>
      </c>
      <c r="N76" s="2128">
        <v>6.4000000000000001E-2</v>
      </c>
      <c r="O76" s="2126">
        <v>6.5000000000000002E-2</v>
      </c>
      <c r="P76" s="2126">
        <v>5.0289999999999999</v>
      </c>
      <c r="Q76" s="2127">
        <v>0</v>
      </c>
      <c r="R76" s="2127">
        <v>1.2925034798170611E-2</v>
      </c>
      <c r="S76" s="2135">
        <v>1.2925034798170611E-2</v>
      </c>
      <c r="T76" s="2134">
        <v>92</v>
      </c>
      <c r="U76" s="1742">
        <v>0</v>
      </c>
      <c r="V76" s="1742">
        <v>4.8164999999999996</v>
      </c>
      <c r="W76" s="1742">
        <v>1.1340000000000001</v>
      </c>
      <c r="X76" s="1742">
        <v>1.1345000000000001</v>
      </c>
      <c r="Y76" s="1742">
        <v>4.8164999999999996</v>
      </c>
      <c r="Z76" s="2129">
        <v>0</v>
      </c>
      <c r="AA76" s="2129">
        <v>0.24581959819839025</v>
      </c>
      <c r="AB76" s="2150">
        <v>0.24581959819839025</v>
      </c>
    </row>
    <row r="77" spans="2:28">
      <c r="B77" s="89">
        <v>93</v>
      </c>
      <c r="C77" s="1">
        <v>0</v>
      </c>
      <c r="D77" s="1">
        <v>4.3760000000000003</v>
      </c>
      <c r="E77" s="1">
        <v>2.0350000000000001</v>
      </c>
      <c r="F77" s="1">
        <v>2.0350000000000001</v>
      </c>
      <c r="G77" s="1">
        <v>4.3760000000000003</v>
      </c>
      <c r="H77" s="747">
        <v>0</v>
      </c>
      <c r="I77" s="747">
        <v>0.46503656307129798</v>
      </c>
      <c r="J77" s="2135">
        <v>0.46503656307129798</v>
      </c>
      <c r="K77" s="89">
        <v>93</v>
      </c>
      <c r="L77" s="1">
        <v>0</v>
      </c>
      <c r="M77" s="1">
        <v>4.7469999999999999</v>
      </c>
      <c r="N77" s="1462">
        <v>5.1999999999999998E-2</v>
      </c>
      <c r="O77" s="1">
        <v>5.2999999999999999E-2</v>
      </c>
      <c r="P77" s="1">
        <v>4.7469999999999999</v>
      </c>
      <c r="Q77" s="747">
        <v>0</v>
      </c>
      <c r="R77" s="747">
        <v>1.1164946281862228E-2</v>
      </c>
      <c r="S77" s="2136">
        <v>1.1164946281862228E-2</v>
      </c>
      <c r="T77" s="89">
        <v>93</v>
      </c>
      <c r="U77" s="746">
        <v>0</v>
      </c>
      <c r="V77" s="746">
        <v>4.5615000000000006</v>
      </c>
      <c r="W77" s="746">
        <v>1.0435000000000001</v>
      </c>
      <c r="X77" s="746">
        <v>1.044</v>
      </c>
      <c r="Y77" s="746">
        <v>4.5615000000000006</v>
      </c>
      <c r="Z77" s="2124">
        <v>0</v>
      </c>
      <c r="AA77" s="2124">
        <v>0.2381007546765801</v>
      </c>
      <c r="AB77" s="2151">
        <v>0.2381007546765801</v>
      </c>
    </row>
    <row r="78" spans="2:28">
      <c r="B78" s="2134">
        <v>94</v>
      </c>
      <c r="C78" s="2126">
        <v>0</v>
      </c>
      <c r="D78" s="2126">
        <v>4.1660000000000004</v>
      </c>
      <c r="E78" s="2126">
        <v>1.85</v>
      </c>
      <c r="F78" s="2126">
        <v>1.85</v>
      </c>
      <c r="G78" s="2126">
        <v>4.1660000000000004</v>
      </c>
      <c r="H78" s="2127">
        <v>0</v>
      </c>
      <c r="I78" s="2127">
        <v>0.44407105136821889</v>
      </c>
      <c r="J78" s="2135">
        <v>0.44407105136821889</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0.94600000000000006</v>
      </c>
      <c r="X78" s="1742">
        <v>0.94600000000000006</v>
      </c>
      <c r="Y78" s="1742">
        <v>4.3254999999999999</v>
      </c>
      <c r="Z78" s="2129">
        <v>0</v>
      </c>
      <c r="AA78" s="2129">
        <v>0.22671779993160107</v>
      </c>
      <c r="AB78" s="2150">
        <v>0.22671779993160107</v>
      </c>
    </row>
    <row r="79" spans="2:28">
      <c r="B79" s="89">
        <v>95</v>
      </c>
      <c r="C79" s="1">
        <v>0</v>
      </c>
      <c r="D79" s="1">
        <v>3.9740000000000002</v>
      </c>
      <c r="E79" s="1">
        <v>1.6830000000000001</v>
      </c>
      <c r="F79" s="1">
        <v>1.6830000000000001</v>
      </c>
      <c r="G79" s="1">
        <v>3.9740000000000002</v>
      </c>
      <c r="H79" s="747">
        <v>0</v>
      </c>
      <c r="I79" s="747">
        <v>0.42350276799194764</v>
      </c>
      <c r="J79" s="2135">
        <v>0.42350276799194764</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0.85850000000000004</v>
      </c>
      <c r="X79" s="746">
        <v>0.85850000000000004</v>
      </c>
      <c r="Y79" s="746">
        <v>4.1095000000000006</v>
      </c>
      <c r="Z79" s="2124">
        <v>0</v>
      </c>
      <c r="AA79" s="2124">
        <v>0.21575609542117993</v>
      </c>
      <c r="AB79" s="2151">
        <v>0.21575609542117993</v>
      </c>
    </row>
    <row r="80" spans="2:28">
      <c r="B80" s="2134">
        <v>96</v>
      </c>
      <c r="C80" s="2126">
        <v>0</v>
      </c>
      <c r="D80" s="2126">
        <v>3.798</v>
      </c>
      <c r="E80" s="2126">
        <v>1.5349999999999999</v>
      </c>
      <c r="F80" s="2126">
        <v>1.5349999999999999</v>
      </c>
      <c r="G80" s="2126">
        <v>3.798</v>
      </c>
      <c r="H80" s="2127">
        <v>0</v>
      </c>
      <c r="I80" s="2127">
        <v>0.40416008425487093</v>
      </c>
      <c r="J80" s="2135">
        <v>0.40416008425487093</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0.78099999999999992</v>
      </c>
      <c r="X80" s="1742">
        <v>0.78099999999999992</v>
      </c>
      <c r="Y80" s="1742">
        <v>3.911</v>
      </c>
      <c r="Z80" s="2129">
        <v>0</v>
      </c>
      <c r="AA80" s="2129">
        <v>0.20543491290278337</v>
      </c>
      <c r="AB80" s="2150">
        <v>0.20543491290278337</v>
      </c>
    </row>
    <row r="81" spans="2:28">
      <c r="B81" s="89">
        <v>97</v>
      </c>
      <c r="C81" s="1">
        <v>0</v>
      </c>
      <c r="D81" s="1">
        <v>3.6389999999999998</v>
      </c>
      <c r="E81" s="1">
        <v>1.371</v>
      </c>
      <c r="F81" s="1">
        <v>1.371</v>
      </c>
      <c r="G81" s="1">
        <v>3.6389999999999998</v>
      </c>
      <c r="H81" s="747">
        <v>0</v>
      </c>
      <c r="I81" s="747">
        <v>0.37675185490519375</v>
      </c>
      <c r="J81" s="2135">
        <v>0.37675185490519375</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0.69599999999999995</v>
      </c>
      <c r="X81" s="746">
        <v>0.69599999999999995</v>
      </c>
      <c r="Y81" s="746">
        <v>3.7314999999999996</v>
      </c>
      <c r="Z81" s="2124">
        <v>0</v>
      </c>
      <c r="AA81" s="2124">
        <v>0.19112174335217846</v>
      </c>
      <c r="AB81" s="2151">
        <v>0.19112174335217846</v>
      </c>
    </row>
    <row r="82" spans="2:28">
      <c r="B82" s="2134">
        <v>98</v>
      </c>
      <c r="C82" s="2126">
        <v>0</v>
      </c>
      <c r="D82" s="2126">
        <v>3.4950000000000001</v>
      </c>
      <c r="E82" s="2126">
        <v>1.216</v>
      </c>
      <c r="F82" s="2126">
        <v>1.216</v>
      </c>
      <c r="G82" s="2126">
        <v>3.4950000000000001</v>
      </c>
      <c r="H82" s="2127">
        <v>0</v>
      </c>
      <c r="I82" s="2127">
        <v>0.3479256080114449</v>
      </c>
      <c r="J82" s="2135">
        <v>0.3479256080114449</v>
      </c>
      <c r="K82" s="2134">
        <v>98</v>
      </c>
      <c r="L82" s="2126">
        <v>0</v>
      </c>
      <c r="M82" s="2126">
        <v>3.6429999999999998</v>
      </c>
      <c r="N82" s="2128">
        <v>1.6E-2</v>
      </c>
      <c r="O82" s="2126">
        <v>1.7000000000000001E-2</v>
      </c>
      <c r="P82" s="2126">
        <v>3.6429999999999998</v>
      </c>
      <c r="Q82" s="2127">
        <v>0</v>
      </c>
      <c r="R82" s="2127">
        <v>4.6664836673071652E-3</v>
      </c>
      <c r="S82" s="2135">
        <v>4.6664836673071652E-3</v>
      </c>
      <c r="T82" s="2134">
        <v>98</v>
      </c>
      <c r="U82" s="1742">
        <v>0</v>
      </c>
      <c r="V82" s="1742">
        <v>3.569</v>
      </c>
      <c r="W82" s="1742">
        <v>0.61599999999999999</v>
      </c>
      <c r="X82" s="1742">
        <v>0.61649999999999994</v>
      </c>
      <c r="Y82" s="1742">
        <v>3.569</v>
      </c>
      <c r="Z82" s="2129">
        <v>0</v>
      </c>
      <c r="AA82" s="2129">
        <v>0.17629604583937603</v>
      </c>
      <c r="AB82" s="2150">
        <v>0.17629604583937603</v>
      </c>
    </row>
    <row r="83" spans="2:28">
      <c r="B83" s="89">
        <v>99</v>
      </c>
      <c r="C83" s="1">
        <v>0</v>
      </c>
      <c r="D83" s="1">
        <v>3.3639999999999999</v>
      </c>
      <c r="E83" s="1">
        <v>1.0409999999999999</v>
      </c>
      <c r="F83" s="1">
        <v>1.0409999999999999</v>
      </c>
      <c r="G83" s="1">
        <v>3.3639999999999999</v>
      </c>
      <c r="H83" s="747">
        <v>0</v>
      </c>
      <c r="I83" s="747">
        <v>0.30945303210463732</v>
      </c>
      <c r="J83" s="2135">
        <v>0.30945303210463732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0.52699999999999991</v>
      </c>
      <c r="X83" s="746">
        <v>0.52699999999999991</v>
      </c>
      <c r="Y83" s="746">
        <v>3.4219999999999997</v>
      </c>
      <c r="Z83" s="2124">
        <v>0</v>
      </c>
      <c r="AA83" s="2124">
        <v>0.15659433214427268</v>
      </c>
      <c r="AB83" s="2151">
        <v>0.15659433214427268</v>
      </c>
    </row>
    <row r="84" spans="2:28" ht="15" thickBot="1">
      <c r="B84" s="2137">
        <v>100</v>
      </c>
      <c r="C84" s="2138">
        <v>0</v>
      </c>
      <c r="D84" s="2138">
        <v>3.2450000000000001</v>
      </c>
      <c r="E84" s="2138">
        <v>0.84799999999999998</v>
      </c>
      <c r="F84" s="2138">
        <v>0.84799999999999998</v>
      </c>
      <c r="G84" s="2138">
        <v>3.2450000000000001</v>
      </c>
      <c r="H84" s="2139">
        <v>0</v>
      </c>
      <c r="I84" s="2139">
        <v>0.26132511556240368</v>
      </c>
      <c r="J84" s="2135">
        <v>0.26132511556240368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0.42899999999999999</v>
      </c>
      <c r="X84" s="2152">
        <v>0.42899999999999999</v>
      </c>
      <c r="Y84" s="2152">
        <v>3.29</v>
      </c>
      <c r="Z84" s="2153">
        <v>0</v>
      </c>
      <c r="AA84" s="2153">
        <v>0.13216180815601444</v>
      </c>
      <c r="AB84" s="2154">
        <v>0.13216180815601444</v>
      </c>
    </row>
  </sheetData>
  <mergeCells count="4">
    <mergeCell ref="H2:J2"/>
    <mergeCell ref="Q2:S2"/>
    <mergeCell ref="Z2:AB2"/>
    <mergeCell ref="B2:B3"/>
  </mergeCells>
  <phoneticPr fontId="52"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55"/>
      <selection activeCell="B1" sqref="A1:XFD1048576"/>
      <selection pane="bottomLeft" activeCell="Z9" sqref="Z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169</v>
      </c>
      <c r="B2" s="2130" t="s">
        <v>7</v>
      </c>
      <c r="C2" s="2131" t="s">
        <v>0</v>
      </c>
      <c r="D2" s="2131" t="s">
        <v>1</v>
      </c>
      <c r="E2" s="2131" t="s">
        <v>2</v>
      </c>
      <c r="F2" s="2131" t="s">
        <v>1706</v>
      </c>
      <c r="G2" s="2131" t="s">
        <v>1963</v>
      </c>
      <c r="H2" s="3964" t="s">
        <v>162</v>
      </c>
      <c r="I2" s="3965"/>
      <c r="J2" s="3966"/>
      <c r="K2" s="2141"/>
      <c r="L2" s="2142" t="s">
        <v>0</v>
      </c>
      <c r="M2" s="2142" t="s">
        <v>1</v>
      </c>
      <c r="N2" s="2142" t="s">
        <v>2</v>
      </c>
      <c r="O2" s="2142" t="s">
        <v>1706</v>
      </c>
      <c r="P2" s="2142" t="str">
        <f>+G2</f>
        <v>Anwartschafts-barwert
Altersrente</v>
      </c>
      <c r="Q2" s="3967" t="s">
        <v>163</v>
      </c>
      <c r="R2" s="3968"/>
      <c r="S2" s="3969"/>
      <c r="T2" s="2146"/>
      <c r="U2" s="2147" t="s">
        <v>0</v>
      </c>
      <c r="V2" s="2147" t="s">
        <v>1</v>
      </c>
      <c r="W2" s="2147" t="s">
        <v>2</v>
      </c>
      <c r="X2" s="2147" t="s">
        <v>1706</v>
      </c>
      <c r="Y2" s="2147" t="str">
        <f>+P2</f>
        <v>Anwartschafts-barwert
Altersrente</v>
      </c>
      <c r="Z2" s="3970" t="s">
        <v>1576</v>
      </c>
      <c r="AA2" s="3971"/>
      <c r="AB2" s="3972"/>
    </row>
    <row r="3" spans="1:28" s="2" customFormat="1" ht="13.5">
      <c r="A3" s="60">
        <v>43111</v>
      </c>
      <c r="B3" s="2132"/>
      <c r="C3" s="2125" t="s">
        <v>17</v>
      </c>
      <c r="D3" s="2125" t="s">
        <v>18</v>
      </c>
      <c r="E3" s="2125" t="s">
        <v>24</v>
      </c>
      <c r="F3" s="2125" t="s">
        <v>24</v>
      </c>
      <c r="G3" s="2125"/>
      <c r="H3" s="1133" t="s">
        <v>8</v>
      </c>
      <c r="I3" s="1133" t="s">
        <v>9</v>
      </c>
      <c r="J3" s="2133" t="s">
        <v>10</v>
      </c>
      <c r="K3" s="2143" t="s">
        <v>7</v>
      </c>
      <c r="L3" s="1134" t="s">
        <v>19</v>
      </c>
      <c r="M3" s="1134" t="s">
        <v>20</v>
      </c>
      <c r="N3" s="1134" t="s">
        <v>26</v>
      </c>
      <c r="O3" s="1134"/>
      <c r="P3" s="1134"/>
      <c r="Q3" s="1134" t="s">
        <v>8</v>
      </c>
      <c r="R3" s="1134" t="s">
        <v>9</v>
      </c>
      <c r="S3" s="2144" t="s">
        <v>10</v>
      </c>
      <c r="T3" s="2163" t="s">
        <v>7</v>
      </c>
      <c r="U3" s="2164" t="s">
        <v>182</v>
      </c>
      <c r="V3" s="2164" t="s">
        <v>183</v>
      </c>
      <c r="W3" s="2164" t="s">
        <v>26</v>
      </c>
      <c r="X3" s="2164"/>
      <c r="Y3" s="2164"/>
      <c r="Z3" s="2164" t="s">
        <v>8</v>
      </c>
      <c r="AA3" s="2164" t="s">
        <v>9</v>
      </c>
      <c r="AB3" s="2165" t="s">
        <v>10</v>
      </c>
    </row>
    <row r="4" spans="1:28">
      <c r="B4" s="2134">
        <v>20</v>
      </c>
      <c r="C4" s="2126">
        <v>0.28299999999999997</v>
      </c>
      <c r="D4" s="2126">
        <v>4.6829999999999998</v>
      </c>
      <c r="E4" s="2126">
        <v>0.53400000000000003</v>
      </c>
      <c r="F4" s="2126">
        <v>0.53400000000000003</v>
      </c>
      <c r="G4" s="2126">
        <v>4.3999999999999995</v>
      </c>
      <c r="H4" s="2127">
        <v>6.4318181818181816E-2</v>
      </c>
      <c r="I4" s="2127">
        <v>0.12136363636363638</v>
      </c>
      <c r="J4" s="2135">
        <v>0.1856818181818182</v>
      </c>
      <c r="K4" s="2134">
        <v>20</v>
      </c>
      <c r="L4" s="2126">
        <v>0.29499999999999998</v>
      </c>
      <c r="M4" s="2126">
        <v>5.4459999999999997</v>
      </c>
      <c r="N4" s="2128">
        <v>0.13300000000000001</v>
      </c>
      <c r="O4" s="2126">
        <v>0.13300000000000001</v>
      </c>
      <c r="P4" s="2126">
        <v>5.1509999999999998</v>
      </c>
      <c r="Q4" s="2127">
        <v>5.7270432925645508E-2</v>
      </c>
      <c r="R4" s="2127">
        <v>2.5820229081731705E-2</v>
      </c>
      <c r="S4" s="2135">
        <v>8.309066200737722E-2</v>
      </c>
      <c r="T4" s="2134">
        <v>20</v>
      </c>
      <c r="U4" s="1742">
        <v>0.28899999999999998</v>
      </c>
      <c r="V4" s="1742">
        <v>5.0644999999999998</v>
      </c>
      <c r="W4" s="1742">
        <v>0.33350000000000002</v>
      </c>
      <c r="X4" s="1742">
        <v>0.33350000000000002</v>
      </c>
      <c r="Y4" s="1742">
        <v>4.7754999999999992</v>
      </c>
      <c r="Z4" s="2129">
        <v>6.0794307371913658E-2</v>
      </c>
      <c r="AA4" s="2129">
        <v>7.359193272268405E-2</v>
      </c>
      <c r="AB4" s="2150">
        <v>0.13438624009459771</v>
      </c>
    </row>
    <row r="5" spans="1:28">
      <c r="B5" s="89">
        <v>21</v>
      </c>
      <c r="C5" s="1">
        <v>0.32600000000000001</v>
      </c>
      <c r="D5" s="1">
        <v>4.8250000000000002</v>
      </c>
      <c r="E5" s="1">
        <v>0.621</v>
      </c>
      <c r="F5" s="1">
        <v>0.621</v>
      </c>
      <c r="G5" s="1">
        <v>4.4990000000000006</v>
      </c>
      <c r="H5" s="747">
        <v>7.2460546788175137E-2</v>
      </c>
      <c r="I5" s="747">
        <v>0.13803067348299619</v>
      </c>
      <c r="J5" s="2136">
        <v>0.21049122027117134</v>
      </c>
      <c r="K5" s="89">
        <v>21</v>
      </c>
      <c r="L5" s="1">
        <v>0.35399999999999998</v>
      </c>
      <c r="M5" s="1">
        <v>5.609</v>
      </c>
      <c r="N5" s="1462">
        <v>0.16</v>
      </c>
      <c r="O5" s="1">
        <v>0.16</v>
      </c>
      <c r="P5" s="1">
        <v>5.2549999999999999</v>
      </c>
      <c r="Q5" s="747">
        <v>6.7364414843006662E-2</v>
      </c>
      <c r="R5" s="747">
        <v>3.0447193149381543E-2</v>
      </c>
      <c r="S5" s="2136">
        <v>9.7811607992388208E-2</v>
      </c>
      <c r="T5" s="89">
        <v>21</v>
      </c>
      <c r="U5" s="746">
        <v>0.33999999999999997</v>
      </c>
      <c r="V5" s="746">
        <v>5.2170000000000005</v>
      </c>
      <c r="W5" s="746">
        <v>0.39050000000000001</v>
      </c>
      <c r="X5" s="746">
        <v>0.39050000000000001</v>
      </c>
      <c r="Y5" s="746">
        <v>4.8770000000000007</v>
      </c>
      <c r="Z5" s="2124">
        <v>6.9912480815590899E-2</v>
      </c>
      <c r="AA5" s="2124">
        <v>8.4238933316188869E-2</v>
      </c>
      <c r="AB5" s="2151">
        <v>0.15415141413177977</v>
      </c>
    </row>
    <row r="6" spans="1:28">
      <c r="B6" s="2134">
        <v>22</v>
      </c>
      <c r="C6" s="2126">
        <v>0.371</v>
      </c>
      <c r="D6" s="2126">
        <v>4.97</v>
      </c>
      <c r="E6" s="2126">
        <v>0.71299999999999997</v>
      </c>
      <c r="F6" s="2126">
        <v>0.71299999999999997</v>
      </c>
      <c r="G6" s="2126">
        <v>4.5990000000000002</v>
      </c>
      <c r="H6" s="2127">
        <v>8.0669710806697104E-2</v>
      </c>
      <c r="I6" s="2127">
        <v>0.15503370297890845</v>
      </c>
      <c r="J6" s="2135">
        <v>0.23570341378560555</v>
      </c>
      <c r="K6" s="2134">
        <v>22</v>
      </c>
      <c r="L6" s="2126">
        <v>0.40899999999999997</v>
      </c>
      <c r="M6" s="2126">
        <v>5.7750000000000004</v>
      </c>
      <c r="N6" s="2128">
        <v>0.186</v>
      </c>
      <c r="O6" s="2126">
        <v>0.186</v>
      </c>
      <c r="P6" s="2126">
        <v>5.3660000000000005</v>
      </c>
      <c r="Q6" s="2127">
        <v>7.6220648527767415E-2</v>
      </c>
      <c r="R6" s="2127">
        <v>3.4662691017517698E-2</v>
      </c>
      <c r="S6" s="2135">
        <v>0.11088333954528512</v>
      </c>
      <c r="T6" s="2134">
        <v>22</v>
      </c>
      <c r="U6" s="1742">
        <v>0.39</v>
      </c>
      <c r="V6" s="1742">
        <v>5.3725000000000005</v>
      </c>
      <c r="W6" s="1742">
        <v>0.44950000000000001</v>
      </c>
      <c r="X6" s="1742">
        <v>0.44950000000000001</v>
      </c>
      <c r="Y6" s="1742">
        <v>4.9824999999999999</v>
      </c>
      <c r="Z6" s="2129">
        <v>7.8445179667232259E-2</v>
      </c>
      <c r="AA6" s="2129">
        <v>9.4848196998213077E-2</v>
      </c>
      <c r="AB6" s="2150">
        <v>0.17329337666544534</v>
      </c>
    </row>
    <row r="7" spans="1:28">
      <c r="B7" s="89">
        <v>23</v>
      </c>
      <c r="C7" s="1">
        <v>0.41699999999999998</v>
      </c>
      <c r="D7" s="1">
        <v>5.1189999999999998</v>
      </c>
      <c r="E7" s="1">
        <v>0.81</v>
      </c>
      <c r="F7" s="1">
        <v>0.81</v>
      </c>
      <c r="G7" s="1">
        <v>4.702</v>
      </c>
      <c r="H7" s="747">
        <v>8.8685665674181194E-2</v>
      </c>
      <c r="I7" s="747">
        <v>0.17226712037430883</v>
      </c>
      <c r="J7" s="2136">
        <v>0.26095278604849004</v>
      </c>
      <c r="K7" s="89">
        <v>23</v>
      </c>
      <c r="L7" s="1">
        <v>0.45500000000000002</v>
      </c>
      <c r="M7" s="1">
        <v>5.9470000000000001</v>
      </c>
      <c r="N7" s="1462">
        <v>0.20799999999999999</v>
      </c>
      <c r="O7" s="1">
        <v>0.20799999999999999</v>
      </c>
      <c r="P7" s="1">
        <v>5.492</v>
      </c>
      <c r="Q7" s="747">
        <v>8.2847778587035695E-2</v>
      </c>
      <c r="R7" s="747">
        <v>3.7873270211216316E-2</v>
      </c>
      <c r="S7" s="2136">
        <v>0.12072104879825202</v>
      </c>
      <c r="T7" s="89">
        <v>23</v>
      </c>
      <c r="U7" s="746">
        <v>0.436</v>
      </c>
      <c r="V7" s="746">
        <v>5.5329999999999995</v>
      </c>
      <c r="W7" s="746">
        <v>0.50900000000000001</v>
      </c>
      <c r="X7" s="746">
        <v>0.50900000000000001</v>
      </c>
      <c r="Y7" s="746">
        <v>5.0969999999999995</v>
      </c>
      <c r="Z7" s="2124">
        <v>8.5766722130608444E-2</v>
      </c>
      <c r="AA7" s="2124">
        <v>0.10507019529276257</v>
      </c>
      <c r="AB7" s="2151">
        <v>0.19083691742337103</v>
      </c>
    </row>
    <row r="8" spans="1:28">
      <c r="B8" s="2134">
        <v>24</v>
      </c>
      <c r="C8" s="2126">
        <v>0.45700000000000002</v>
      </c>
      <c r="D8" s="2126">
        <v>5.2720000000000002</v>
      </c>
      <c r="E8" s="2126">
        <v>0.89900000000000002</v>
      </c>
      <c r="F8" s="2126">
        <v>0.89900000000000002</v>
      </c>
      <c r="G8" s="2126">
        <v>4.8150000000000004</v>
      </c>
      <c r="H8" s="2127">
        <v>9.4911734164070602E-2</v>
      </c>
      <c r="I8" s="2127">
        <v>0.18670820353063342</v>
      </c>
      <c r="J8" s="2135">
        <v>0.281619937694704</v>
      </c>
      <c r="K8" s="2134">
        <v>24</v>
      </c>
      <c r="L8" s="2126">
        <v>0.496</v>
      </c>
      <c r="M8" s="2126">
        <v>6.1219999999999999</v>
      </c>
      <c r="N8" s="2128">
        <v>0.22800000000000001</v>
      </c>
      <c r="O8" s="2126">
        <v>0.22800000000000001</v>
      </c>
      <c r="P8" s="2126">
        <v>5.6259999999999994</v>
      </c>
      <c r="Q8" s="2127">
        <v>8.816210451475294E-2</v>
      </c>
      <c r="R8" s="2127">
        <v>4.0526128688233208E-2</v>
      </c>
      <c r="S8" s="2135">
        <v>0.12868823320298614</v>
      </c>
      <c r="T8" s="2134">
        <v>24</v>
      </c>
      <c r="U8" s="1742">
        <v>0.47650000000000003</v>
      </c>
      <c r="V8" s="1742">
        <v>5.6970000000000001</v>
      </c>
      <c r="W8" s="1742">
        <v>0.5635</v>
      </c>
      <c r="X8" s="1742">
        <v>0.5635</v>
      </c>
      <c r="Y8" s="1742">
        <v>5.2204999999999995</v>
      </c>
      <c r="Z8" s="2129">
        <v>9.1536919339411771E-2</v>
      </c>
      <c r="AA8" s="2129">
        <v>0.11361716610943332</v>
      </c>
      <c r="AB8" s="2150">
        <v>0.20515408544884506</v>
      </c>
    </row>
    <row r="9" spans="1:28">
      <c r="B9" s="89">
        <v>25</v>
      </c>
      <c r="C9" s="1">
        <v>0.49399999999999999</v>
      </c>
      <c r="D9" s="1">
        <v>5.4279999999999999</v>
      </c>
      <c r="E9" s="1">
        <v>0.98099999999999998</v>
      </c>
      <c r="F9" s="1">
        <v>0.98099999999999998</v>
      </c>
      <c r="G9" s="1">
        <v>4.9340000000000002</v>
      </c>
      <c r="H9" s="747">
        <v>0.10012160518848803</v>
      </c>
      <c r="I9" s="747">
        <v>0.19882448317794893</v>
      </c>
      <c r="J9" s="2136">
        <v>0.29894608836643699</v>
      </c>
      <c r="K9" s="89">
        <v>25</v>
      </c>
      <c r="L9" s="1">
        <v>0.53700000000000003</v>
      </c>
      <c r="M9" s="1">
        <v>6.3010000000000002</v>
      </c>
      <c r="N9" s="1462">
        <v>0.248</v>
      </c>
      <c r="O9" s="1">
        <v>0.248</v>
      </c>
      <c r="P9" s="1">
        <v>5.7640000000000002</v>
      </c>
      <c r="Q9" s="747">
        <v>9.3164469118667589E-2</v>
      </c>
      <c r="R9" s="747">
        <v>4.302567661346287E-2</v>
      </c>
      <c r="S9" s="2136">
        <v>0.13619014573213045</v>
      </c>
      <c r="T9" s="89">
        <v>25</v>
      </c>
      <c r="U9" s="746">
        <v>0.51550000000000007</v>
      </c>
      <c r="V9" s="746">
        <v>5.8644999999999996</v>
      </c>
      <c r="W9" s="746">
        <v>0.61450000000000005</v>
      </c>
      <c r="X9" s="746">
        <v>0.61450000000000005</v>
      </c>
      <c r="Y9" s="746">
        <v>5.3490000000000002</v>
      </c>
      <c r="Z9" s="2124">
        <v>9.6643037153577804E-2</v>
      </c>
      <c r="AA9" s="2124">
        <v>0.1209250798957059</v>
      </c>
      <c r="AB9" s="2151">
        <v>0.21756811704928372</v>
      </c>
    </row>
    <row r="10" spans="1:28">
      <c r="B10" s="2134">
        <v>26</v>
      </c>
      <c r="C10" s="2126">
        <v>0.52600000000000002</v>
      </c>
      <c r="D10" s="2126">
        <v>5.5869999999999997</v>
      </c>
      <c r="E10" s="2126">
        <v>1.06</v>
      </c>
      <c r="F10" s="2126">
        <v>1.06</v>
      </c>
      <c r="G10" s="2126">
        <v>5.0609999999999999</v>
      </c>
      <c r="H10" s="2127">
        <v>0.10393202924323257</v>
      </c>
      <c r="I10" s="2127">
        <v>0.20944477376012646</v>
      </c>
      <c r="J10" s="2135">
        <v>0.31337680300335902</v>
      </c>
      <c r="K10" s="2134">
        <v>26</v>
      </c>
      <c r="L10" s="2126">
        <v>0.57799999999999996</v>
      </c>
      <c r="M10" s="2126">
        <v>6.4829999999999997</v>
      </c>
      <c r="N10" s="2128">
        <v>0.26900000000000002</v>
      </c>
      <c r="O10" s="2126">
        <v>0.26900000000000002</v>
      </c>
      <c r="P10" s="2126">
        <v>5.9049999999999994</v>
      </c>
      <c r="Q10" s="2127">
        <v>9.7883149872988989E-2</v>
      </c>
      <c r="R10" s="2127">
        <v>4.5554614733276891E-2</v>
      </c>
      <c r="S10" s="2135">
        <v>0.14343776460626589</v>
      </c>
      <c r="T10" s="2134">
        <v>26</v>
      </c>
      <c r="U10" s="1742">
        <v>0.55200000000000005</v>
      </c>
      <c r="V10" s="1742">
        <v>6.0350000000000001</v>
      </c>
      <c r="W10" s="1742">
        <v>0.66450000000000009</v>
      </c>
      <c r="X10" s="1742">
        <v>0.66450000000000009</v>
      </c>
      <c r="Y10" s="1742">
        <v>5.4829999999999997</v>
      </c>
      <c r="Z10" s="2129">
        <v>0.10090758955811077</v>
      </c>
      <c r="AA10" s="2129">
        <v>0.12749969424670168</v>
      </c>
      <c r="AB10" s="2150">
        <v>0.22840728380481246</v>
      </c>
    </row>
    <row r="11" spans="1:28">
      <c r="B11" s="89">
        <v>27</v>
      </c>
      <c r="C11" s="1">
        <v>0.55600000000000005</v>
      </c>
      <c r="D11" s="1">
        <v>5.75</v>
      </c>
      <c r="E11" s="1">
        <v>1.1359999999999999</v>
      </c>
      <c r="F11" s="1">
        <v>1.1359999999999999</v>
      </c>
      <c r="G11" s="1">
        <v>5.194</v>
      </c>
      <c r="H11" s="747">
        <v>0.10704659222179438</v>
      </c>
      <c r="I11" s="747">
        <v>0.21871390065460145</v>
      </c>
      <c r="J11" s="2136">
        <v>0.32576049287639586</v>
      </c>
      <c r="K11" s="89">
        <v>27</v>
      </c>
      <c r="L11" s="1">
        <v>0.61699999999999999</v>
      </c>
      <c r="M11" s="1">
        <v>6.67</v>
      </c>
      <c r="N11" s="1462">
        <v>0.28899999999999998</v>
      </c>
      <c r="O11" s="1">
        <v>0.28899999999999998</v>
      </c>
      <c r="P11" s="1">
        <v>6.0529999999999999</v>
      </c>
      <c r="Q11" s="747">
        <v>0.10193292582190649</v>
      </c>
      <c r="R11" s="747">
        <v>4.7744919874442425E-2</v>
      </c>
      <c r="S11" s="2136">
        <v>0.14967784569634893</v>
      </c>
      <c r="T11" s="89">
        <v>27</v>
      </c>
      <c r="U11" s="746">
        <v>0.58650000000000002</v>
      </c>
      <c r="V11" s="746">
        <v>6.21</v>
      </c>
      <c r="W11" s="746">
        <v>0.71249999999999991</v>
      </c>
      <c r="X11" s="746">
        <v>0.71249999999999991</v>
      </c>
      <c r="Y11" s="746">
        <v>5.6234999999999999</v>
      </c>
      <c r="Z11" s="2124">
        <v>0.10448975902185044</v>
      </c>
      <c r="AA11" s="2124">
        <v>0.13322941026452192</v>
      </c>
      <c r="AB11" s="2151">
        <v>0.23771916928637238</v>
      </c>
    </row>
    <row r="12" spans="1:28">
      <c r="B12" s="2134">
        <v>28</v>
      </c>
      <c r="C12" s="2126">
        <v>0.58399999999999996</v>
      </c>
      <c r="D12" s="2126">
        <v>5.9169999999999998</v>
      </c>
      <c r="E12" s="2126">
        <v>1.21</v>
      </c>
      <c r="F12" s="2126">
        <v>1.21</v>
      </c>
      <c r="G12" s="2126">
        <v>5.3330000000000002</v>
      </c>
      <c r="H12" s="2127">
        <v>0.1095068441777611</v>
      </c>
      <c r="I12" s="2127">
        <v>0.22688918057378585</v>
      </c>
      <c r="J12" s="2135">
        <v>0.33639602475154695</v>
      </c>
      <c r="K12" s="2134">
        <v>28</v>
      </c>
      <c r="L12" s="2126">
        <v>0.65400000000000003</v>
      </c>
      <c r="M12" s="2126">
        <v>6.86</v>
      </c>
      <c r="N12" s="2128">
        <v>0.309</v>
      </c>
      <c r="O12" s="2126">
        <v>0.309</v>
      </c>
      <c r="P12" s="2126">
        <v>6.2060000000000004</v>
      </c>
      <c r="Q12" s="2127">
        <v>0.10538188849500484</v>
      </c>
      <c r="R12" s="2127">
        <v>4.979052529809861E-2</v>
      </c>
      <c r="S12" s="2135">
        <v>0.15517241379310345</v>
      </c>
      <c r="T12" s="2134">
        <v>28</v>
      </c>
      <c r="U12" s="1742">
        <v>0.61899999999999999</v>
      </c>
      <c r="V12" s="1742">
        <v>6.3885000000000005</v>
      </c>
      <c r="W12" s="1742">
        <v>0.75949999999999995</v>
      </c>
      <c r="X12" s="1742">
        <v>0.75949999999999995</v>
      </c>
      <c r="Y12" s="1742">
        <v>5.7695000000000007</v>
      </c>
      <c r="Z12" s="2129">
        <v>0.10744436633638296</v>
      </c>
      <c r="AA12" s="2129">
        <v>0.13833985293594223</v>
      </c>
      <c r="AB12" s="2150">
        <v>0.24578421927232519</v>
      </c>
    </row>
    <row r="13" spans="1:28">
      <c r="B13" s="89">
        <v>29</v>
      </c>
      <c r="C13" s="1">
        <v>0.60899999999999999</v>
      </c>
      <c r="D13" s="1">
        <v>6.0869999999999997</v>
      </c>
      <c r="E13" s="1">
        <v>1.2829999999999999</v>
      </c>
      <c r="F13" s="1">
        <v>1.2829999999999999</v>
      </c>
      <c r="G13" s="1">
        <v>5.4779999999999998</v>
      </c>
      <c r="H13" s="747">
        <v>0.11117196056955093</v>
      </c>
      <c r="I13" s="747">
        <v>0.23420956553486674</v>
      </c>
      <c r="J13" s="2136">
        <v>0.34538152610441769</v>
      </c>
      <c r="K13" s="89">
        <v>29</v>
      </c>
      <c r="L13" s="1">
        <v>0.68899999999999995</v>
      </c>
      <c r="M13" s="1">
        <v>7.0540000000000003</v>
      </c>
      <c r="N13" s="1462">
        <v>0.32900000000000001</v>
      </c>
      <c r="O13" s="1">
        <v>0.32900000000000001</v>
      </c>
      <c r="P13" s="1">
        <v>6.3650000000000002</v>
      </c>
      <c r="Q13" s="747">
        <v>0.1082482325216025</v>
      </c>
      <c r="R13" s="747">
        <v>5.1688923802042423E-2</v>
      </c>
      <c r="S13" s="2136">
        <v>0.15993715632364491</v>
      </c>
      <c r="T13" s="89">
        <v>29</v>
      </c>
      <c r="U13" s="746">
        <v>0.64900000000000002</v>
      </c>
      <c r="V13" s="746">
        <v>6.5705</v>
      </c>
      <c r="W13" s="746">
        <v>0.80599999999999994</v>
      </c>
      <c r="X13" s="746">
        <v>0.80599999999999994</v>
      </c>
      <c r="Y13" s="746">
        <v>5.9215</v>
      </c>
      <c r="Z13" s="2124">
        <v>0.10971009654557672</v>
      </c>
      <c r="AA13" s="2124">
        <v>0.14294924466845457</v>
      </c>
      <c r="AB13" s="2151">
        <v>0.25265934121403133</v>
      </c>
    </row>
    <row r="14" spans="1:28">
      <c r="B14" s="2134">
        <v>30</v>
      </c>
      <c r="C14" s="2126">
        <v>0.63300000000000001</v>
      </c>
      <c r="D14" s="2126">
        <v>6.2619999999999996</v>
      </c>
      <c r="E14" s="2126">
        <v>1.355</v>
      </c>
      <c r="F14" s="2126">
        <v>1.355</v>
      </c>
      <c r="G14" s="2126">
        <v>5.6289999999999996</v>
      </c>
      <c r="H14" s="2127">
        <v>0.11245336649493694</v>
      </c>
      <c r="I14" s="2127">
        <v>0.24071771184935159</v>
      </c>
      <c r="J14" s="2135">
        <v>0.35317107834428851</v>
      </c>
      <c r="K14" s="2134">
        <v>30</v>
      </c>
      <c r="L14" s="2126">
        <v>0.72299999999999998</v>
      </c>
      <c r="M14" s="2126">
        <v>7.2510000000000003</v>
      </c>
      <c r="N14" s="2128">
        <v>0.34799999999999998</v>
      </c>
      <c r="O14" s="2126">
        <v>0.34799999999999998</v>
      </c>
      <c r="P14" s="2126">
        <v>6.5280000000000005</v>
      </c>
      <c r="Q14" s="2127">
        <v>0.11075367647058823</v>
      </c>
      <c r="R14" s="2127">
        <v>5.3308823529411756E-2</v>
      </c>
      <c r="S14" s="2135">
        <v>0.1640625</v>
      </c>
      <c r="T14" s="2134">
        <v>30</v>
      </c>
      <c r="U14" s="1742">
        <v>0.67799999999999994</v>
      </c>
      <c r="V14" s="1742">
        <v>6.7565</v>
      </c>
      <c r="W14" s="1742">
        <v>0.85149999999999992</v>
      </c>
      <c r="X14" s="1742">
        <v>0.85149999999999992</v>
      </c>
      <c r="Y14" s="1742">
        <v>6.0785</v>
      </c>
      <c r="Z14" s="2129">
        <v>0.11160352148276259</v>
      </c>
      <c r="AA14" s="2129">
        <v>0.14701326768938167</v>
      </c>
      <c r="AB14" s="2150">
        <v>0.25861678917214426</v>
      </c>
    </row>
    <row r="15" spans="1:28">
      <c r="B15" s="89">
        <v>31</v>
      </c>
      <c r="C15" s="1">
        <v>0.65500000000000003</v>
      </c>
      <c r="D15" s="1">
        <v>6.4420000000000002</v>
      </c>
      <c r="E15" s="1">
        <v>1.427</v>
      </c>
      <c r="F15" s="1">
        <v>1.427</v>
      </c>
      <c r="G15" s="1">
        <v>5.7869999999999999</v>
      </c>
      <c r="H15" s="747">
        <v>0.11318472438223605</v>
      </c>
      <c r="I15" s="747">
        <v>0.24658717815794023</v>
      </c>
      <c r="J15" s="2136">
        <v>0.35977190254017627</v>
      </c>
      <c r="K15" s="89">
        <v>31</v>
      </c>
      <c r="L15" s="1">
        <v>0.753</v>
      </c>
      <c r="M15" s="1">
        <v>7.4530000000000003</v>
      </c>
      <c r="N15" s="1462">
        <v>0.36699999999999999</v>
      </c>
      <c r="O15" s="1">
        <v>0.36699999999999999</v>
      </c>
      <c r="P15" s="1">
        <v>6.7</v>
      </c>
      <c r="Q15" s="747">
        <v>0.11238805970149253</v>
      </c>
      <c r="R15" s="747">
        <v>5.4776119402985074E-2</v>
      </c>
      <c r="S15" s="2136">
        <v>0.16716417910447762</v>
      </c>
      <c r="T15" s="89">
        <v>31</v>
      </c>
      <c r="U15" s="746">
        <v>0.70399999999999996</v>
      </c>
      <c r="V15" s="746">
        <v>6.9474999999999998</v>
      </c>
      <c r="W15" s="746">
        <v>0.89700000000000002</v>
      </c>
      <c r="X15" s="746">
        <v>0.89700000000000002</v>
      </c>
      <c r="Y15" s="746">
        <v>6.2435</v>
      </c>
      <c r="Z15" s="2124">
        <v>0.11278639204186429</v>
      </c>
      <c r="AA15" s="2124">
        <v>0.15068164878046264</v>
      </c>
      <c r="AB15" s="2151">
        <v>0.26346804082232694</v>
      </c>
    </row>
    <row r="16" spans="1:28">
      <c r="B16" s="2134">
        <v>32</v>
      </c>
      <c r="C16" s="2126">
        <v>0.67600000000000005</v>
      </c>
      <c r="D16" s="2126">
        <v>6.625</v>
      </c>
      <c r="E16" s="2126">
        <v>1.498</v>
      </c>
      <c r="F16" s="2126">
        <v>1.498</v>
      </c>
      <c r="G16" s="2126">
        <v>5.9489999999999998</v>
      </c>
      <c r="H16" s="2127">
        <v>0.11363254328458565</v>
      </c>
      <c r="I16" s="2127">
        <v>0.25180702639099006</v>
      </c>
      <c r="J16" s="2135">
        <v>0.36543956967557573</v>
      </c>
      <c r="K16" s="2134">
        <v>32</v>
      </c>
      <c r="L16" s="2126">
        <v>0.78200000000000003</v>
      </c>
      <c r="M16" s="2126">
        <v>7.6589999999999998</v>
      </c>
      <c r="N16" s="2128">
        <v>0.38600000000000001</v>
      </c>
      <c r="O16" s="2126">
        <v>0.38600000000000001</v>
      </c>
      <c r="P16" s="2126">
        <v>6.8769999999999998</v>
      </c>
      <c r="Q16" s="2127">
        <v>0.11371237458193981</v>
      </c>
      <c r="R16" s="2127">
        <v>5.6129126072415297E-2</v>
      </c>
      <c r="S16" s="2135">
        <v>0.1698415006543551</v>
      </c>
      <c r="T16" s="2134">
        <v>32</v>
      </c>
      <c r="U16" s="1742">
        <v>0.72900000000000009</v>
      </c>
      <c r="V16" s="1742">
        <v>7.1419999999999995</v>
      </c>
      <c r="W16" s="1742">
        <v>0.94199999999999995</v>
      </c>
      <c r="X16" s="1742">
        <v>0.94199999999999995</v>
      </c>
      <c r="Y16" s="1742">
        <v>6.4130000000000003</v>
      </c>
      <c r="Z16" s="2129">
        <v>0.11367245893326272</v>
      </c>
      <c r="AA16" s="2129">
        <v>0.15396807623170267</v>
      </c>
      <c r="AB16" s="2150">
        <v>0.26764053516496544</v>
      </c>
    </row>
    <row r="17" spans="2:28">
      <c r="B17" s="89">
        <v>33</v>
      </c>
      <c r="C17" s="1">
        <v>0.69599999999999995</v>
      </c>
      <c r="D17" s="1">
        <v>6.8140000000000001</v>
      </c>
      <c r="E17" s="1">
        <v>1.57</v>
      </c>
      <c r="F17" s="1">
        <v>1.57</v>
      </c>
      <c r="G17" s="1">
        <v>6.1180000000000003</v>
      </c>
      <c r="H17" s="747">
        <v>0.11376266753841123</v>
      </c>
      <c r="I17" s="747">
        <v>0.25661981039555409</v>
      </c>
      <c r="J17" s="2136">
        <v>0.37038247793396534</v>
      </c>
      <c r="K17" s="89">
        <v>33</v>
      </c>
      <c r="L17" s="1">
        <v>0.80700000000000005</v>
      </c>
      <c r="M17" s="1">
        <v>7.8689999999999998</v>
      </c>
      <c r="N17" s="1462">
        <v>0.40300000000000002</v>
      </c>
      <c r="O17" s="1">
        <v>0.40300000000000002</v>
      </c>
      <c r="P17" s="1">
        <v>7.0619999999999994</v>
      </c>
      <c r="Q17" s="747">
        <v>0.11427357689039934</v>
      </c>
      <c r="R17" s="747">
        <v>5.7065986972529036E-2</v>
      </c>
      <c r="S17" s="2136">
        <v>0.17133956386292837</v>
      </c>
      <c r="T17" s="89">
        <v>33</v>
      </c>
      <c r="U17" s="746">
        <v>0.75150000000000006</v>
      </c>
      <c r="V17" s="746">
        <v>7.3414999999999999</v>
      </c>
      <c r="W17" s="746">
        <v>0.98650000000000004</v>
      </c>
      <c r="X17" s="746">
        <v>0.98650000000000004</v>
      </c>
      <c r="Y17" s="746">
        <v>6.59</v>
      </c>
      <c r="Z17" s="2124">
        <v>0.11401812221440528</v>
      </c>
      <c r="AA17" s="2124">
        <v>0.15684289868404155</v>
      </c>
      <c r="AB17" s="2151">
        <v>0.27086102089844688</v>
      </c>
    </row>
    <row r="18" spans="2:28">
      <c r="B18" s="2134">
        <v>34</v>
      </c>
      <c r="C18" s="2126">
        <v>0.71399999999999997</v>
      </c>
      <c r="D18" s="2126">
        <v>7.0069999999999997</v>
      </c>
      <c r="E18" s="2126">
        <v>1.641</v>
      </c>
      <c r="F18" s="2126">
        <v>1.641</v>
      </c>
      <c r="G18" s="2126">
        <v>6.2929999999999993</v>
      </c>
      <c r="H18" s="2127">
        <v>0.11345939933259178</v>
      </c>
      <c r="I18" s="2127">
        <v>0.26076593039885593</v>
      </c>
      <c r="J18" s="2135">
        <v>0.37422532973144773</v>
      </c>
      <c r="K18" s="2134">
        <v>34</v>
      </c>
      <c r="L18" s="2126">
        <v>0.83</v>
      </c>
      <c r="M18" s="2126">
        <v>8.0830000000000002</v>
      </c>
      <c r="N18" s="2128">
        <v>0.42099999999999999</v>
      </c>
      <c r="O18" s="2126">
        <v>0.42099999999999999</v>
      </c>
      <c r="P18" s="2126">
        <v>7.2530000000000001</v>
      </c>
      <c r="Q18" s="2127">
        <v>0.11443540603888046</v>
      </c>
      <c r="R18" s="2127">
        <v>5.8044946918516471E-2</v>
      </c>
      <c r="S18" s="2135">
        <v>0.17248035295739694</v>
      </c>
      <c r="T18" s="2134">
        <v>34</v>
      </c>
      <c r="U18" s="1742">
        <v>0.77200000000000002</v>
      </c>
      <c r="V18" s="1742">
        <v>7.5449999999999999</v>
      </c>
      <c r="W18" s="1742">
        <v>1.0309999999999999</v>
      </c>
      <c r="X18" s="1742">
        <v>1.0309999999999999</v>
      </c>
      <c r="Y18" s="1742">
        <v>6.7729999999999997</v>
      </c>
      <c r="Z18" s="2129">
        <v>0.11394740268573611</v>
      </c>
      <c r="AA18" s="2129">
        <v>0.1594054386586862</v>
      </c>
      <c r="AB18" s="2150">
        <v>0.27335284134442234</v>
      </c>
    </row>
    <row r="19" spans="2:28">
      <c r="B19" s="89">
        <v>35</v>
      </c>
      <c r="C19" s="1">
        <v>0.73</v>
      </c>
      <c r="D19" s="1">
        <v>7.2050000000000001</v>
      </c>
      <c r="E19" s="1">
        <v>1.7130000000000001</v>
      </c>
      <c r="F19" s="1">
        <v>1.7130000000000001</v>
      </c>
      <c r="G19" s="1">
        <v>6.4749999999999996</v>
      </c>
      <c r="H19" s="747">
        <v>0.11274131274131274</v>
      </c>
      <c r="I19" s="747">
        <v>0.26455598455598456</v>
      </c>
      <c r="J19" s="2136">
        <v>0.37729729729729733</v>
      </c>
      <c r="K19" s="89">
        <v>35</v>
      </c>
      <c r="L19" s="1">
        <v>0.84899999999999998</v>
      </c>
      <c r="M19" s="1">
        <v>8.3010000000000002</v>
      </c>
      <c r="N19" s="1462">
        <v>0.438</v>
      </c>
      <c r="O19" s="1">
        <v>0.438</v>
      </c>
      <c r="P19" s="1">
        <v>7.452</v>
      </c>
      <c r="Q19" s="747">
        <v>0.11392914653784218</v>
      </c>
      <c r="R19" s="747">
        <v>5.8776167471819643E-2</v>
      </c>
      <c r="S19" s="2136">
        <v>0.17270531400966183</v>
      </c>
      <c r="T19" s="89">
        <v>35</v>
      </c>
      <c r="U19" s="746">
        <v>0.78949999999999998</v>
      </c>
      <c r="V19" s="746">
        <v>7.7530000000000001</v>
      </c>
      <c r="W19" s="746">
        <v>1.0755000000000001</v>
      </c>
      <c r="X19" s="746">
        <v>1.0755000000000001</v>
      </c>
      <c r="Y19" s="746">
        <v>6.9634999999999998</v>
      </c>
      <c r="Z19" s="2124">
        <v>0.11333522963957746</v>
      </c>
      <c r="AA19" s="2124">
        <v>0.16166607601390209</v>
      </c>
      <c r="AB19" s="2151">
        <v>0.27500130565347958</v>
      </c>
    </row>
    <row r="20" spans="2:28">
      <c r="B20" s="2134">
        <v>36</v>
      </c>
      <c r="C20" s="2126">
        <v>0.74299999999999999</v>
      </c>
      <c r="D20" s="2126">
        <v>7.4059999999999997</v>
      </c>
      <c r="E20" s="2126">
        <v>1.7849999999999999</v>
      </c>
      <c r="F20" s="2126">
        <v>1.7849999999999999</v>
      </c>
      <c r="G20" s="2126">
        <v>6.6629999999999994</v>
      </c>
      <c r="H20" s="2127">
        <v>0.11151133123217771</v>
      </c>
      <c r="I20" s="2127">
        <v>0.26789734353894645</v>
      </c>
      <c r="J20" s="2135">
        <v>0.37940867477112417</v>
      </c>
      <c r="K20" s="2134">
        <v>36</v>
      </c>
      <c r="L20" s="2126">
        <v>0.86299999999999999</v>
      </c>
      <c r="M20" s="2126">
        <v>8.5220000000000002</v>
      </c>
      <c r="N20" s="2128">
        <v>0.45400000000000001</v>
      </c>
      <c r="O20" s="2126">
        <v>0.45400000000000001</v>
      </c>
      <c r="P20" s="2126">
        <v>7.6590000000000007</v>
      </c>
      <c r="Q20" s="2127">
        <v>0.11267789528659093</v>
      </c>
      <c r="R20" s="2127">
        <v>5.9276667972320146E-2</v>
      </c>
      <c r="S20" s="2135">
        <v>0.17195456325891106</v>
      </c>
      <c r="T20" s="2134">
        <v>36</v>
      </c>
      <c r="U20" s="1742">
        <v>0.80299999999999994</v>
      </c>
      <c r="V20" s="1742">
        <v>7.9640000000000004</v>
      </c>
      <c r="W20" s="1742">
        <v>1.1194999999999999</v>
      </c>
      <c r="X20" s="1742">
        <v>1.1194999999999999</v>
      </c>
      <c r="Y20" s="1742">
        <v>7.1609999999999996</v>
      </c>
      <c r="Z20" s="2129">
        <v>0.11209461325938433</v>
      </c>
      <c r="AA20" s="2129">
        <v>0.16358700575563329</v>
      </c>
      <c r="AB20" s="2150">
        <v>0.27568161901501764</v>
      </c>
    </row>
    <row r="21" spans="2:28">
      <c r="B21" s="89">
        <v>37</v>
      </c>
      <c r="C21" s="1">
        <v>0.751</v>
      </c>
      <c r="D21" s="1">
        <v>7.61</v>
      </c>
      <c r="E21" s="1">
        <v>1.8580000000000001</v>
      </c>
      <c r="F21" s="1">
        <v>1.8580000000000001</v>
      </c>
      <c r="G21" s="1">
        <v>6.859</v>
      </c>
      <c r="H21" s="747">
        <v>0.10949117947222627</v>
      </c>
      <c r="I21" s="747">
        <v>0.27088496865432282</v>
      </c>
      <c r="J21" s="2136">
        <v>0.38037614812654907</v>
      </c>
      <c r="K21" s="89">
        <v>37</v>
      </c>
      <c r="L21" s="1">
        <v>0.871</v>
      </c>
      <c r="M21" s="1">
        <v>8.7460000000000004</v>
      </c>
      <c r="N21" s="1462">
        <v>0.47</v>
      </c>
      <c r="O21" s="1">
        <v>0.47</v>
      </c>
      <c r="P21" s="1">
        <v>7.875</v>
      </c>
      <c r="Q21" s="747">
        <v>0.11060317460317461</v>
      </c>
      <c r="R21" s="747">
        <v>5.9682539682539677E-2</v>
      </c>
      <c r="S21" s="2136">
        <v>0.17028571428571429</v>
      </c>
      <c r="T21" s="89">
        <v>37</v>
      </c>
      <c r="U21" s="746">
        <v>0.81099999999999994</v>
      </c>
      <c r="V21" s="746">
        <v>8.1780000000000008</v>
      </c>
      <c r="W21" s="746">
        <v>1.1640000000000001</v>
      </c>
      <c r="X21" s="746">
        <v>1.1640000000000001</v>
      </c>
      <c r="Y21" s="746">
        <v>7.367</v>
      </c>
      <c r="Z21" s="2124">
        <v>0.11004717703770044</v>
      </c>
      <c r="AA21" s="2124">
        <v>0.16528375416843125</v>
      </c>
      <c r="AB21" s="2151">
        <v>0.27533093120613167</v>
      </c>
    </row>
    <row r="22" spans="2:28">
      <c r="B22" s="2134">
        <v>38</v>
      </c>
      <c r="C22" s="2126">
        <v>0.753</v>
      </c>
      <c r="D22" s="2126">
        <v>7.8159999999999998</v>
      </c>
      <c r="E22" s="2126">
        <v>1.929</v>
      </c>
      <c r="F22" s="2126">
        <v>1.929</v>
      </c>
      <c r="G22" s="2126">
        <v>7.0629999999999997</v>
      </c>
      <c r="H22" s="2127">
        <v>0.10661192127990939</v>
      </c>
      <c r="I22" s="2127">
        <v>0.27311340790032568</v>
      </c>
      <c r="J22" s="2135">
        <v>0.37972532918023505</v>
      </c>
      <c r="K22" s="2134">
        <v>38</v>
      </c>
      <c r="L22" s="2126">
        <v>0.873</v>
      </c>
      <c r="M22" s="2126">
        <v>8.9730000000000008</v>
      </c>
      <c r="N22" s="2128">
        <v>0.48399999999999999</v>
      </c>
      <c r="O22" s="2126">
        <v>0.48399999999999999</v>
      </c>
      <c r="P22" s="2126">
        <v>8.1000000000000014</v>
      </c>
      <c r="Q22" s="2127">
        <v>0.10777777777777776</v>
      </c>
      <c r="R22" s="2127">
        <v>5.9753086419753076E-2</v>
      </c>
      <c r="S22" s="2135">
        <v>0.16753086419753083</v>
      </c>
      <c r="T22" s="2134">
        <v>38</v>
      </c>
      <c r="U22" s="1742">
        <v>0.81299999999999994</v>
      </c>
      <c r="V22" s="1742">
        <v>8.3945000000000007</v>
      </c>
      <c r="W22" s="1742">
        <v>1.2065000000000001</v>
      </c>
      <c r="X22" s="1742">
        <v>1.2065000000000001</v>
      </c>
      <c r="Y22" s="1742">
        <v>7.5815000000000001</v>
      </c>
      <c r="Z22" s="2129">
        <v>0.10719484952884357</v>
      </c>
      <c r="AA22" s="2129">
        <v>0.16643324716003938</v>
      </c>
      <c r="AB22" s="2150">
        <v>0.27362809668888294</v>
      </c>
    </row>
    <row r="23" spans="2:28">
      <c r="B23" s="89">
        <v>39</v>
      </c>
      <c r="C23" s="1">
        <v>0.751</v>
      </c>
      <c r="D23" s="1">
        <v>8.0250000000000004</v>
      </c>
      <c r="E23" s="1">
        <v>2.0019999999999998</v>
      </c>
      <c r="F23" s="1">
        <v>2.0019999999999998</v>
      </c>
      <c r="G23" s="1">
        <v>7.274</v>
      </c>
      <c r="H23" s="747">
        <v>0.10324443222436074</v>
      </c>
      <c r="I23" s="747">
        <v>0.2752268353038218</v>
      </c>
      <c r="J23" s="2136">
        <v>0.37847126752818255</v>
      </c>
      <c r="K23" s="89">
        <v>39</v>
      </c>
      <c r="L23" s="1">
        <v>0.86899999999999999</v>
      </c>
      <c r="M23" s="1">
        <v>9.202</v>
      </c>
      <c r="N23" s="1462">
        <v>0.498</v>
      </c>
      <c r="O23" s="1">
        <v>0.498</v>
      </c>
      <c r="P23" s="1">
        <v>8.3330000000000002</v>
      </c>
      <c r="Q23" s="747">
        <v>0.10428417136685467</v>
      </c>
      <c r="R23" s="747">
        <v>5.9762390495619822E-2</v>
      </c>
      <c r="S23" s="2136">
        <v>0.16404656186247449</v>
      </c>
      <c r="T23" s="89">
        <v>39</v>
      </c>
      <c r="U23" s="746">
        <v>0.81</v>
      </c>
      <c r="V23" s="746">
        <v>8.6135000000000002</v>
      </c>
      <c r="W23" s="746">
        <v>1.25</v>
      </c>
      <c r="X23" s="746">
        <v>1.25</v>
      </c>
      <c r="Y23" s="746">
        <v>7.8034999999999997</v>
      </c>
      <c r="Z23" s="2124">
        <v>0.10376430179560769</v>
      </c>
      <c r="AA23" s="2124">
        <v>0.16749461289972081</v>
      </c>
      <c r="AB23" s="2151">
        <v>0.27125891469532853</v>
      </c>
    </row>
    <row r="24" spans="2:28">
      <c r="B24" s="2134">
        <v>40</v>
      </c>
      <c r="C24" s="2126">
        <v>0.74399999999999999</v>
      </c>
      <c r="D24" s="2126">
        <v>8.2390000000000008</v>
      </c>
      <c r="E24" s="2126">
        <v>2.0739999999999998</v>
      </c>
      <c r="F24" s="2126">
        <v>2.0739999999999998</v>
      </c>
      <c r="G24" s="2126">
        <v>7.495000000000001</v>
      </c>
      <c r="H24" s="2127">
        <v>9.9266177451634408E-2</v>
      </c>
      <c r="I24" s="2127">
        <v>0.276717811874583</v>
      </c>
      <c r="J24" s="2135">
        <v>0.3759839893262174</v>
      </c>
      <c r="K24" s="2134">
        <v>40</v>
      </c>
      <c r="L24" s="2126">
        <v>0.86</v>
      </c>
      <c r="M24" s="2126">
        <v>9.4350000000000005</v>
      </c>
      <c r="N24" s="2128">
        <v>0.51200000000000001</v>
      </c>
      <c r="O24" s="2126">
        <v>0.51200000000000001</v>
      </c>
      <c r="P24" s="2126">
        <v>8.5750000000000011</v>
      </c>
      <c r="Q24" s="2127">
        <v>0.10029154518950435</v>
      </c>
      <c r="R24" s="2127">
        <v>5.9708454810495623E-2</v>
      </c>
      <c r="S24" s="2135">
        <v>0.15999999999999998</v>
      </c>
      <c r="T24" s="2134">
        <v>40</v>
      </c>
      <c r="U24" s="1742">
        <v>0.80200000000000005</v>
      </c>
      <c r="V24" s="1742">
        <v>8.8369999999999997</v>
      </c>
      <c r="W24" s="1742">
        <v>1.2929999999999999</v>
      </c>
      <c r="X24" s="1742">
        <v>1.2929999999999999</v>
      </c>
      <c r="Y24" s="1742">
        <v>8.0350000000000001</v>
      </c>
      <c r="Z24" s="2129">
        <v>9.9778861320569373E-2</v>
      </c>
      <c r="AA24" s="2129">
        <v>0.16821313334253932</v>
      </c>
      <c r="AB24" s="2150">
        <v>0.26799199466310869</v>
      </c>
    </row>
    <row r="25" spans="2:28">
      <c r="B25" s="89">
        <v>41</v>
      </c>
      <c r="C25" s="1">
        <v>0.73499999999999999</v>
      </c>
      <c r="D25" s="1">
        <v>8.4589999999999996</v>
      </c>
      <c r="E25" s="1">
        <v>2.1480000000000001</v>
      </c>
      <c r="F25" s="1">
        <v>2.1480000000000001</v>
      </c>
      <c r="G25" s="1">
        <v>7.7239999999999993</v>
      </c>
      <c r="H25" s="747">
        <v>9.5157949249093737E-2</v>
      </c>
      <c r="I25" s="747">
        <v>0.27809425168306579</v>
      </c>
      <c r="J25" s="2136">
        <v>0.37325220093215949</v>
      </c>
      <c r="K25" s="89">
        <v>41</v>
      </c>
      <c r="L25" s="1">
        <v>0.84599999999999997</v>
      </c>
      <c r="M25" s="1">
        <v>9.6739999999999995</v>
      </c>
      <c r="N25" s="1462">
        <v>0.52500000000000002</v>
      </c>
      <c r="O25" s="1">
        <v>0.52500000000000002</v>
      </c>
      <c r="P25" s="1">
        <v>8.8279999999999994</v>
      </c>
      <c r="Q25" s="747">
        <v>9.5831445400996834E-2</v>
      </c>
      <c r="R25" s="747">
        <v>5.9469868599909388E-2</v>
      </c>
      <c r="S25" s="2136">
        <v>0.15530131400090622</v>
      </c>
      <c r="T25" s="89">
        <v>41</v>
      </c>
      <c r="U25" s="746">
        <v>0.79049999999999998</v>
      </c>
      <c r="V25" s="746">
        <v>9.0664999999999996</v>
      </c>
      <c r="W25" s="746">
        <v>1.3365</v>
      </c>
      <c r="X25" s="746">
        <v>1.3365</v>
      </c>
      <c r="Y25" s="746">
        <v>8.2759999999999998</v>
      </c>
      <c r="Z25" s="2124">
        <v>9.5494697325045286E-2</v>
      </c>
      <c r="AA25" s="2124">
        <v>0.16878206014148758</v>
      </c>
      <c r="AB25" s="2151">
        <v>0.26427675746653284</v>
      </c>
    </row>
    <row r="26" spans="2:28">
      <c r="B26" s="2134">
        <v>42</v>
      </c>
      <c r="C26" s="2126">
        <v>0.72499999999999998</v>
      </c>
      <c r="D26" s="2126">
        <v>8.6859999999999999</v>
      </c>
      <c r="E26" s="2126">
        <v>2.222</v>
      </c>
      <c r="F26" s="2126">
        <v>2.222</v>
      </c>
      <c r="G26" s="2126">
        <v>7.9610000000000003</v>
      </c>
      <c r="H26" s="2127">
        <v>9.1068961185780672E-2</v>
      </c>
      <c r="I26" s="2127">
        <v>0.27911066448938576</v>
      </c>
      <c r="J26" s="2135">
        <v>0.37017962567516643</v>
      </c>
      <c r="K26" s="2134">
        <v>42</v>
      </c>
      <c r="L26" s="2126">
        <v>0.83</v>
      </c>
      <c r="M26" s="2126">
        <v>9.9190000000000005</v>
      </c>
      <c r="N26" s="2128">
        <v>0.53700000000000003</v>
      </c>
      <c r="O26" s="2126">
        <v>0.53700000000000003</v>
      </c>
      <c r="P26" s="2126">
        <v>9.0890000000000004</v>
      </c>
      <c r="Q26" s="2127">
        <v>9.1319177027175694E-2</v>
      </c>
      <c r="R26" s="2127">
        <v>5.9082407305534164E-2</v>
      </c>
      <c r="S26" s="2135">
        <v>0.15040158433270986</v>
      </c>
      <c r="T26" s="2134">
        <v>42</v>
      </c>
      <c r="U26" s="1742">
        <v>0.77749999999999997</v>
      </c>
      <c r="V26" s="1742">
        <v>9.3025000000000002</v>
      </c>
      <c r="W26" s="1742">
        <v>1.3794999999999999</v>
      </c>
      <c r="X26" s="1742">
        <v>1.3794999999999999</v>
      </c>
      <c r="Y26" s="1742">
        <v>8.5250000000000004</v>
      </c>
      <c r="Z26" s="2129">
        <v>9.1194069106478176E-2</v>
      </c>
      <c r="AA26" s="2129">
        <v>0.16909653589745996</v>
      </c>
      <c r="AB26" s="2150">
        <v>0.26029060500393814</v>
      </c>
    </row>
    <row r="27" spans="2:28">
      <c r="B27" s="89">
        <v>43</v>
      </c>
      <c r="C27" s="1">
        <v>0.71499999999999997</v>
      </c>
      <c r="D27" s="1">
        <v>8.9209999999999994</v>
      </c>
      <c r="E27" s="1">
        <v>2.298</v>
      </c>
      <c r="F27" s="1">
        <v>2.298</v>
      </c>
      <c r="G27" s="1">
        <v>8.2059999999999995</v>
      </c>
      <c r="H27" s="747">
        <v>8.7131367292225204E-2</v>
      </c>
      <c r="I27" s="747">
        <v>0.28003899585669023</v>
      </c>
      <c r="J27" s="2136">
        <v>0.36717036314891544</v>
      </c>
      <c r="K27" s="89">
        <v>43</v>
      </c>
      <c r="L27" s="1">
        <v>0.81100000000000005</v>
      </c>
      <c r="M27" s="1">
        <v>10.172000000000001</v>
      </c>
      <c r="N27" s="1462">
        <v>0.55000000000000004</v>
      </c>
      <c r="O27" s="1">
        <v>0.55000000000000004</v>
      </c>
      <c r="P27" s="1">
        <v>9.3610000000000007</v>
      </c>
      <c r="Q27" s="747">
        <v>8.6636043157782283E-2</v>
      </c>
      <c r="R27" s="747">
        <v>5.8754406580493537E-2</v>
      </c>
      <c r="S27" s="2136">
        <v>0.14539044973827581</v>
      </c>
      <c r="T27" s="89">
        <v>43</v>
      </c>
      <c r="U27" s="746">
        <v>0.76300000000000001</v>
      </c>
      <c r="V27" s="746">
        <v>9.5465</v>
      </c>
      <c r="W27" s="746">
        <v>1.4239999999999999</v>
      </c>
      <c r="X27" s="746">
        <v>1.4239999999999999</v>
      </c>
      <c r="Y27" s="746">
        <v>8.7835000000000001</v>
      </c>
      <c r="Z27" s="2124">
        <v>8.6883705225003743E-2</v>
      </c>
      <c r="AA27" s="2124">
        <v>0.16939670121859188</v>
      </c>
      <c r="AB27" s="2151">
        <v>0.25628040644359562</v>
      </c>
    </row>
    <row r="28" spans="2:28">
      <c r="B28" s="2134">
        <v>44</v>
      </c>
      <c r="C28" s="2126">
        <v>0.70399999999999996</v>
      </c>
      <c r="D28" s="2126">
        <v>9.1649999999999991</v>
      </c>
      <c r="E28" s="2126">
        <v>2.375</v>
      </c>
      <c r="F28" s="2126">
        <v>2.375</v>
      </c>
      <c r="G28" s="2126">
        <v>8.4609999999999985</v>
      </c>
      <c r="H28" s="2127">
        <v>8.3205294882401623E-2</v>
      </c>
      <c r="I28" s="2127">
        <v>0.28069968088878389</v>
      </c>
      <c r="J28" s="2135">
        <v>0.36390497577118552</v>
      </c>
      <c r="K28" s="2134">
        <v>44</v>
      </c>
      <c r="L28" s="2126">
        <v>0.79100000000000004</v>
      </c>
      <c r="M28" s="2126">
        <v>10.433</v>
      </c>
      <c r="N28" s="2128">
        <v>0.56200000000000006</v>
      </c>
      <c r="O28" s="2126">
        <v>0.56200000000000006</v>
      </c>
      <c r="P28" s="2126">
        <v>9.6419999999999995</v>
      </c>
      <c r="Q28" s="2127">
        <v>8.2036921800456339E-2</v>
      </c>
      <c r="R28" s="2127">
        <v>5.8286662518149769E-2</v>
      </c>
      <c r="S28" s="2135">
        <v>0.14032358431860611</v>
      </c>
      <c r="T28" s="2134">
        <v>44</v>
      </c>
      <c r="U28" s="1742">
        <v>0.74750000000000005</v>
      </c>
      <c r="V28" s="1742">
        <v>9.7989999999999995</v>
      </c>
      <c r="W28" s="1742">
        <v>1.4685000000000001</v>
      </c>
      <c r="X28" s="1742">
        <v>1.4685000000000001</v>
      </c>
      <c r="Y28" s="1742">
        <v>9.051499999999999</v>
      </c>
      <c r="Z28" s="2129">
        <v>8.2621108341428981E-2</v>
      </c>
      <c r="AA28" s="2129">
        <v>0.16949317170346684</v>
      </c>
      <c r="AB28" s="2150">
        <v>0.25211428004489583</v>
      </c>
    </row>
    <row r="29" spans="2:28">
      <c r="B29" s="89">
        <v>45</v>
      </c>
      <c r="C29" s="1">
        <v>0.69199999999999995</v>
      </c>
      <c r="D29" s="1">
        <v>9.4179999999999993</v>
      </c>
      <c r="E29" s="1">
        <v>2.452</v>
      </c>
      <c r="F29" s="1">
        <v>2.452</v>
      </c>
      <c r="G29" s="1">
        <v>8.7259999999999991</v>
      </c>
      <c r="H29" s="747">
        <v>7.9303231721292694E-2</v>
      </c>
      <c r="I29" s="747">
        <v>0.28099931239972498</v>
      </c>
      <c r="J29" s="2136">
        <v>0.3603025441210177</v>
      </c>
      <c r="K29" s="89">
        <v>45</v>
      </c>
      <c r="L29" s="1">
        <v>0.76900000000000002</v>
      </c>
      <c r="M29" s="1">
        <v>10.702</v>
      </c>
      <c r="N29" s="1462">
        <v>0.57399999999999995</v>
      </c>
      <c r="O29" s="1">
        <v>0.57399999999999995</v>
      </c>
      <c r="P29" s="1">
        <v>9.9329999999999998</v>
      </c>
      <c r="Q29" s="747">
        <v>7.7418705325682069E-2</v>
      </c>
      <c r="R29" s="747">
        <v>5.7787174066243834E-2</v>
      </c>
      <c r="S29" s="2136">
        <v>0.13520587939192591</v>
      </c>
      <c r="T29" s="89">
        <v>45</v>
      </c>
      <c r="U29" s="746">
        <v>0.73049999999999993</v>
      </c>
      <c r="V29" s="746">
        <v>10.059999999999999</v>
      </c>
      <c r="W29" s="746">
        <v>1.5129999999999999</v>
      </c>
      <c r="X29" s="746">
        <v>1.5129999999999999</v>
      </c>
      <c r="Y29" s="746">
        <v>9.3294999999999995</v>
      </c>
      <c r="Z29" s="2124">
        <v>7.8360968523487382E-2</v>
      </c>
      <c r="AA29" s="2124">
        <v>0.16939324323298441</v>
      </c>
      <c r="AB29" s="2151">
        <v>0.2477542117564718</v>
      </c>
    </row>
    <row r="30" spans="2:28">
      <c r="B30" s="2134">
        <v>46</v>
      </c>
      <c r="C30" s="2126">
        <v>0.67900000000000005</v>
      </c>
      <c r="D30" s="2126">
        <v>9.6790000000000003</v>
      </c>
      <c r="E30" s="2126">
        <v>2.528</v>
      </c>
      <c r="F30" s="2126">
        <v>2.528</v>
      </c>
      <c r="G30" s="2126">
        <v>9</v>
      </c>
      <c r="H30" s="2127">
        <v>7.5444444444444453E-2</v>
      </c>
      <c r="I30" s="2127">
        <v>0.28088888888888891</v>
      </c>
      <c r="J30" s="2135">
        <v>0.35633333333333339</v>
      </c>
      <c r="K30" s="2134">
        <v>46</v>
      </c>
      <c r="L30" s="2126">
        <v>0.745</v>
      </c>
      <c r="M30" s="2126">
        <v>10.98</v>
      </c>
      <c r="N30" s="2128">
        <v>0.58499999999999996</v>
      </c>
      <c r="O30" s="2126">
        <v>0.58499999999999996</v>
      </c>
      <c r="P30" s="2126">
        <v>10.235000000000001</v>
      </c>
      <c r="Q30" s="2127">
        <v>7.2789447972642876E-2</v>
      </c>
      <c r="R30" s="2127">
        <v>5.7156814851001457E-2</v>
      </c>
      <c r="S30" s="2135">
        <v>0.12994626282364433</v>
      </c>
      <c r="T30" s="2134">
        <v>46</v>
      </c>
      <c r="U30" s="1742">
        <v>0.71199999999999997</v>
      </c>
      <c r="V30" s="1742">
        <v>10.329499999999999</v>
      </c>
      <c r="W30" s="1742">
        <v>1.5565</v>
      </c>
      <c r="X30" s="1742">
        <v>1.5565</v>
      </c>
      <c r="Y30" s="1742">
        <v>9.6174999999999997</v>
      </c>
      <c r="Z30" s="2129">
        <v>7.4116946208543671E-2</v>
      </c>
      <c r="AA30" s="2129">
        <v>0.16902285186994517</v>
      </c>
      <c r="AB30" s="2150">
        <v>0.24313979807848884</v>
      </c>
    </row>
    <row r="31" spans="2:28">
      <c r="B31" s="89">
        <v>47</v>
      </c>
      <c r="C31" s="1">
        <v>0.66200000000000003</v>
      </c>
      <c r="D31" s="1">
        <v>9.9489999999999998</v>
      </c>
      <c r="E31" s="1">
        <v>2.6040000000000001</v>
      </c>
      <c r="F31" s="1">
        <v>2.6040000000000001</v>
      </c>
      <c r="G31" s="1">
        <v>9.286999999999999</v>
      </c>
      <c r="H31" s="747">
        <v>7.1282437816302363E-2</v>
      </c>
      <c r="I31" s="747">
        <v>0.28039194573059117</v>
      </c>
      <c r="J31" s="2136">
        <v>0.35167438354689351</v>
      </c>
      <c r="K31" s="89">
        <v>47</v>
      </c>
      <c r="L31" s="1">
        <v>0.71799999999999997</v>
      </c>
      <c r="M31" s="1">
        <v>11.266</v>
      </c>
      <c r="N31" s="1462">
        <v>0.59599999999999997</v>
      </c>
      <c r="O31" s="1">
        <v>0.59599999999999997</v>
      </c>
      <c r="P31" s="1">
        <v>10.548</v>
      </c>
      <c r="Q31" s="747">
        <v>6.8069776260902534E-2</v>
      </c>
      <c r="R31" s="747">
        <v>5.6503602578687903E-2</v>
      </c>
      <c r="S31" s="2136">
        <v>0.12457337883959044</v>
      </c>
      <c r="T31" s="89">
        <v>47</v>
      </c>
      <c r="U31" s="746">
        <v>0.69</v>
      </c>
      <c r="V31" s="746">
        <v>10.6075</v>
      </c>
      <c r="W31" s="746">
        <v>1.6</v>
      </c>
      <c r="X31" s="746">
        <v>1.6</v>
      </c>
      <c r="Y31" s="746">
        <v>9.9175000000000004</v>
      </c>
      <c r="Z31" s="2124">
        <v>6.9676107038602442E-2</v>
      </c>
      <c r="AA31" s="2124">
        <v>0.16844777415463955</v>
      </c>
      <c r="AB31" s="2151">
        <v>0.23812388119324196</v>
      </c>
    </row>
    <row r="32" spans="2:28">
      <c r="B32" s="2134">
        <v>48</v>
      </c>
      <c r="C32" s="2126">
        <v>0.64300000000000002</v>
      </c>
      <c r="D32" s="2126">
        <v>10.227</v>
      </c>
      <c r="E32" s="2126">
        <v>2.6789999999999998</v>
      </c>
      <c r="F32" s="2126">
        <v>2.6789999999999998</v>
      </c>
      <c r="G32" s="2126">
        <v>9.5839999999999996</v>
      </c>
      <c r="H32" s="2127">
        <v>6.7090984974958273E-2</v>
      </c>
      <c r="I32" s="2127">
        <v>0.27952838063439062</v>
      </c>
      <c r="J32" s="2135">
        <v>0.34661936560934892</v>
      </c>
      <c r="K32" s="2134">
        <v>48</v>
      </c>
      <c r="L32" s="2126">
        <v>0.68799999999999994</v>
      </c>
      <c r="M32" s="2126">
        <v>11.561</v>
      </c>
      <c r="N32" s="2128">
        <v>0.60699999999999998</v>
      </c>
      <c r="O32" s="2126">
        <v>0.60699999999999998</v>
      </c>
      <c r="P32" s="2126">
        <v>10.872999999999999</v>
      </c>
      <c r="Q32" s="2127">
        <v>6.3276004782488737E-2</v>
      </c>
      <c r="R32" s="2127">
        <v>5.5826358870596893E-2</v>
      </c>
      <c r="S32" s="2135">
        <v>0.11910236365308563</v>
      </c>
      <c r="T32" s="2134">
        <v>48</v>
      </c>
      <c r="U32" s="1742">
        <v>0.66549999999999998</v>
      </c>
      <c r="V32" s="1742">
        <v>10.894</v>
      </c>
      <c r="W32" s="1742">
        <v>1.6429999999999998</v>
      </c>
      <c r="X32" s="1742">
        <v>1.6429999999999998</v>
      </c>
      <c r="Y32" s="1742">
        <v>10.2285</v>
      </c>
      <c r="Z32" s="2129">
        <v>6.5183494878723505E-2</v>
      </c>
      <c r="AA32" s="2129">
        <v>0.16767736975249375</v>
      </c>
      <c r="AB32" s="2150">
        <v>0.23286086463121727</v>
      </c>
    </row>
    <row r="33" spans="2:28">
      <c r="B33" s="89">
        <v>49</v>
      </c>
      <c r="C33" s="1">
        <v>0.61899999999999999</v>
      </c>
      <c r="D33" s="1">
        <v>10.513999999999999</v>
      </c>
      <c r="E33" s="1">
        <v>2.7519999999999998</v>
      </c>
      <c r="F33" s="1">
        <v>2.7519999999999998</v>
      </c>
      <c r="G33" s="1">
        <v>9.8949999999999996</v>
      </c>
      <c r="H33" s="747">
        <v>6.2556846892369886E-2</v>
      </c>
      <c r="I33" s="747">
        <v>0.27812026275896917</v>
      </c>
      <c r="J33" s="2136">
        <v>0.34067710965133907</v>
      </c>
      <c r="K33" s="89">
        <v>49</v>
      </c>
      <c r="L33" s="1">
        <v>0.65500000000000003</v>
      </c>
      <c r="M33" s="1">
        <v>11.865</v>
      </c>
      <c r="N33" s="1462">
        <v>0.61599999999999999</v>
      </c>
      <c r="O33" s="1">
        <v>0.61599999999999999</v>
      </c>
      <c r="P33" s="1">
        <v>11.21</v>
      </c>
      <c r="Q33" s="747">
        <v>5.8429973238180194E-2</v>
      </c>
      <c r="R33" s="747">
        <v>5.4950936663693127E-2</v>
      </c>
      <c r="S33" s="2136">
        <v>0.11338090990187333</v>
      </c>
      <c r="T33" s="89">
        <v>49</v>
      </c>
      <c r="U33" s="746">
        <v>0.63700000000000001</v>
      </c>
      <c r="V33" s="746">
        <v>11.189499999999999</v>
      </c>
      <c r="W33" s="746">
        <v>1.6839999999999999</v>
      </c>
      <c r="X33" s="746">
        <v>1.6839999999999999</v>
      </c>
      <c r="Y33" s="746">
        <v>10.5525</v>
      </c>
      <c r="Z33" s="2124">
        <v>6.049341006527504E-2</v>
      </c>
      <c r="AA33" s="2124">
        <v>0.16653559971133114</v>
      </c>
      <c r="AB33" s="2151">
        <v>0.2270290097766062</v>
      </c>
    </row>
    <row r="34" spans="2:28">
      <c r="B34" s="2134">
        <v>50</v>
      </c>
      <c r="C34" s="2126">
        <v>0.59099999999999997</v>
      </c>
      <c r="D34" s="2126">
        <v>10.808999999999999</v>
      </c>
      <c r="E34" s="2126">
        <v>2.8239999999999998</v>
      </c>
      <c r="F34" s="2126">
        <v>2.8239999999999998</v>
      </c>
      <c r="G34" s="2126">
        <v>10.218</v>
      </c>
      <c r="H34" s="2127">
        <v>5.7839107457428068E-2</v>
      </c>
      <c r="I34" s="2127">
        <v>0.27637502446662748</v>
      </c>
      <c r="J34" s="2135">
        <v>0.33421413192405558</v>
      </c>
      <c r="K34" s="2134">
        <v>50</v>
      </c>
      <c r="L34" s="2126">
        <v>0.61899999999999999</v>
      </c>
      <c r="M34" s="2126">
        <v>12.178000000000001</v>
      </c>
      <c r="N34" s="2128">
        <v>0.625</v>
      </c>
      <c r="O34" s="2126">
        <v>0.625</v>
      </c>
      <c r="P34" s="2126">
        <v>11.559000000000001</v>
      </c>
      <c r="Q34" s="2127">
        <v>5.3551345272082357E-2</v>
      </c>
      <c r="R34" s="2127">
        <v>5.4070421316722898E-2</v>
      </c>
      <c r="S34" s="2135">
        <v>0.10762176658880526</v>
      </c>
      <c r="T34" s="2134">
        <v>50</v>
      </c>
      <c r="U34" s="1742">
        <v>0.60499999999999998</v>
      </c>
      <c r="V34" s="1742">
        <v>11.493500000000001</v>
      </c>
      <c r="W34" s="1742">
        <v>1.7244999999999999</v>
      </c>
      <c r="X34" s="1742">
        <v>1.7244999999999999</v>
      </c>
      <c r="Y34" s="1742">
        <v>10.888500000000001</v>
      </c>
      <c r="Z34" s="2129">
        <v>5.5695226364755213E-2</v>
      </c>
      <c r="AA34" s="2129">
        <v>0.16522272289167519</v>
      </c>
      <c r="AB34" s="2150">
        <v>0.22091794925643043</v>
      </c>
    </row>
    <row r="35" spans="2:28">
      <c r="B35" s="89">
        <v>51</v>
      </c>
      <c r="C35" s="1">
        <v>0.55700000000000005</v>
      </c>
      <c r="D35" s="1">
        <v>11.115</v>
      </c>
      <c r="E35" s="1">
        <v>2.8929999999999998</v>
      </c>
      <c r="F35" s="1">
        <v>2.8929999999999998</v>
      </c>
      <c r="G35" s="1">
        <v>10.558</v>
      </c>
      <c r="H35" s="747">
        <v>5.2756203826482294E-2</v>
      </c>
      <c r="I35" s="747">
        <v>0.27401022921007767</v>
      </c>
      <c r="J35" s="2136">
        <v>0.32676643303655994</v>
      </c>
      <c r="K35" s="89">
        <v>51</v>
      </c>
      <c r="L35" s="1">
        <v>0.57699999999999996</v>
      </c>
      <c r="M35" s="1">
        <v>12.499000000000001</v>
      </c>
      <c r="N35" s="1462">
        <v>0.63200000000000001</v>
      </c>
      <c r="O35" s="1">
        <v>0.63200000000000001</v>
      </c>
      <c r="P35" s="1">
        <v>11.922000000000001</v>
      </c>
      <c r="Q35" s="747">
        <v>4.8397919812112056E-2</v>
      </c>
      <c r="R35" s="747">
        <v>5.3011239724878374E-2</v>
      </c>
      <c r="S35" s="2136">
        <v>0.10140915953699042</v>
      </c>
      <c r="T35" s="89">
        <v>51</v>
      </c>
      <c r="U35" s="746">
        <v>0.56699999999999995</v>
      </c>
      <c r="V35" s="746">
        <v>11.807</v>
      </c>
      <c r="W35" s="746">
        <v>1.7625</v>
      </c>
      <c r="X35" s="746">
        <v>1.7625</v>
      </c>
      <c r="Y35" s="746">
        <v>11.24</v>
      </c>
      <c r="Z35" s="2124">
        <v>5.0577061819297178E-2</v>
      </c>
      <c r="AA35" s="2124">
        <v>0.16351073446747802</v>
      </c>
      <c r="AB35" s="2151">
        <v>0.21408779628677518</v>
      </c>
    </row>
    <row r="36" spans="2:28">
      <c r="B36" s="2134">
        <v>52</v>
      </c>
      <c r="C36" s="2126">
        <v>0.51900000000000002</v>
      </c>
      <c r="D36" s="2126">
        <v>11.43</v>
      </c>
      <c r="E36" s="2126">
        <v>2.96</v>
      </c>
      <c r="F36" s="2126">
        <v>2.96</v>
      </c>
      <c r="G36" s="2126">
        <v>10.911</v>
      </c>
      <c r="H36" s="2127">
        <v>4.7566675831729452E-2</v>
      </c>
      <c r="I36" s="2127">
        <v>0.2712858583081294</v>
      </c>
      <c r="J36" s="2135">
        <v>0.31885253413985887</v>
      </c>
      <c r="K36" s="2134">
        <v>52</v>
      </c>
      <c r="L36" s="2126">
        <v>0.53200000000000003</v>
      </c>
      <c r="M36" s="2126">
        <v>12.829000000000001</v>
      </c>
      <c r="N36" s="2128">
        <v>0.63800000000000001</v>
      </c>
      <c r="O36" s="2126">
        <v>0.63800000000000001</v>
      </c>
      <c r="P36" s="2126">
        <v>12.297000000000001</v>
      </c>
      <c r="Q36" s="2127">
        <v>4.3262584370171588E-2</v>
      </c>
      <c r="R36" s="2127">
        <v>5.1882572985280963E-2</v>
      </c>
      <c r="S36" s="2135">
        <v>9.514515735545255E-2</v>
      </c>
      <c r="T36" s="2134">
        <v>52</v>
      </c>
      <c r="U36" s="1742">
        <v>0.52550000000000008</v>
      </c>
      <c r="V36" s="1742">
        <v>12.1295</v>
      </c>
      <c r="W36" s="1742">
        <v>1.7989999999999999</v>
      </c>
      <c r="X36" s="1742">
        <v>1.7989999999999999</v>
      </c>
      <c r="Y36" s="1742">
        <v>11.603999999999999</v>
      </c>
      <c r="Z36" s="2129">
        <v>4.5414630100950523E-2</v>
      </c>
      <c r="AA36" s="2129">
        <v>0.16158421564670519</v>
      </c>
      <c r="AB36" s="2150">
        <v>0.2069988457476557</v>
      </c>
    </row>
    <row r="37" spans="2:28">
      <c r="B37" s="89">
        <v>53</v>
      </c>
      <c r="C37" s="1">
        <v>0.47599999999999998</v>
      </c>
      <c r="D37" s="1">
        <v>11.757</v>
      </c>
      <c r="E37" s="1">
        <v>3.024</v>
      </c>
      <c r="F37" s="1">
        <v>3.024</v>
      </c>
      <c r="G37" s="1">
        <v>11.280999999999999</v>
      </c>
      <c r="H37" s="747">
        <v>4.2194840882900451E-2</v>
      </c>
      <c r="I37" s="747">
        <v>0.26806134207960292</v>
      </c>
      <c r="J37" s="2136">
        <v>0.31025618296250335</v>
      </c>
      <c r="K37" s="89">
        <v>53</v>
      </c>
      <c r="L37" s="1">
        <v>0.48199999999999998</v>
      </c>
      <c r="M37" s="1">
        <v>13.169</v>
      </c>
      <c r="N37" s="1462">
        <v>0.64300000000000002</v>
      </c>
      <c r="O37" s="1">
        <v>0.64300000000000002</v>
      </c>
      <c r="P37" s="1">
        <v>12.687000000000001</v>
      </c>
      <c r="Q37" s="747">
        <v>3.7991644990935595E-2</v>
      </c>
      <c r="R37" s="747">
        <v>5.0681800267990851E-2</v>
      </c>
      <c r="S37" s="2136">
        <v>8.8673445258926453E-2</v>
      </c>
      <c r="T37" s="89">
        <v>53</v>
      </c>
      <c r="U37" s="746">
        <v>0.47899999999999998</v>
      </c>
      <c r="V37" s="746">
        <v>12.463000000000001</v>
      </c>
      <c r="W37" s="746">
        <v>1.8334999999999999</v>
      </c>
      <c r="X37" s="746">
        <v>1.8334999999999999</v>
      </c>
      <c r="Y37" s="746">
        <v>11.984</v>
      </c>
      <c r="Z37" s="2124">
        <v>4.0093242936918023E-2</v>
      </c>
      <c r="AA37" s="2124">
        <v>0.15937157117379688</v>
      </c>
      <c r="AB37" s="2151">
        <v>0.1994648141107149</v>
      </c>
    </row>
    <row r="38" spans="2:28">
      <c r="B38" s="2134">
        <v>54</v>
      </c>
      <c r="C38" s="2126">
        <v>0.42799999999999999</v>
      </c>
      <c r="D38" s="2126">
        <v>12.093999999999999</v>
      </c>
      <c r="E38" s="2126">
        <v>3.0859999999999999</v>
      </c>
      <c r="F38" s="2126">
        <v>3.0859999999999999</v>
      </c>
      <c r="G38" s="2126">
        <v>11.665999999999999</v>
      </c>
      <c r="H38" s="2127">
        <v>3.6687810732041838E-2</v>
      </c>
      <c r="I38" s="2127">
        <v>0.26452940168009603</v>
      </c>
      <c r="J38" s="2135">
        <v>0.30121721241213789</v>
      </c>
      <c r="K38" s="2134">
        <v>54</v>
      </c>
      <c r="L38" s="2126">
        <v>0.42699999999999999</v>
      </c>
      <c r="M38" s="2126">
        <v>13.519</v>
      </c>
      <c r="N38" s="2128">
        <v>0.64700000000000002</v>
      </c>
      <c r="O38" s="2126">
        <v>0.64700000000000002</v>
      </c>
      <c r="P38" s="2126">
        <v>13.092000000000001</v>
      </c>
      <c r="Q38" s="2127">
        <v>3.2615337610754656E-2</v>
      </c>
      <c r="R38" s="2127">
        <v>4.9419492820042772E-2</v>
      </c>
      <c r="S38" s="2135">
        <v>8.2034830430797429E-2</v>
      </c>
      <c r="T38" s="2134">
        <v>54</v>
      </c>
      <c r="U38" s="1742">
        <v>0.42749999999999999</v>
      </c>
      <c r="V38" s="1742">
        <v>12.8065</v>
      </c>
      <c r="W38" s="1742">
        <v>1.8664999999999998</v>
      </c>
      <c r="X38" s="1742">
        <v>1.8664999999999998</v>
      </c>
      <c r="Y38" s="1742">
        <v>12.379</v>
      </c>
      <c r="Z38" s="2129">
        <v>3.4651574171398247E-2</v>
      </c>
      <c r="AA38" s="2129">
        <v>0.1569744472500694</v>
      </c>
      <c r="AB38" s="2150">
        <v>0.19162602142146767</v>
      </c>
    </row>
    <row r="39" spans="2:28">
      <c r="B39" s="89">
        <v>55</v>
      </c>
      <c r="C39" s="1">
        <v>0.375</v>
      </c>
      <c r="D39" s="1">
        <v>12.444000000000001</v>
      </c>
      <c r="E39" s="1">
        <v>3.1459999999999999</v>
      </c>
      <c r="F39" s="1">
        <v>3.1459999999999999</v>
      </c>
      <c r="G39" s="1">
        <v>12.069000000000001</v>
      </c>
      <c r="H39" s="747">
        <v>3.107133979617201E-2</v>
      </c>
      <c r="I39" s="747">
        <v>0.26066782666335236</v>
      </c>
      <c r="J39" s="2136">
        <v>0.29173916645952436</v>
      </c>
      <c r="K39" s="89">
        <v>55</v>
      </c>
      <c r="L39" s="1">
        <v>0.36799999999999999</v>
      </c>
      <c r="M39" s="1">
        <v>13.88</v>
      </c>
      <c r="N39" s="1462">
        <v>0.64900000000000002</v>
      </c>
      <c r="O39" s="1">
        <v>0.64900000000000002</v>
      </c>
      <c r="P39" s="1">
        <v>13.512</v>
      </c>
      <c r="Q39" s="747">
        <v>2.7235050325636469E-2</v>
      </c>
      <c r="R39" s="747">
        <v>4.8031379514505625E-2</v>
      </c>
      <c r="S39" s="2136">
        <v>7.5266429840142091E-2</v>
      </c>
      <c r="T39" s="89">
        <v>55</v>
      </c>
      <c r="U39" s="746">
        <v>0.3715</v>
      </c>
      <c r="V39" s="746">
        <v>13.162000000000001</v>
      </c>
      <c r="W39" s="746">
        <v>1.8975</v>
      </c>
      <c r="X39" s="746">
        <v>1.8975</v>
      </c>
      <c r="Y39" s="746">
        <v>12.790500000000002</v>
      </c>
      <c r="Z39" s="2124">
        <v>2.915319506090424E-2</v>
      </c>
      <c r="AA39" s="2124">
        <v>0.154349603088929</v>
      </c>
      <c r="AB39" s="2151">
        <v>0.18350279814983322</v>
      </c>
    </row>
    <row r="40" spans="2:28">
      <c r="B40" s="2134">
        <v>56</v>
      </c>
      <c r="C40" s="2126">
        <v>0.317</v>
      </c>
      <c r="D40" s="2126">
        <v>12.805999999999999</v>
      </c>
      <c r="E40" s="2126">
        <v>3.2050000000000001</v>
      </c>
      <c r="F40" s="2126">
        <v>3.2050000000000001</v>
      </c>
      <c r="G40" s="2126">
        <v>12.488999999999999</v>
      </c>
      <c r="H40" s="2127">
        <v>2.5382336456081355E-2</v>
      </c>
      <c r="I40" s="2127">
        <v>0.25662583073104334</v>
      </c>
      <c r="J40" s="2135">
        <v>0.28200816718712468</v>
      </c>
      <c r="K40" s="2134">
        <v>56</v>
      </c>
      <c r="L40" s="2126">
        <v>0.30499999999999999</v>
      </c>
      <c r="M40" s="2126">
        <v>14.252000000000001</v>
      </c>
      <c r="N40" s="2128">
        <v>0.65100000000000002</v>
      </c>
      <c r="O40" s="2126">
        <v>0.65100000000000002</v>
      </c>
      <c r="P40" s="2126">
        <v>13.947000000000001</v>
      </c>
      <c r="Q40" s="2127">
        <v>2.1868502186850217E-2</v>
      </c>
      <c r="R40" s="2127">
        <v>4.6676704667670467E-2</v>
      </c>
      <c r="S40" s="2135">
        <v>6.8545206854520688E-2</v>
      </c>
      <c r="T40" s="2134">
        <v>56</v>
      </c>
      <c r="U40" s="1742">
        <v>0.311</v>
      </c>
      <c r="V40" s="1742">
        <v>13.529</v>
      </c>
      <c r="W40" s="1742">
        <v>1.9279999999999999</v>
      </c>
      <c r="X40" s="1742">
        <v>1.9279999999999999</v>
      </c>
      <c r="Y40" s="1742">
        <v>13.218</v>
      </c>
      <c r="Z40" s="2129">
        <v>2.3625419321465786E-2</v>
      </c>
      <c r="AA40" s="2129">
        <v>0.15165126769935691</v>
      </c>
      <c r="AB40" s="2150">
        <v>0.17527668702082269</v>
      </c>
    </row>
    <row r="41" spans="2:28">
      <c r="B41" s="89">
        <v>57</v>
      </c>
      <c r="C41" s="1">
        <v>0.25600000000000001</v>
      </c>
      <c r="D41" s="1">
        <v>13.180999999999999</v>
      </c>
      <c r="E41" s="1">
        <v>3.262</v>
      </c>
      <c r="F41" s="1">
        <v>3.262</v>
      </c>
      <c r="G41" s="1">
        <v>12.924999999999999</v>
      </c>
      <c r="H41" s="747">
        <v>1.9806576402321086E-2</v>
      </c>
      <c r="I41" s="747">
        <v>0.25237911025145071</v>
      </c>
      <c r="J41" s="2136">
        <v>0.2721856866537718</v>
      </c>
      <c r="K41" s="89">
        <v>57</v>
      </c>
      <c r="L41" s="1">
        <v>0.24</v>
      </c>
      <c r="M41" s="1">
        <v>14.638</v>
      </c>
      <c r="N41" s="1462">
        <v>0.65100000000000002</v>
      </c>
      <c r="O41" s="1">
        <v>0.65100000000000002</v>
      </c>
      <c r="P41" s="1">
        <v>14.398</v>
      </c>
      <c r="Q41" s="747">
        <v>1.6668981803028199E-2</v>
      </c>
      <c r="R41" s="747">
        <v>4.521461314071399E-2</v>
      </c>
      <c r="S41" s="2136">
        <v>6.1883594943742189E-2</v>
      </c>
      <c r="T41" s="89">
        <v>57</v>
      </c>
      <c r="U41" s="746">
        <v>0.248</v>
      </c>
      <c r="V41" s="746">
        <v>13.9095</v>
      </c>
      <c r="W41" s="746">
        <v>1.9565000000000001</v>
      </c>
      <c r="X41" s="746">
        <v>1.9565000000000001</v>
      </c>
      <c r="Y41" s="746">
        <v>13.6615</v>
      </c>
      <c r="Z41" s="2124">
        <v>1.8237779102674642E-2</v>
      </c>
      <c r="AA41" s="2124">
        <v>0.14879686169608236</v>
      </c>
      <c r="AB41" s="2151">
        <v>0.16703464079875699</v>
      </c>
    </row>
    <row r="42" spans="2:28">
      <c r="B42" s="2134">
        <v>58</v>
      </c>
      <c r="C42" s="2126">
        <v>0.19500000000000001</v>
      </c>
      <c r="D42" s="2126">
        <v>13.573</v>
      </c>
      <c r="E42" s="2126">
        <v>3.3210000000000002</v>
      </c>
      <c r="F42" s="2126">
        <v>3.3210000000000002</v>
      </c>
      <c r="G42" s="2126">
        <v>13.378</v>
      </c>
      <c r="H42" s="2127">
        <v>1.457616983106593E-2</v>
      </c>
      <c r="I42" s="2127">
        <v>0.24824338466138438</v>
      </c>
      <c r="J42" s="2135">
        <v>0.26281955449245031</v>
      </c>
      <c r="K42" s="2134">
        <v>58</v>
      </c>
      <c r="L42" s="2126">
        <v>0.17699999999999999</v>
      </c>
      <c r="M42" s="2126">
        <v>15.04</v>
      </c>
      <c r="N42" s="2128">
        <v>0.65200000000000002</v>
      </c>
      <c r="O42" s="2126">
        <v>0.65200000000000002</v>
      </c>
      <c r="P42" s="2126">
        <v>14.863</v>
      </c>
      <c r="Q42" s="2127">
        <v>1.190876673619054E-2</v>
      </c>
      <c r="R42" s="2127">
        <v>4.3867321536701878E-2</v>
      </c>
      <c r="S42" s="2135">
        <v>5.5776088272892418E-2</v>
      </c>
      <c r="T42" s="2134">
        <v>58</v>
      </c>
      <c r="U42" s="1742">
        <v>0.186</v>
      </c>
      <c r="V42" s="1742">
        <v>14.3065</v>
      </c>
      <c r="W42" s="1742">
        <v>1.9865000000000002</v>
      </c>
      <c r="X42" s="1742">
        <v>1.9865000000000002</v>
      </c>
      <c r="Y42" s="1742">
        <v>14.1205</v>
      </c>
      <c r="Z42" s="2129">
        <v>1.3242468283628236E-2</v>
      </c>
      <c r="AA42" s="2129">
        <v>0.14605535309904313</v>
      </c>
      <c r="AB42" s="2150">
        <v>0.15929782138267137</v>
      </c>
    </row>
    <row r="43" spans="2:28">
      <c r="B43" s="89">
        <v>59</v>
      </c>
      <c r="C43" s="1">
        <v>0.13600000000000001</v>
      </c>
      <c r="D43" s="1">
        <v>13.983000000000001</v>
      </c>
      <c r="E43" s="1">
        <v>3.38</v>
      </c>
      <c r="F43" s="1">
        <v>3.38</v>
      </c>
      <c r="G43" s="1">
        <v>13.847000000000001</v>
      </c>
      <c r="H43" s="747">
        <v>9.8216220119881556E-3</v>
      </c>
      <c r="I43" s="747">
        <v>0.24409619412147032</v>
      </c>
      <c r="J43" s="2136">
        <v>0.25391781613345848</v>
      </c>
      <c r="K43" s="89">
        <v>59</v>
      </c>
      <c r="L43" s="1">
        <v>0.12</v>
      </c>
      <c r="M43" s="1">
        <v>15.464</v>
      </c>
      <c r="N43" s="1462">
        <v>0.65200000000000002</v>
      </c>
      <c r="O43" s="1">
        <v>0.65200000000000002</v>
      </c>
      <c r="P43" s="1">
        <v>15.344000000000001</v>
      </c>
      <c r="Q43" s="747">
        <v>7.8206465067778928E-3</v>
      </c>
      <c r="R43" s="747">
        <v>4.2492179353493219E-2</v>
      </c>
      <c r="S43" s="2136">
        <v>5.031282586027111E-2</v>
      </c>
      <c r="T43" s="89">
        <v>59</v>
      </c>
      <c r="U43" s="746">
        <v>0.128</v>
      </c>
      <c r="V43" s="746">
        <v>14.723500000000001</v>
      </c>
      <c r="W43" s="746">
        <v>2.016</v>
      </c>
      <c r="X43" s="746">
        <v>2.016</v>
      </c>
      <c r="Y43" s="746">
        <v>14.595500000000001</v>
      </c>
      <c r="Z43" s="2124">
        <v>8.8211342593830233E-3</v>
      </c>
      <c r="AA43" s="2124">
        <v>0.14329418673748176</v>
      </c>
      <c r="AB43" s="2151">
        <v>0.15211532099686481</v>
      </c>
    </row>
    <row r="44" spans="2:28">
      <c r="B44" s="2134">
        <v>60</v>
      </c>
      <c r="C44" s="2126">
        <v>8.5000000000000006E-2</v>
      </c>
      <c r="D44" s="2126">
        <v>14.414999999999999</v>
      </c>
      <c r="E44" s="2126">
        <v>3.4420000000000002</v>
      </c>
      <c r="F44" s="2126">
        <v>3.4420000000000002</v>
      </c>
      <c r="G44" s="2126">
        <v>14.329999999999998</v>
      </c>
      <c r="H44" s="2127">
        <v>5.9316120027913481E-3</v>
      </c>
      <c r="I44" s="2127">
        <v>0.24019539427773906</v>
      </c>
      <c r="J44" s="2135">
        <v>0.24612700628053041</v>
      </c>
      <c r="K44" s="2134">
        <v>60</v>
      </c>
      <c r="L44" s="2126">
        <v>7.1999999999999995E-2</v>
      </c>
      <c r="M44" s="2126">
        <v>15.912000000000001</v>
      </c>
      <c r="N44" s="2128">
        <v>0.65200000000000002</v>
      </c>
      <c r="O44" s="2126">
        <v>0.65200000000000002</v>
      </c>
      <c r="P44" s="2126">
        <v>15.840000000000002</v>
      </c>
      <c r="Q44" s="2127">
        <v>4.5454545454545444E-3</v>
      </c>
      <c r="R44" s="2127">
        <v>4.1161616161616156E-2</v>
      </c>
      <c r="S44" s="2135">
        <v>4.5707070707070703E-2</v>
      </c>
      <c r="T44" s="2134">
        <v>60</v>
      </c>
      <c r="U44" s="1742">
        <v>7.85E-2</v>
      </c>
      <c r="V44" s="1742">
        <v>15.163499999999999</v>
      </c>
      <c r="W44" s="1742">
        <v>2.0470000000000002</v>
      </c>
      <c r="X44" s="1742">
        <v>2.0470000000000002</v>
      </c>
      <c r="Y44" s="1742">
        <v>15.085000000000001</v>
      </c>
      <c r="Z44" s="2129">
        <v>5.2385332741229466E-3</v>
      </c>
      <c r="AA44" s="2129">
        <v>0.14067850521967762</v>
      </c>
      <c r="AB44" s="2150">
        <v>0.14591703849380055</v>
      </c>
    </row>
    <row r="45" spans="2:28">
      <c r="B45" s="89">
        <v>61</v>
      </c>
      <c r="C45" s="1">
        <v>4.4999999999999998E-2</v>
      </c>
      <c r="D45" s="1">
        <v>14.874000000000001</v>
      </c>
      <c r="E45" s="1">
        <v>3.5070000000000001</v>
      </c>
      <c r="F45" s="1">
        <v>3.5070000000000001</v>
      </c>
      <c r="G45" s="1">
        <v>14.829000000000001</v>
      </c>
      <c r="H45" s="747">
        <v>3.0345943758850898E-3</v>
      </c>
      <c r="I45" s="747">
        <v>0.23649605502731136</v>
      </c>
      <c r="J45" s="2136">
        <v>0.23953064940319646</v>
      </c>
      <c r="K45" s="89">
        <v>61</v>
      </c>
      <c r="L45" s="1">
        <v>3.5999999999999997E-2</v>
      </c>
      <c r="M45" s="1">
        <v>16.39</v>
      </c>
      <c r="N45" s="1462">
        <v>0.65200000000000002</v>
      </c>
      <c r="O45" s="1">
        <v>0.65200000000000002</v>
      </c>
      <c r="P45" s="1">
        <v>16.353999999999999</v>
      </c>
      <c r="Q45" s="747">
        <v>2.2012963189433775E-3</v>
      </c>
      <c r="R45" s="747">
        <v>3.9867922220863404E-2</v>
      </c>
      <c r="S45" s="2136">
        <v>4.2069218539806781E-2</v>
      </c>
      <c r="T45" s="89">
        <v>61</v>
      </c>
      <c r="U45" s="746">
        <v>4.0499999999999994E-2</v>
      </c>
      <c r="V45" s="746">
        <v>15.632000000000001</v>
      </c>
      <c r="W45" s="746">
        <v>2.0794999999999999</v>
      </c>
      <c r="X45" s="746">
        <v>2.0794999999999999</v>
      </c>
      <c r="Y45" s="746">
        <v>15.5915</v>
      </c>
      <c r="Z45" s="2124">
        <v>2.6179453474142337E-3</v>
      </c>
      <c r="AA45" s="2124">
        <v>0.13818198862408737</v>
      </c>
      <c r="AB45" s="2151">
        <v>0.14079993397150162</v>
      </c>
    </row>
    <row r="46" spans="2:28">
      <c r="B46" s="2134">
        <v>62</v>
      </c>
      <c r="C46" s="2126">
        <v>1.7999999999999999E-2</v>
      </c>
      <c r="D46" s="2126">
        <v>15.363</v>
      </c>
      <c r="E46" s="2126">
        <v>3.5579999999999998</v>
      </c>
      <c r="F46" s="2126">
        <v>3.5579999999999998</v>
      </c>
      <c r="G46" s="2126">
        <v>15.344999999999999</v>
      </c>
      <c r="H46" s="2127">
        <v>1.1730205278592375E-3</v>
      </c>
      <c r="I46" s="2127">
        <v>0.23186705767350929</v>
      </c>
      <c r="J46" s="2135">
        <v>0.23304007820136852</v>
      </c>
      <c r="K46" s="2134">
        <v>62</v>
      </c>
      <c r="L46" s="2126">
        <v>1.4E-2</v>
      </c>
      <c r="M46" s="2126">
        <v>16.899000000000001</v>
      </c>
      <c r="N46" s="2128">
        <v>0.64900000000000002</v>
      </c>
      <c r="O46" s="2126">
        <v>0.64900000000000002</v>
      </c>
      <c r="P46" s="2126">
        <v>16.885000000000002</v>
      </c>
      <c r="Q46" s="2127">
        <v>8.2913828842167596E-4</v>
      </c>
      <c r="R46" s="2127">
        <v>3.8436482084690554E-2</v>
      </c>
      <c r="S46" s="2135">
        <v>3.926562037311223E-2</v>
      </c>
      <c r="T46" s="2134">
        <v>62</v>
      </c>
      <c r="U46" s="1742">
        <v>1.6E-2</v>
      </c>
      <c r="V46" s="1742">
        <v>16.131</v>
      </c>
      <c r="W46" s="1742">
        <v>2.1034999999999999</v>
      </c>
      <c r="X46" s="1742">
        <v>2.1034999999999999</v>
      </c>
      <c r="Y46" s="1742">
        <v>16.115000000000002</v>
      </c>
      <c r="Z46" s="2129">
        <v>1.0010794081404567E-3</v>
      </c>
      <c r="AA46" s="2129">
        <v>0.13515176987909994</v>
      </c>
      <c r="AB46" s="2150">
        <v>0.13615284928724036</v>
      </c>
    </row>
    <row r="47" spans="2:28">
      <c r="B47" s="89">
        <v>63</v>
      </c>
      <c r="C47" s="1">
        <v>4.0000000000000001E-3</v>
      </c>
      <c r="D47" s="1">
        <v>15.882999999999999</v>
      </c>
      <c r="E47" s="1">
        <v>3.609</v>
      </c>
      <c r="F47" s="1">
        <v>3.609</v>
      </c>
      <c r="G47" s="1">
        <v>15.879</v>
      </c>
      <c r="H47" s="747">
        <v>2.5190503180301028E-4</v>
      </c>
      <c r="I47" s="747">
        <v>0.22728131494426601</v>
      </c>
      <c r="J47" s="2136">
        <v>0.22753321997606901</v>
      </c>
      <c r="K47" s="89">
        <v>63</v>
      </c>
      <c r="L47" s="1">
        <v>3.0000000000000001E-3</v>
      </c>
      <c r="M47" s="1">
        <v>17.439</v>
      </c>
      <c r="N47" s="1462">
        <v>0.64600000000000002</v>
      </c>
      <c r="O47" s="1">
        <v>0.64600000000000002</v>
      </c>
      <c r="P47" s="1">
        <v>17.436</v>
      </c>
      <c r="Q47" s="747">
        <v>1.7205781142463867E-4</v>
      </c>
      <c r="R47" s="747">
        <v>3.7049782060105528E-2</v>
      </c>
      <c r="S47" s="2136">
        <v>3.7221839871530167E-2</v>
      </c>
      <c r="T47" s="89">
        <v>63</v>
      </c>
      <c r="U47" s="746">
        <v>3.5000000000000001E-3</v>
      </c>
      <c r="V47" s="746">
        <v>16.661000000000001</v>
      </c>
      <c r="W47" s="746">
        <v>2.1274999999999999</v>
      </c>
      <c r="X47" s="746">
        <v>2.1274999999999999</v>
      </c>
      <c r="Y47" s="746">
        <v>16.657499999999999</v>
      </c>
      <c r="Z47" s="2124">
        <v>2.1198142161382448E-4</v>
      </c>
      <c r="AA47" s="2124">
        <v>0.13216554850218576</v>
      </c>
      <c r="AB47" s="2151">
        <v>0.13237752992379959</v>
      </c>
    </row>
    <row r="48" spans="2:28" s="34" customFormat="1">
      <c r="B48" s="2155">
        <v>64</v>
      </c>
      <c r="C48" s="2156">
        <v>0</v>
      </c>
      <c r="D48" s="2156">
        <v>16.437999999999999</v>
      </c>
      <c r="E48" s="2156">
        <v>3.6579999999999999</v>
      </c>
      <c r="F48" s="2156">
        <v>3.6579999999999999</v>
      </c>
      <c r="G48" s="2156">
        <v>16.437999999999999</v>
      </c>
      <c r="H48" s="2157">
        <v>0</v>
      </c>
      <c r="I48" s="2157">
        <v>0.22253315488502251</v>
      </c>
      <c r="J48" s="2158">
        <v>0.22253315488502251</v>
      </c>
      <c r="K48" s="2155">
        <v>64</v>
      </c>
      <c r="L48" s="2156">
        <v>0</v>
      </c>
      <c r="M48" s="2156">
        <v>18.010999999999999</v>
      </c>
      <c r="N48" s="2159">
        <v>0.64100000000000001</v>
      </c>
      <c r="O48" s="2156">
        <v>0.64100000000000001</v>
      </c>
      <c r="P48" s="2156">
        <v>18.010999999999999</v>
      </c>
      <c r="Q48" s="2157">
        <v>0</v>
      </c>
      <c r="R48" s="2157">
        <v>3.5589362056521016E-2</v>
      </c>
      <c r="S48" s="2158">
        <v>3.5589362056521016E-2</v>
      </c>
      <c r="T48" s="2155">
        <v>64</v>
      </c>
      <c r="U48" s="2160">
        <v>0</v>
      </c>
      <c r="V48" s="2160">
        <v>17.224499999999999</v>
      </c>
      <c r="W48" s="2160">
        <v>2.1494999999999997</v>
      </c>
      <c r="X48" s="2160">
        <v>2.1494999999999997</v>
      </c>
      <c r="Y48" s="2160">
        <v>17.224499999999999</v>
      </c>
      <c r="Z48" s="2161">
        <v>0</v>
      </c>
      <c r="AA48" s="2161">
        <v>0.12906125847077177</v>
      </c>
      <c r="AB48" s="2162">
        <v>0.12906125847077177</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17.669</v>
      </c>
      <c r="N49" s="1462">
        <v>0.64900000000000002</v>
      </c>
      <c r="O49" s="1">
        <v>0.64900000000000002</v>
      </c>
      <c r="P49" s="1">
        <v>17.669</v>
      </c>
      <c r="Q49" s="747">
        <v>0</v>
      </c>
      <c r="R49" s="747">
        <v>3.6730997792744358E-2</v>
      </c>
      <c r="S49" s="2136">
        <v>3.6730997792744358E-2</v>
      </c>
      <c r="T49" s="89">
        <v>65</v>
      </c>
      <c r="U49" s="746">
        <v>0</v>
      </c>
      <c r="V49" s="746">
        <v>16.861000000000001</v>
      </c>
      <c r="W49" s="746">
        <v>2.1585000000000001</v>
      </c>
      <c r="X49" s="746">
        <v>2.1585000000000001</v>
      </c>
      <c r="Y49" s="746">
        <v>16.861000000000001</v>
      </c>
      <c r="Z49" s="967">
        <v>0</v>
      </c>
      <c r="AA49" s="967">
        <v>0.13261205717208388</v>
      </c>
      <c r="AB49" s="968">
        <v>0.13261205717208388</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17.274000000000001</v>
      </c>
      <c r="N50" s="2128">
        <v>0.63</v>
      </c>
      <c r="O50" s="2126">
        <v>0.63</v>
      </c>
      <c r="P50" s="2126">
        <v>17.274000000000001</v>
      </c>
      <c r="Q50" s="2127">
        <v>0</v>
      </c>
      <c r="R50" s="2127">
        <v>3.647099687391455E-2</v>
      </c>
      <c r="S50" s="2135">
        <v>3.647099687391455E-2</v>
      </c>
      <c r="T50" s="2134">
        <v>66</v>
      </c>
      <c r="U50" s="1742">
        <v>0</v>
      </c>
      <c r="V50" s="1742">
        <v>16.467500000000001</v>
      </c>
      <c r="W50" s="1742">
        <v>2.1520000000000001</v>
      </c>
      <c r="X50" s="1742">
        <v>2.1520000000000001</v>
      </c>
      <c r="Y50" s="1742">
        <v>16.467500000000001</v>
      </c>
      <c r="Z50" s="2129">
        <v>0</v>
      </c>
      <c r="AA50" s="2129">
        <v>0.13553324443018885</v>
      </c>
      <c r="AB50" s="2150">
        <v>0.13553324443018885</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16.867000000000001</v>
      </c>
      <c r="N51" s="1462">
        <v>0.61</v>
      </c>
      <c r="O51" s="1">
        <v>0.61</v>
      </c>
      <c r="P51" s="1">
        <v>16.867000000000001</v>
      </c>
      <c r="Q51" s="747">
        <v>0</v>
      </c>
      <c r="R51" s="747">
        <v>3.6165293176024189E-2</v>
      </c>
      <c r="S51" s="2136">
        <v>3.6165293176024189E-2</v>
      </c>
      <c r="T51" s="89">
        <v>67</v>
      </c>
      <c r="U51" s="746">
        <v>0</v>
      </c>
      <c r="V51" s="746">
        <v>16.064</v>
      </c>
      <c r="W51" s="746">
        <v>2.1440000000000001</v>
      </c>
      <c r="X51" s="746">
        <v>2.1440000000000001</v>
      </c>
      <c r="Y51" s="746">
        <v>16.064</v>
      </c>
      <c r="Z51" s="2124">
        <v>0</v>
      </c>
      <c r="AA51" s="2124">
        <v>0.13858589015003295</v>
      </c>
      <c r="AB51" s="2151">
        <v>0.13858589015003295</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16.448</v>
      </c>
      <c r="N52" s="2128">
        <v>0.59099999999999997</v>
      </c>
      <c r="O52" s="2126">
        <v>0.59099999999999997</v>
      </c>
      <c r="P52" s="2126">
        <v>16.448</v>
      </c>
      <c r="Q52" s="2127">
        <v>0</v>
      </c>
      <c r="R52" s="2127">
        <v>3.5931420233463032E-2</v>
      </c>
      <c r="S52" s="2135">
        <v>3.5931420233463032E-2</v>
      </c>
      <c r="T52" s="2134">
        <v>68</v>
      </c>
      <c r="U52" s="1742">
        <v>0</v>
      </c>
      <c r="V52" s="1742">
        <v>15.6495</v>
      </c>
      <c r="W52" s="1742">
        <v>2.1355</v>
      </c>
      <c r="X52" s="1742">
        <v>2.1355</v>
      </c>
      <c r="Y52" s="1742">
        <v>15.6495</v>
      </c>
      <c r="Z52" s="2129">
        <v>0</v>
      </c>
      <c r="AA52" s="2129">
        <v>0.14186309076449935</v>
      </c>
      <c r="AB52" s="2150">
        <v>0.14186309076449935</v>
      </c>
    </row>
    <row r="53" spans="2:28">
      <c r="B53" s="89">
        <v>69</v>
      </c>
      <c r="C53" s="1"/>
      <c r="D53" s="1">
        <v>14.432</v>
      </c>
      <c r="E53" s="1">
        <v>3.681</v>
      </c>
      <c r="F53" s="1">
        <v>3.681</v>
      </c>
      <c r="G53" s="1">
        <v>14.432</v>
      </c>
      <c r="H53" s="747">
        <v>0</v>
      </c>
      <c r="I53" s="747">
        <v>0.25505820399113083</v>
      </c>
      <c r="J53" s="2136">
        <v>0.25505820399113083</v>
      </c>
      <c r="K53" s="89">
        <v>69</v>
      </c>
      <c r="L53" s="1">
        <v>0</v>
      </c>
      <c r="M53" s="1">
        <v>16.016999999999999</v>
      </c>
      <c r="N53" s="1462">
        <v>0.57199999999999995</v>
      </c>
      <c r="O53" s="1">
        <v>0.57199999999999995</v>
      </c>
      <c r="P53" s="1">
        <v>16.016999999999999</v>
      </c>
      <c r="Q53" s="747">
        <v>0</v>
      </c>
      <c r="R53" s="747">
        <v>3.5712055940563148E-2</v>
      </c>
      <c r="S53" s="2136">
        <v>3.5712055940563148E-2</v>
      </c>
      <c r="T53" s="89">
        <v>69</v>
      </c>
      <c r="U53" s="746">
        <v>0</v>
      </c>
      <c r="V53" s="746">
        <v>15.224499999999999</v>
      </c>
      <c r="W53" s="746">
        <v>2.1265000000000001</v>
      </c>
      <c r="X53" s="746">
        <v>2.1265000000000001</v>
      </c>
      <c r="Y53" s="746">
        <v>15.224499999999999</v>
      </c>
      <c r="Z53" s="2124">
        <v>0</v>
      </c>
      <c r="AA53" s="2124">
        <v>0.14538512996584699</v>
      </c>
      <c r="AB53" s="2151">
        <v>0.14538512996584699</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15.574</v>
      </c>
      <c r="N54" s="2128">
        <v>0.55100000000000005</v>
      </c>
      <c r="O54" s="2126">
        <v>0.55100000000000005</v>
      </c>
      <c r="P54" s="2126">
        <v>15.574</v>
      </c>
      <c r="Q54" s="2127">
        <v>0</v>
      </c>
      <c r="R54" s="2127">
        <v>3.5379478618209843E-2</v>
      </c>
      <c r="S54" s="2135">
        <v>3.5379478618209843E-2</v>
      </c>
      <c r="T54" s="2134">
        <v>70</v>
      </c>
      <c r="U54" s="1742">
        <v>0</v>
      </c>
      <c r="V54" s="1742">
        <v>14.788</v>
      </c>
      <c r="W54" s="1742">
        <v>2.1149999999999998</v>
      </c>
      <c r="X54" s="1742">
        <v>2.1149999999999998</v>
      </c>
      <c r="Y54" s="1742">
        <v>14.788</v>
      </c>
      <c r="Z54" s="2129">
        <v>0</v>
      </c>
      <c r="AA54" s="2129">
        <v>0.14906382872490265</v>
      </c>
      <c r="AB54" s="2150">
        <v>0.14906382872490265</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15.118</v>
      </c>
      <c r="N55" s="1462">
        <v>0.53100000000000003</v>
      </c>
      <c r="O55" s="1">
        <v>0.53100000000000003</v>
      </c>
      <c r="P55" s="1">
        <v>15.118</v>
      </c>
      <c r="Q55" s="747">
        <v>0</v>
      </c>
      <c r="R55" s="747">
        <v>3.5123693610265912E-2</v>
      </c>
      <c r="S55" s="2136">
        <v>3.5123693610265912E-2</v>
      </c>
      <c r="T55" s="89">
        <v>71</v>
      </c>
      <c r="U55" s="746">
        <v>0</v>
      </c>
      <c r="V55" s="746">
        <v>14.34</v>
      </c>
      <c r="W55" s="746">
        <v>2.1029999999999998</v>
      </c>
      <c r="X55" s="746">
        <v>2.1029999999999998</v>
      </c>
      <c r="Y55" s="746">
        <v>14.34</v>
      </c>
      <c r="Z55" s="2124">
        <v>0</v>
      </c>
      <c r="AA55" s="2124">
        <v>0.15305071275410803</v>
      </c>
      <c r="AB55" s="2151">
        <v>0.15305071275410803</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14.648999999999999</v>
      </c>
      <c r="N56" s="2128">
        <v>0.51</v>
      </c>
      <c r="O56" s="2126">
        <v>0.51</v>
      </c>
      <c r="P56" s="2126">
        <v>14.648999999999999</v>
      </c>
      <c r="Q56" s="2127">
        <v>0</v>
      </c>
      <c r="R56" s="2127">
        <v>3.481466311693631E-2</v>
      </c>
      <c r="S56" s="2135">
        <v>3.481466311693631E-2</v>
      </c>
      <c r="T56" s="2134">
        <v>72</v>
      </c>
      <c r="U56" s="1742">
        <v>0</v>
      </c>
      <c r="V56" s="1742">
        <v>13.879999999999999</v>
      </c>
      <c r="W56" s="1742">
        <v>2.0895000000000001</v>
      </c>
      <c r="X56" s="1742">
        <v>2.0895000000000001</v>
      </c>
      <c r="Y56" s="1742">
        <v>13.879999999999999</v>
      </c>
      <c r="Z56" s="2129">
        <v>0</v>
      </c>
      <c r="AA56" s="2129">
        <v>0.15732800885234352</v>
      </c>
      <c r="AB56" s="2150">
        <v>0.15732800885234352</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14.167999999999999</v>
      </c>
      <c r="N57" s="1462">
        <v>0.48899999999999999</v>
      </c>
      <c r="O57" s="1">
        <v>0.48899999999999999</v>
      </c>
      <c r="P57" s="1">
        <v>14.167999999999999</v>
      </c>
      <c r="Q57" s="747">
        <v>0</v>
      </c>
      <c r="R57" s="747">
        <v>3.4514398644833431E-2</v>
      </c>
      <c r="S57" s="2136">
        <v>3.4514398644833431E-2</v>
      </c>
      <c r="T57" s="89">
        <v>73</v>
      </c>
      <c r="U57" s="746">
        <v>0</v>
      </c>
      <c r="V57" s="746">
        <v>13.408999999999999</v>
      </c>
      <c r="W57" s="746">
        <v>2.0779999999999998</v>
      </c>
      <c r="X57" s="746">
        <v>2.0779999999999998</v>
      </c>
      <c r="Y57" s="746">
        <v>13.408999999999999</v>
      </c>
      <c r="Z57" s="2124">
        <v>0</v>
      </c>
      <c r="AA57" s="2124">
        <v>0.16219791078486728</v>
      </c>
      <c r="AB57" s="2151">
        <v>0.16219791078486728</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13.676</v>
      </c>
      <c r="N58" s="2128">
        <v>0.46899999999999997</v>
      </c>
      <c r="O58" s="2126">
        <v>0.46899999999999997</v>
      </c>
      <c r="P58" s="2126">
        <v>13.676</v>
      </c>
      <c r="Q58" s="2127">
        <v>0</v>
      </c>
      <c r="R58" s="2127">
        <v>3.4293653114945886E-2</v>
      </c>
      <c r="S58" s="2135">
        <v>3.4293653114945886E-2</v>
      </c>
      <c r="T58" s="2134">
        <v>74</v>
      </c>
      <c r="U58" s="1742">
        <v>0</v>
      </c>
      <c r="V58" s="1742">
        <v>12.928000000000001</v>
      </c>
      <c r="W58" s="1742">
        <v>2.0655000000000001</v>
      </c>
      <c r="X58" s="1742">
        <v>2.0655000000000001</v>
      </c>
      <c r="Y58" s="1742">
        <v>12.928000000000001</v>
      </c>
      <c r="Z58" s="2129">
        <v>0</v>
      </c>
      <c r="AA58" s="2129">
        <v>0.16747523378243187</v>
      </c>
      <c r="AB58" s="2150">
        <v>0.16747523378243187</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13.173999999999999</v>
      </c>
      <c r="N59" s="1462">
        <v>0.44800000000000001</v>
      </c>
      <c r="O59" s="1">
        <v>0.44800000000000001</v>
      </c>
      <c r="P59" s="1">
        <v>13.173999999999999</v>
      </c>
      <c r="Q59" s="747">
        <v>0</v>
      </c>
      <c r="R59" s="747">
        <v>3.4006376195536668E-2</v>
      </c>
      <c r="S59" s="2136">
        <v>3.4006376195536668E-2</v>
      </c>
      <c r="T59" s="89">
        <v>75</v>
      </c>
      <c r="U59" s="746">
        <v>0</v>
      </c>
      <c r="V59" s="746">
        <v>12.4375</v>
      </c>
      <c r="W59" s="746">
        <v>2.0514999999999999</v>
      </c>
      <c r="X59" s="746">
        <v>2.0514999999999999</v>
      </c>
      <c r="Y59" s="746">
        <v>12.4375</v>
      </c>
      <c r="Z59" s="2124">
        <v>0</v>
      </c>
      <c r="AA59" s="2124">
        <v>0.17318642030014417</v>
      </c>
      <c r="AB59" s="2151">
        <v>0.17318642030014417</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12.663</v>
      </c>
      <c r="N60" s="2128">
        <v>0.42699999999999999</v>
      </c>
      <c r="O60" s="2126">
        <v>0.42699999999999999</v>
      </c>
      <c r="P60" s="2126">
        <v>12.663</v>
      </c>
      <c r="Q60" s="2127">
        <v>0</v>
      </c>
      <c r="R60" s="2127">
        <v>3.3720287451630734E-2</v>
      </c>
      <c r="S60" s="2135">
        <v>3.3720287451630734E-2</v>
      </c>
      <c r="T60" s="2134">
        <v>76</v>
      </c>
      <c r="U60" s="1742">
        <v>0</v>
      </c>
      <c r="V60" s="1742">
        <v>11.939</v>
      </c>
      <c r="W60" s="1742">
        <v>2.0349999999999997</v>
      </c>
      <c r="X60" s="1742">
        <v>2.0349999999999997</v>
      </c>
      <c r="Y60" s="1742">
        <v>11.939</v>
      </c>
      <c r="Z60" s="2129">
        <v>0</v>
      </c>
      <c r="AA60" s="2129">
        <v>0.17927655032412121</v>
      </c>
      <c r="AB60" s="2150">
        <v>0.17927655032412121</v>
      </c>
    </row>
    <row r="61" spans="2:28">
      <c r="B61" s="89">
        <v>77</v>
      </c>
      <c r="C61" s="1"/>
      <c r="D61" s="1">
        <v>10.724</v>
      </c>
      <c r="E61" s="1">
        <v>3.625</v>
      </c>
      <c r="F61" s="1">
        <v>3.625</v>
      </c>
      <c r="G61" s="1">
        <v>10.724</v>
      </c>
      <c r="H61" s="747">
        <v>0</v>
      </c>
      <c r="I61" s="747">
        <v>0.33802685565087653</v>
      </c>
      <c r="J61" s="2136">
        <v>0.33802685565087653</v>
      </c>
      <c r="K61" s="89">
        <v>77</v>
      </c>
      <c r="L61" s="1">
        <v>0</v>
      </c>
      <c r="M61" s="1">
        <v>12.143000000000001</v>
      </c>
      <c r="N61" s="1462">
        <v>0.40400000000000003</v>
      </c>
      <c r="O61" s="1">
        <v>0.40400000000000003</v>
      </c>
      <c r="P61" s="1">
        <v>12.143000000000001</v>
      </c>
      <c r="Q61" s="747">
        <v>0</v>
      </c>
      <c r="R61" s="747">
        <v>3.327019682121387E-2</v>
      </c>
      <c r="S61" s="2136">
        <v>3.327019682121387E-2</v>
      </c>
      <c r="T61" s="89">
        <v>77</v>
      </c>
      <c r="U61" s="746">
        <v>0</v>
      </c>
      <c r="V61" s="746">
        <v>11.4335</v>
      </c>
      <c r="W61" s="746">
        <v>2.0145</v>
      </c>
      <c r="X61" s="746">
        <v>2.0145</v>
      </c>
      <c r="Y61" s="746">
        <v>11.4335</v>
      </c>
      <c r="Z61" s="2124">
        <v>0</v>
      </c>
      <c r="AA61" s="2124">
        <v>0.18564852623604519</v>
      </c>
      <c r="AB61" s="2151">
        <v>0.18564852623604519</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11.618</v>
      </c>
      <c r="N62" s="2128">
        <v>0.38100000000000001</v>
      </c>
      <c r="O62" s="2126">
        <v>0.38100000000000001</v>
      </c>
      <c r="P62" s="2126">
        <v>11.618</v>
      </c>
      <c r="Q62" s="2127">
        <v>0</v>
      </c>
      <c r="R62" s="2127">
        <v>3.279394043725254E-2</v>
      </c>
      <c r="S62" s="2135">
        <v>3.279394043725254E-2</v>
      </c>
      <c r="T62" s="2134">
        <v>78</v>
      </c>
      <c r="U62" s="1742">
        <v>0</v>
      </c>
      <c r="V62" s="1742">
        <v>10.923500000000001</v>
      </c>
      <c r="W62" s="1742">
        <v>1.9910000000000001</v>
      </c>
      <c r="X62" s="1742">
        <v>1.9910000000000001</v>
      </c>
      <c r="Y62" s="1742">
        <v>10.923500000000001</v>
      </c>
      <c r="Z62" s="2129">
        <v>0</v>
      </c>
      <c r="AA62" s="2129">
        <v>0.19241613142695554</v>
      </c>
      <c r="AB62" s="2150">
        <v>0.19241613142695554</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11.087999999999999</v>
      </c>
      <c r="N63" s="1462">
        <v>0.35699999999999998</v>
      </c>
      <c r="O63" s="1">
        <v>0.35699999999999998</v>
      </c>
      <c r="P63" s="1">
        <v>11.087999999999999</v>
      </c>
      <c r="Q63" s="747">
        <v>0</v>
      </c>
      <c r="R63" s="747">
        <v>3.2196969696969696E-2</v>
      </c>
      <c r="S63" s="2136">
        <v>3.2196969696969696E-2</v>
      </c>
      <c r="T63" s="89">
        <v>79</v>
      </c>
      <c r="U63" s="746">
        <v>0</v>
      </c>
      <c r="V63" s="746">
        <v>10.410499999999999</v>
      </c>
      <c r="W63" s="746">
        <v>1.9634999999999998</v>
      </c>
      <c r="X63" s="746">
        <v>1.9634999999999998</v>
      </c>
      <c r="Y63" s="746">
        <v>10.410499999999999</v>
      </c>
      <c r="Z63" s="2124">
        <v>0</v>
      </c>
      <c r="AA63" s="2124">
        <v>0.19949517651600768</v>
      </c>
      <c r="AB63" s="2151">
        <v>0.19949517651600768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10.555</v>
      </c>
      <c r="N64" s="2128">
        <v>0.33300000000000002</v>
      </c>
      <c r="O64" s="2126">
        <v>0.33300000000000002</v>
      </c>
      <c r="P64" s="2126">
        <v>10.555</v>
      </c>
      <c r="Q64" s="2127">
        <v>0</v>
      </c>
      <c r="R64" s="2127">
        <v>3.15490288962577E-2</v>
      </c>
      <c r="S64" s="2135">
        <v>3.15490288962577E-2</v>
      </c>
      <c r="T64" s="2134">
        <v>80</v>
      </c>
      <c r="U64" s="1742">
        <v>0</v>
      </c>
      <c r="V64" s="1742">
        <v>9.8964999999999996</v>
      </c>
      <c r="W64" s="1742">
        <v>1.9320000000000002</v>
      </c>
      <c r="X64" s="1742">
        <v>1.9320000000000002</v>
      </c>
      <c r="Y64" s="1742">
        <v>9.8964999999999996</v>
      </c>
      <c r="Z64" s="2129">
        <v>0</v>
      </c>
      <c r="AA64" s="2129">
        <v>0.20688730942539668</v>
      </c>
      <c r="AB64" s="2150">
        <v>0.20688730942539668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10.023</v>
      </c>
      <c r="N65" s="1462">
        <v>0.309</v>
      </c>
      <c r="O65" s="1">
        <v>0.309</v>
      </c>
      <c r="P65" s="1">
        <v>10.023</v>
      </c>
      <c r="Q65" s="747">
        <v>0</v>
      </c>
      <c r="R65" s="747">
        <v>3.0829093085902426E-2</v>
      </c>
      <c r="S65" s="2136">
        <v>3.0829093085902426E-2</v>
      </c>
      <c r="T65" s="89">
        <v>81</v>
      </c>
      <c r="U65" s="746">
        <v>0</v>
      </c>
      <c r="V65" s="746">
        <v>9.3849999999999998</v>
      </c>
      <c r="W65" s="746">
        <v>1.8955000000000002</v>
      </c>
      <c r="X65" s="746">
        <v>1.8955000000000002</v>
      </c>
      <c r="Y65" s="746">
        <v>9.3849999999999998</v>
      </c>
      <c r="Z65" s="2124">
        <v>0</v>
      </c>
      <c r="AA65" s="2124">
        <v>0.2144542172872064</v>
      </c>
      <c r="AB65" s="2151">
        <v>0.2144542172872064</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9.4920000000000009</v>
      </c>
      <c r="N66" s="2128">
        <v>0.28499999999999998</v>
      </c>
      <c r="O66" s="2126">
        <v>0.28499999999999998</v>
      </c>
      <c r="P66" s="2126">
        <v>9.4920000000000009</v>
      </c>
      <c r="Q66" s="2127">
        <v>0</v>
      </c>
      <c r="R66" s="2127">
        <v>3.0025284450063205E-2</v>
      </c>
      <c r="S66" s="2135">
        <v>3.0025284450063205E-2</v>
      </c>
      <c r="T66" s="2134">
        <v>82</v>
      </c>
      <c r="U66" s="1742">
        <v>0</v>
      </c>
      <c r="V66" s="1742">
        <v>8.8775000000000013</v>
      </c>
      <c r="W66" s="1742">
        <v>1.847</v>
      </c>
      <c r="X66" s="1742">
        <v>1.847</v>
      </c>
      <c r="Y66" s="1742">
        <v>8.8775000000000013</v>
      </c>
      <c r="Z66" s="2129">
        <v>0</v>
      </c>
      <c r="AA66" s="2129">
        <v>0.22129365396410941</v>
      </c>
      <c r="AB66" s="2150">
        <v>0.22129365396410941</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8.9670000000000005</v>
      </c>
      <c r="N67" s="1462">
        <v>0.26100000000000001</v>
      </c>
      <c r="O67" s="1">
        <v>0.26100000000000001</v>
      </c>
      <c r="P67" s="1">
        <v>8.9670000000000005</v>
      </c>
      <c r="Q67" s="747">
        <v>0</v>
      </c>
      <c r="R67" s="747">
        <v>2.9106724657075946E-2</v>
      </c>
      <c r="S67" s="2136">
        <v>2.9106724657075946E-2</v>
      </c>
      <c r="T67" s="89">
        <v>83</v>
      </c>
      <c r="U67" s="746">
        <v>0</v>
      </c>
      <c r="V67" s="746">
        <v>8.3775000000000013</v>
      </c>
      <c r="W67" s="746">
        <v>1.7915000000000001</v>
      </c>
      <c r="X67" s="746">
        <v>1.7915000000000001</v>
      </c>
      <c r="Y67" s="746">
        <v>8.3775000000000013</v>
      </c>
      <c r="Z67" s="2124">
        <v>0</v>
      </c>
      <c r="AA67" s="2124">
        <v>0.22783019848673006</v>
      </c>
      <c r="AB67" s="2151">
        <v>0.22783019848673006</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8.4499999999999993</v>
      </c>
      <c r="N68" s="2128">
        <v>0.23799999999999999</v>
      </c>
      <c r="O68" s="2126">
        <v>0.23799999999999999</v>
      </c>
      <c r="P68" s="2126">
        <v>8.4499999999999993</v>
      </c>
      <c r="Q68" s="2127">
        <v>0</v>
      </c>
      <c r="R68" s="2127">
        <v>2.816568047337278E-2</v>
      </c>
      <c r="S68" s="2135">
        <v>2.816568047337278E-2</v>
      </c>
      <c r="T68" s="2134">
        <v>84</v>
      </c>
      <c r="U68" s="1742">
        <v>0</v>
      </c>
      <c r="V68" s="1742">
        <v>7.8884999999999996</v>
      </c>
      <c r="W68" s="1742">
        <v>1.7304999999999999</v>
      </c>
      <c r="X68" s="1742">
        <v>1.7304999999999999</v>
      </c>
      <c r="Y68" s="1742">
        <v>7.8884999999999996</v>
      </c>
      <c r="Z68" s="2129">
        <v>0</v>
      </c>
      <c r="AA68" s="2129">
        <v>0.23402278837371379</v>
      </c>
      <c r="AB68" s="2150">
        <v>0.23402278837371379</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7.944</v>
      </c>
      <c r="N69" s="1462">
        <v>0.21199999999999999</v>
      </c>
      <c r="O69" s="1">
        <v>0.21199999999999999</v>
      </c>
      <c r="P69" s="1">
        <v>7.944</v>
      </c>
      <c r="Q69" s="747">
        <v>0</v>
      </c>
      <c r="R69" s="747">
        <v>2.6686807653575024E-2</v>
      </c>
      <c r="S69" s="2136">
        <v>2.6686807653575024E-2</v>
      </c>
      <c r="T69" s="89">
        <v>85</v>
      </c>
      <c r="U69" s="746">
        <v>0</v>
      </c>
      <c r="V69" s="746">
        <v>7.4135</v>
      </c>
      <c r="W69" s="746">
        <v>1.663</v>
      </c>
      <c r="X69" s="746">
        <v>1.663</v>
      </c>
      <c r="Y69" s="746">
        <v>7.4135</v>
      </c>
      <c r="Z69" s="2124">
        <v>0</v>
      </c>
      <c r="AA69" s="2124">
        <v>0.23955290549757058</v>
      </c>
      <c r="AB69" s="2151">
        <v>0.23955290549757058</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7.452</v>
      </c>
      <c r="N70" s="2128">
        <v>0.186</v>
      </c>
      <c r="O70" s="2126">
        <v>0.186</v>
      </c>
      <c r="P70" s="2126">
        <v>7.452</v>
      </c>
      <c r="Q70" s="2127">
        <v>0</v>
      </c>
      <c r="R70" s="2127">
        <v>2.4959742351046699E-2</v>
      </c>
      <c r="S70" s="2135">
        <v>2.4959742351046699E-2</v>
      </c>
      <c r="T70" s="2134">
        <v>86</v>
      </c>
      <c r="U70" s="1742">
        <v>0</v>
      </c>
      <c r="V70" s="1742">
        <v>6.9569999999999999</v>
      </c>
      <c r="W70" s="1742">
        <v>1.5914999999999999</v>
      </c>
      <c r="X70" s="1742">
        <v>1.5914999999999999</v>
      </c>
      <c r="Y70" s="1742">
        <v>6.9569999999999999</v>
      </c>
      <c r="Z70" s="2129">
        <v>0</v>
      </c>
      <c r="AA70" s="2129">
        <v>0.24437402159335064</v>
      </c>
      <c r="AB70" s="2150">
        <v>0.24437402159335064</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6.9770000000000003</v>
      </c>
      <c r="N71" s="1462">
        <v>0.16200000000000001</v>
      </c>
      <c r="O71" s="1">
        <v>0.16200000000000001</v>
      </c>
      <c r="P71" s="1">
        <v>6.9770000000000003</v>
      </c>
      <c r="Q71" s="747">
        <v>0</v>
      </c>
      <c r="R71" s="747">
        <v>2.3219148631216855E-2</v>
      </c>
      <c r="S71" s="2136">
        <v>2.3219148631216855E-2</v>
      </c>
      <c r="T71" s="89">
        <v>87</v>
      </c>
      <c r="U71" s="746">
        <v>0</v>
      </c>
      <c r="V71" s="746">
        <v>6.5229999999999997</v>
      </c>
      <c r="W71" s="746">
        <v>1.5175000000000001</v>
      </c>
      <c r="X71" s="746">
        <v>1.5175000000000001</v>
      </c>
      <c r="Y71" s="746">
        <v>6.5229999999999997</v>
      </c>
      <c r="Z71" s="2124">
        <v>0</v>
      </c>
      <c r="AA71" s="2124">
        <v>0.24830425218675692</v>
      </c>
      <c r="AB71" s="2151">
        <v>0.24830425218675692</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6.5209999999999999</v>
      </c>
      <c r="N72" s="2128">
        <v>0.14000000000000001</v>
      </c>
      <c r="O72" s="2126">
        <v>0.14000000000000001</v>
      </c>
      <c r="P72" s="2126">
        <v>6.5209999999999999</v>
      </c>
      <c r="Q72" s="2127">
        <v>0</v>
      </c>
      <c r="R72" s="2127">
        <v>2.1469099831314217E-2</v>
      </c>
      <c r="S72" s="2135">
        <v>2.1469099831314217E-2</v>
      </c>
      <c r="T72" s="2134">
        <v>88</v>
      </c>
      <c r="U72" s="1742">
        <v>0</v>
      </c>
      <c r="V72" s="1742">
        <v>6.1165000000000003</v>
      </c>
      <c r="W72" s="1742">
        <v>1.4275</v>
      </c>
      <c r="X72" s="1742">
        <v>1.4275</v>
      </c>
      <c r="Y72" s="1742">
        <v>6.1165000000000003</v>
      </c>
      <c r="Z72" s="2129">
        <v>0</v>
      </c>
      <c r="AA72" s="2129">
        <v>0.24839211294086719</v>
      </c>
      <c r="AB72" s="2150">
        <v>0.24839211294086719</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6.093</v>
      </c>
      <c r="N73" s="1462">
        <v>0.11700000000000001</v>
      </c>
      <c r="O73" s="1">
        <v>0.11700000000000001</v>
      </c>
      <c r="P73" s="1">
        <v>6.093</v>
      </c>
      <c r="Q73" s="747">
        <v>0</v>
      </c>
      <c r="R73" s="747">
        <v>1.9202363367799114E-2</v>
      </c>
      <c r="S73" s="2136">
        <v>1.9202363367799114E-2</v>
      </c>
      <c r="T73" s="89">
        <v>89</v>
      </c>
      <c r="U73" s="746">
        <v>0</v>
      </c>
      <c r="V73" s="746">
        <v>5.7454999999999998</v>
      </c>
      <c r="W73" s="746">
        <v>1.333</v>
      </c>
      <c r="X73" s="746">
        <v>1.333</v>
      </c>
      <c r="Y73" s="746">
        <v>5.7454999999999998</v>
      </c>
      <c r="Z73" s="2124">
        <v>0</v>
      </c>
      <c r="AA73" s="2124">
        <v>0.24570714685618561</v>
      </c>
      <c r="AB73" s="2151">
        <v>0.24570714685618561</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5.694</v>
      </c>
      <c r="N74" s="2128">
        <v>9.7000000000000003E-2</v>
      </c>
      <c r="O74" s="2126">
        <v>9.7000000000000003E-2</v>
      </c>
      <c r="P74" s="2126">
        <v>5.694</v>
      </c>
      <c r="Q74" s="2127">
        <v>0</v>
      </c>
      <c r="R74" s="2127">
        <v>1.7035475939585529E-2</v>
      </c>
      <c r="S74" s="2135">
        <v>1.7035475939585529E-2</v>
      </c>
      <c r="T74" s="2134">
        <v>90</v>
      </c>
      <c r="U74" s="1742">
        <v>0</v>
      </c>
      <c r="V74" s="1742">
        <v>5.4045000000000005</v>
      </c>
      <c r="W74" s="1742">
        <v>1.242</v>
      </c>
      <c r="X74" s="1742">
        <v>1.242</v>
      </c>
      <c r="Y74" s="1742">
        <v>5.4045000000000005</v>
      </c>
      <c r="Z74" s="2129">
        <v>0</v>
      </c>
      <c r="AA74" s="2129">
        <v>0.24185107130312611</v>
      </c>
      <c r="AB74" s="2150">
        <v>0.24185107130312611</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5.3259999999999996</v>
      </c>
      <c r="N75" s="1462">
        <v>0.08</v>
      </c>
      <c r="O75" s="1">
        <v>0.08</v>
      </c>
      <c r="P75" s="1">
        <v>5.3259999999999996</v>
      </c>
      <c r="Q75" s="747">
        <v>0</v>
      </c>
      <c r="R75" s="747">
        <v>1.5020653398422833E-2</v>
      </c>
      <c r="S75" s="2136">
        <v>1.5020653398422833E-2</v>
      </c>
      <c r="T75" s="89">
        <v>91</v>
      </c>
      <c r="U75" s="746">
        <v>0</v>
      </c>
      <c r="V75" s="746">
        <v>5.0879999999999992</v>
      </c>
      <c r="W75" s="746">
        <v>1.1420000000000001</v>
      </c>
      <c r="X75" s="746">
        <v>1.1420000000000001</v>
      </c>
      <c r="Y75" s="746">
        <v>5.0879999999999992</v>
      </c>
      <c r="Z75" s="2124">
        <v>0</v>
      </c>
      <c r="AA75" s="2124">
        <v>0.23472682154457228</v>
      </c>
      <c r="AB75" s="2151">
        <v>0.23472682154457228</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4.99</v>
      </c>
      <c r="N76" s="2128">
        <v>6.4000000000000001E-2</v>
      </c>
      <c r="O76" s="2126">
        <v>6.4000000000000001E-2</v>
      </c>
      <c r="P76" s="2126">
        <v>4.99</v>
      </c>
      <c r="Q76" s="2127">
        <v>0</v>
      </c>
      <c r="R76" s="2127">
        <v>1.282565130260521E-2</v>
      </c>
      <c r="S76" s="2135">
        <v>1.282565130260521E-2</v>
      </c>
      <c r="T76" s="2134">
        <v>92</v>
      </c>
      <c r="U76" s="1742">
        <v>0</v>
      </c>
      <c r="V76" s="1742">
        <v>4.7970000000000006</v>
      </c>
      <c r="W76" s="1742">
        <v>1.0495000000000001</v>
      </c>
      <c r="X76" s="1742">
        <v>1.0495000000000001</v>
      </c>
      <c r="Y76" s="1742">
        <v>4.7970000000000006</v>
      </c>
      <c r="Z76" s="2129">
        <v>0</v>
      </c>
      <c r="AA76" s="2129">
        <v>0.2274163008902253</v>
      </c>
      <c r="AB76" s="2150">
        <v>0.2274163008902253</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4.6840000000000002</v>
      </c>
      <c r="N77" s="1462">
        <v>5.1999999999999998E-2</v>
      </c>
      <c r="O77" s="1">
        <v>5.1999999999999998E-2</v>
      </c>
      <c r="P77" s="1">
        <v>4.6840000000000002</v>
      </c>
      <c r="Q77" s="747">
        <v>0</v>
      </c>
      <c r="R77" s="747">
        <v>1.1101622544833475E-2</v>
      </c>
      <c r="S77" s="2136">
        <v>1.1101622544833475E-2</v>
      </c>
      <c r="T77" s="89">
        <v>93</v>
      </c>
      <c r="U77" s="746">
        <v>0</v>
      </c>
      <c r="V77" s="746">
        <v>4.53</v>
      </c>
      <c r="W77" s="746">
        <v>0.95100000000000007</v>
      </c>
      <c r="X77" s="746">
        <v>0.95100000000000007</v>
      </c>
      <c r="Y77" s="746">
        <v>4.53</v>
      </c>
      <c r="Z77" s="2124">
        <v>0</v>
      </c>
      <c r="AA77" s="2124">
        <v>0.21693106721391583</v>
      </c>
      <c r="AB77" s="2151">
        <v>0.21693106721391583</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4.4039999999999999</v>
      </c>
      <c r="N78" s="2128">
        <v>4.2000000000000003E-2</v>
      </c>
      <c r="O78" s="2126">
        <v>4.2000000000000003E-2</v>
      </c>
      <c r="P78" s="2126">
        <v>4.4039999999999999</v>
      </c>
      <c r="Q78" s="2127">
        <v>0</v>
      </c>
      <c r="R78" s="2127">
        <v>9.5367847411444145E-3</v>
      </c>
      <c r="S78" s="2135">
        <v>9.5367847411444145E-3</v>
      </c>
      <c r="T78" s="2134">
        <v>94</v>
      </c>
      <c r="U78" s="1742">
        <v>0</v>
      </c>
      <c r="V78" s="1742">
        <v>4.2850000000000001</v>
      </c>
      <c r="W78" s="1742">
        <v>0.86250000000000004</v>
      </c>
      <c r="X78" s="1742">
        <v>0.86250000000000004</v>
      </c>
      <c r="Y78" s="1742">
        <v>4.2850000000000001</v>
      </c>
      <c r="Z78" s="2129">
        <v>0</v>
      </c>
      <c r="AA78" s="2129">
        <v>0.20676071114157554</v>
      </c>
      <c r="AB78" s="2150">
        <v>0.20676071114157554</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4.149</v>
      </c>
      <c r="N79" s="1462">
        <v>3.4000000000000002E-2</v>
      </c>
      <c r="O79" s="1">
        <v>3.4000000000000002E-2</v>
      </c>
      <c r="P79" s="1">
        <v>4.149</v>
      </c>
      <c r="Q79" s="747">
        <v>0</v>
      </c>
      <c r="R79" s="747">
        <v>8.1947457218606891E-3</v>
      </c>
      <c r="S79" s="2136">
        <v>8.1947457218606891E-3</v>
      </c>
      <c r="T79" s="89">
        <v>95</v>
      </c>
      <c r="U79" s="746">
        <v>0</v>
      </c>
      <c r="V79" s="746">
        <v>4.0615000000000006</v>
      </c>
      <c r="W79" s="746">
        <v>0.78449999999999998</v>
      </c>
      <c r="X79" s="746">
        <v>0.78449999999999998</v>
      </c>
      <c r="Y79" s="746">
        <v>4.0615000000000006</v>
      </c>
      <c r="Z79" s="2124">
        <v>0</v>
      </c>
      <c r="AA79" s="2124">
        <v>0.19722772011810194</v>
      </c>
      <c r="AB79" s="2151">
        <v>0.19722772011810194</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3.919</v>
      </c>
      <c r="N80" s="2128">
        <v>2.7E-2</v>
      </c>
      <c r="O80" s="2126">
        <v>2.7E-2</v>
      </c>
      <c r="P80" s="2126">
        <v>3.919</v>
      </c>
      <c r="Q80" s="2127">
        <v>0</v>
      </c>
      <c r="R80" s="2127">
        <v>6.8895126307731563E-3</v>
      </c>
      <c r="S80" s="2135">
        <v>6.8895126307731563E-3</v>
      </c>
      <c r="T80" s="2134">
        <v>96</v>
      </c>
      <c r="U80" s="1742">
        <v>0</v>
      </c>
      <c r="V80" s="1742">
        <v>3.8585000000000003</v>
      </c>
      <c r="W80" s="1742">
        <v>0.69899999999999995</v>
      </c>
      <c r="X80" s="1742">
        <v>0.69899999999999995</v>
      </c>
      <c r="Y80" s="1742">
        <v>3.8585000000000003</v>
      </c>
      <c r="Z80" s="2129">
        <v>0</v>
      </c>
      <c r="AA80" s="2129">
        <v>0.18393448775298529</v>
      </c>
      <c r="AB80" s="2150">
        <v>0.18393448775298529</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3.7130000000000001</v>
      </c>
      <c r="N81" s="1462">
        <v>2.1000000000000001E-2</v>
      </c>
      <c r="O81" s="1">
        <v>2.1000000000000001E-2</v>
      </c>
      <c r="P81" s="1">
        <v>3.7130000000000001</v>
      </c>
      <c r="Q81" s="747">
        <v>0</v>
      </c>
      <c r="R81" s="747">
        <v>5.655803932130353E-3</v>
      </c>
      <c r="S81" s="2136">
        <v>5.655803932130353E-3</v>
      </c>
      <c r="T81" s="89">
        <v>97</v>
      </c>
      <c r="U81" s="746">
        <v>0</v>
      </c>
      <c r="V81" s="746">
        <v>3.6760000000000002</v>
      </c>
      <c r="W81" s="746">
        <v>0.61849999999999994</v>
      </c>
      <c r="X81" s="746">
        <v>0.61849999999999994</v>
      </c>
      <c r="Y81" s="746">
        <v>3.6760000000000002</v>
      </c>
      <c r="Z81" s="2124">
        <v>0</v>
      </c>
      <c r="AA81" s="2124">
        <v>0.16990676978689506</v>
      </c>
      <c r="AB81" s="2151">
        <v>0.16990676978689506</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3.53</v>
      </c>
      <c r="N82" s="2128">
        <v>1.6E-2</v>
      </c>
      <c r="O82" s="2126">
        <v>1.6E-2</v>
      </c>
      <c r="P82" s="2126">
        <v>3.53</v>
      </c>
      <c r="Q82" s="2127">
        <v>0</v>
      </c>
      <c r="R82" s="2127">
        <v>4.5325779036827201E-3</v>
      </c>
      <c r="S82" s="2135">
        <v>4.5325779036827201E-3</v>
      </c>
      <c r="T82" s="2134">
        <v>98</v>
      </c>
      <c r="U82" s="1742">
        <v>0</v>
      </c>
      <c r="V82" s="1742">
        <v>3.5125000000000002</v>
      </c>
      <c r="W82" s="1742">
        <v>0.52849999999999997</v>
      </c>
      <c r="X82" s="1742">
        <v>0.52849999999999997</v>
      </c>
      <c r="Y82" s="1742">
        <v>3.5125000000000002</v>
      </c>
      <c r="Z82" s="2129">
        <v>0</v>
      </c>
      <c r="AA82" s="2129">
        <v>0.15119332757845078</v>
      </c>
      <c r="AB82" s="2150">
        <v>0.15119332757845078</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3.3690000000000002</v>
      </c>
      <c r="N83" s="1462">
        <v>1.2999999999999999E-2</v>
      </c>
      <c r="O83" s="1">
        <v>1.2999999999999999E-2</v>
      </c>
      <c r="P83" s="1">
        <v>3.3690000000000002</v>
      </c>
      <c r="Q83" s="747">
        <v>0</v>
      </c>
      <c r="R83" s="747">
        <v>3.8587117839121395E-3</v>
      </c>
      <c r="S83" s="2136">
        <v>3.8587117839121395E-3</v>
      </c>
      <c r="T83" s="89">
        <v>99</v>
      </c>
      <c r="U83" s="746">
        <v>0</v>
      </c>
      <c r="V83" s="746">
        <v>3.3665000000000003</v>
      </c>
      <c r="W83" s="746">
        <v>0.43049999999999999</v>
      </c>
      <c r="X83" s="746">
        <v>0.43049999999999999</v>
      </c>
      <c r="Y83" s="746">
        <v>3.3665000000000003</v>
      </c>
      <c r="Z83" s="2124">
        <v>0</v>
      </c>
      <c r="AA83" s="2124">
        <v>0.12796978395378722</v>
      </c>
      <c r="AB83" s="2151">
        <v>0.12796978395378722</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3.2309999999999999</v>
      </c>
      <c r="N84" s="2145">
        <v>0.01</v>
      </c>
      <c r="O84" s="2138">
        <v>0.01</v>
      </c>
      <c r="P84" s="2138">
        <v>3.2309999999999999</v>
      </c>
      <c r="Q84" s="2139">
        <v>0</v>
      </c>
      <c r="R84" s="2139">
        <v>3.0950170225936243E-3</v>
      </c>
      <c r="S84" s="2140">
        <v>3.0950170225936243E-3</v>
      </c>
      <c r="T84" s="2137">
        <v>100</v>
      </c>
      <c r="U84" s="2152">
        <v>0</v>
      </c>
      <c r="V84" s="2152">
        <v>3.238</v>
      </c>
      <c r="W84" s="2152">
        <v>0.34100000000000003</v>
      </c>
      <c r="X84" s="2152">
        <v>0.34100000000000003</v>
      </c>
      <c r="Y84" s="2152">
        <v>3.238</v>
      </c>
      <c r="Z84" s="2153">
        <v>0</v>
      </c>
      <c r="AA84" s="2153">
        <v>0.10509142222470205</v>
      </c>
      <c r="AB84" s="2154">
        <v>0.10509142222470205</v>
      </c>
    </row>
  </sheetData>
  <mergeCells count="3">
    <mergeCell ref="H2:J2"/>
    <mergeCell ref="Q2:S2"/>
    <mergeCell ref="Z2:AB2"/>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35" topLeftCell="A5" activePane="bottomLeft"/>
      <selection activeCell="B1" sqref="A1:XFD1048576"/>
      <selection pane="bottomLeft" activeCell="B47" sqref="B47:AB47"/>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1964</v>
      </c>
      <c r="B2" s="2130" t="s">
        <v>7</v>
      </c>
      <c r="C2" s="2131" t="s">
        <v>0</v>
      </c>
      <c r="D2" s="2131" t="s">
        <v>1</v>
      </c>
      <c r="E2" s="2131" t="s">
        <v>2</v>
      </c>
      <c r="F2" s="2131" t="s">
        <v>1706</v>
      </c>
      <c r="G2" s="2131" t="s">
        <v>1963</v>
      </c>
      <c r="H2" s="3964" t="s">
        <v>5</v>
      </c>
      <c r="I2" s="3965"/>
      <c r="J2" s="3966"/>
      <c r="K2" s="2141" t="s">
        <v>7</v>
      </c>
      <c r="L2" s="2142" t="s">
        <v>0</v>
      </c>
      <c r="M2" s="2142" t="s">
        <v>1</v>
      </c>
      <c r="N2" s="2142" t="s">
        <v>2</v>
      </c>
      <c r="O2" s="2142" t="s">
        <v>1706</v>
      </c>
      <c r="P2" s="2142" t="str">
        <f>+G2</f>
        <v>Anwartschafts-barwert
Altersrente</v>
      </c>
      <c r="Q2" s="3967" t="s">
        <v>6</v>
      </c>
      <c r="R2" s="3968"/>
      <c r="S2" s="3969"/>
      <c r="T2" s="2146" t="s">
        <v>7</v>
      </c>
      <c r="U2" s="2147" t="s">
        <v>0</v>
      </c>
      <c r="V2" s="2147" t="s">
        <v>1</v>
      </c>
      <c r="W2" s="2147" t="s">
        <v>2</v>
      </c>
      <c r="X2" s="2147" t="s">
        <v>1706</v>
      </c>
      <c r="Y2" s="2147" t="str">
        <f>+P2</f>
        <v>Anwartschafts-barwert
Altersrente</v>
      </c>
      <c r="Z2" s="3970" t="s">
        <v>312</v>
      </c>
      <c r="AA2" s="3971"/>
      <c r="AB2" s="3972"/>
    </row>
    <row r="3" spans="1:28" s="2" customFormat="1" ht="13.5">
      <c r="A3" s="60">
        <v>43111</v>
      </c>
      <c r="B3" s="2132"/>
      <c r="C3" s="2125" t="s">
        <v>17</v>
      </c>
      <c r="D3" s="2125" t="s">
        <v>18</v>
      </c>
      <c r="E3" s="2125" t="s">
        <v>24</v>
      </c>
      <c r="F3" s="2125"/>
      <c r="G3" s="2125"/>
      <c r="H3" s="1133" t="s">
        <v>8</v>
      </c>
      <c r="I3" s="1133" t="s">
        <v>9</v>
      </c>
      <c r="J3" s="2133" t="s">
        <v>10</v>
      </c>
      <c r="K3" s="2143"/>
      <c r="L3" s="1134" t="s">
        <v>19</v>
      </c>
      <c r="M3" s="1134" t="s">
        <v>20</v>
      </c>
      <c r="N3" s="1134" t="s">
        <v>26</v>
      </c>
      <c r="O3" s="1134"/>
      <c r="P3" s="1134"/>
      <c r="Q3" s="1134" t="s">
        <v>8</v>
      </c>
      <c r="R3" s="1134" t="s">
        <v>9</v>
      </c>
      <c r="S3" s="2144" t="s">
        <v>10</v>
      </c>
      <c r="T3" s="2163"/>
      <c r="U3" s="2164" t="s">
        <v>19</v>
      </c>
      <c r="V3" s="2164" t="s">
        <v>20</v>
      </c>
      <c r="W3" s="2164" t="s">
        <v>26</v>
      </c>
      <c r="X3" s="2164" t="s">
        <v>27</v>
      </c>
      <c r="Y3" s="2164"/>
      <c r="Z3" s="2164" t="s">
        <v>8</v>
      </c>
      <c r="AA3" s="2164" t="s">
        <v>9</v>
      </c>
      <c r="AB3" s="2165" t="s">
        <v>10</v>
      </c>
    </row>
    <row r="4" spans="1:28">
      <c r="B4" s="2134">
        <v>20</v>
      </c>
      <c r="C4" s="2126">
        <v>0.26900000000000002</v>
      </c>
      <c r="D4" s="2126">
        <v>4.8979999999999997</v>
      </c>
      <c r="E4" s="2126">
        <v>0.53200000000000003</v>
      </c>
      <c r="F4" s="2126">
        <v>0.53200000000000003</v>
      </c>
      <c r="G4" s="2126">
        <v>4.6289999999999996</v>
      </c>
      <c r="H4" s="2127">
        <v>5.8111903218837774E-2</v>
      </c>
      <c r="I4" s="2127">
        <v>0.11492763015770147</v>
      </c>
      <c r="J4" s="2135">
        <v>0.17303953337653924</v>
      </c>
      <c r="K4" s="2134">
        <v>20</v>
      </c>
      <c r="L4" s="2126">
        <v>0.28100000000000003</v>
      </c>
      <c r="M4" s="2126">
        <v>5.665</v>
      </c>
      <c r="N4" s="2128">
        <v>0.13200000000000001</v>
      </c>
      <c r="O4" s="2126">
        <v>0.13200000000000001</v>
      </c>
      <c r="P4" s="2126">
        <v>5.3840000000000003</v>
      </c>
      <c r="Q4" s="2127">
        <v>5.2191679049034177E-2</v>
      </c>
      <c r="R4" s="2127">
        <v>2.4517087667161961E-2</v>
      </c>
      <c r="S4" s="2135">
        <v>7.6708766716196142E-2</v>
      </c>
      <c r="T4" s="2134">
        <v>20</v>
      </c>
      <c r="U4" s="1742">
        <v>0.27500000000000002</v>
      </c>
      <c r="V4" s="1742">
        <v>5.2814999999999994</v>
      </c>
      <c r="W4" s="1742">
        <v>0.33200000000000002</v>
      </c>
      <c r="X4" s="1742">
        <v>0.33200000000000002</v>
      </c>
      <c r="Y4" s="1742">
        <v>5.0065</v>
      </c>
      <c r="Z4" s="2129">
        <v>5.5151791133935979E-2</v>
      </c>
      <c r="AA4" s="2129">
        <v>6.9722358912431712E-2</v>
      </c>
      <c r="AB4" s="2150">
        <v>0.12487415004636769</v>
      </c>
    </row>
    <row r="5" spans="1:28">
      <c r="B5" s="89">
        <v>21</v>
      </c>
      <c r="C5" s="1">
        <v>0.31</v>
      </c>
      <c r="D5" s="1">
        <v>5.0469999999999997</v>
      </c>
      <c r="E5" s="1">
        <v>0.61899999999999999</v>
      </c>
      <c r="F5" s="1">
        <v>0.61899999999999999</v>
      </c>
      <c r="G5" s="1">
        <v>4.7370000000000001</v>
      </c>
      <c r="H5" s="747">
        <v>6.5442263035676587E-2</v>
      </c>
      <c r="I5" s="747">
        <v>0.13067342199704454</v>
      </c>
      <c r="J5" s="2136">
        <v>0.19611568503272114</v>
      </c>
      <c r="K5" s="89">
        <v>21</v>
      </c>
      <c r="L5" s="1">
        <v>0.33800000000000002</v>
      </c>
      <c r="M5" s="1">
        <v>5.8339999999999996</v>
      </c>
      <c r="N5" s="1462">
        <v>0.16</v>
      </c>
      <c r="O5" s="1">
        <v>0.16</v>
      </c>
      <c r="P5" s="1">
        <v>5.4959999999999996</v>
      </c>
      <c r="Q5" s="747">
        <v>6.1499272197962161E-2</v>
      </c>
      <c r="R5" s="747">
        <v>2.9112081513828242E-2</v>
      </c>
      <c r="S5" s="2136">
        <v>9.061135371179041E-2</v>
      </c>
      <c r="T5" s="89">
        <v>21</v>
      </c>
      <c r="U5" s="746">
        <v>0.32400000000000001</v>
      </c>
      <c r="V5" s="746">
        <v>5.4405000000000001</v>
      </c>
      <c r="W5" s="746">
        <v>0.38950000000000001</v>
      </c>
      <c r="X5" s="746">
        <v>0.38950000000000001</v>
      </c>
      <c r="Y5" s="746">
        <v>5.1165000000000003</v>
      </c>
      <c r="Z5" s="2124">
        <v>6.3470767616819371E-2</v>
      </c>
      <c r="AA5" s="2124">
        <v>7.9892751755436392E-2</v>
      </c>
      <c r="AB5" s="2151">
        <v>0.14336351937225578</v>
      </c>
    </row>
    <row r="6" spans="1:28">
      <c r="B6" s="2134">
        <v>22</v>
      </c>
      <c r="C6" s="2126">
        <v>0.35199999999999998</v>
      </c>
      <c r="D6" s="2126">
        <v>5.1989999999999998</v>
      </c>
      <c r="E6" s="2126">
        <v>0.71099999999999997</v>
      </c>
      <c r="F6" s="2126">
        <v>0.71099999999999997</v>
      </c>
      <c r="G6" s="2126">
        <v>4.8469999999999995</v>
      </c>
      <c r="H6" s="2127">
        <v>7.2622240561171864E-2</v>
      </c>
      <c r="I6" s="2127">
        <v>0.14668867340623065</v>
      </c>
      <c r="J6" s="2135">
        <v>0.21931091396740252</v>
      </c>
      <c r="K6" s="2134">
        <v>22</v>
      </c>
      <c r="L6" s="2126">
        <v>0.39</v>
      </c>
      <c r="M6" s="2126">
        <v>6.008</v>
      </c>
      <c r="N6" s="2128">
        <v>0.185</v>
      </c>
      <c r="O6" s="2126">
        <v>0.185</v>
      </c>
      <c r="P6" s="2126">
        <v>5.6180000000000003</v>
      </c>
      <c r="Q6" s="2127">
        <v>6.9419722321110711E-2</v>
      </c>
      <c r="R6" s="2127">
        <v>3.2929868280526874E-2</v>
      </c>
      <c r="S6" s="2135">
        <v>0.10234959060163759</v>
      </c>
      <c r="T6" s="2134">
        <v>22</v>
      </c>
      <c r="U6" s="1742">
        <v>0.371</v>
      </c>
      <c r="V6" s="1742">
        <v>5.6035000000000004</v>
      </c>
      <c r="W6" s="1742">
        <v>0.44799999999999995</v>
      </c>
      <c r="X6" s="1742">
        <v>0.44799999999999995</v>
      </c>
      <c r="Y6" s="1742">
        <v>5.2324999999999999</v>
      </c>
      <c r="Z6" s="2129">
        <v>7.1020981441141287E-2</v>
      </c>
      <c r="AA6" s="2129">
        <v>8.9809270843378766E-2</v>
      </c>
      <c r="AB6" s="2150">
        <v>0.16083025228452005</v>
      </c>
    </row>
    <row r="7" spans="1:28">
      <c r="B7" s="89">
        <v>23</v>
      </c>
      <c r="C7" s="1">
        <v>0.39500000000000002</v>
      </c>
      <c r="D7" s="1">
        <v>5.3550000000000004</v>
      </c>
      <c r="E7" s="1">
        <v>0.80800000000000005</v>
      </c>
      <c r="F7" s="1">
        <v>0.80800000000000005</v>
      </c>
      <c r="G7" s="1">
        <v>4.9600000000000009</v>
      </c>
      <c r="H7" s="747">
        <v>7.9637096774193533E-2</v>
      </c>
      <c r="I7" s="747">
        <v>0.16290322580645158</v>
      </c>
      <c r="J7" s="2136">
        <v>0.24254032258064512</v>
      </c>
      <c r="K7" s="89">
        <v>23</v>
      </c>
      <c r="L7" s="1">
        <v>0.434</v>
      </c>
      <c r="M7" s="1">
        <v>6.1859999999999999</v>
      </c>
      <c r="N7" s="1462">
        <v>0.20699999999999999</v>
      </c>
      <c r="O7" s="1">
        <v>0.20699999999999999</v>
      </c>
      <c r="P7" s="1">
        <v>5.7519999999999998</v>
      </c>
      <c r="Q7" s="747">
        <v>7.545201668984701E-2</v>
      </c>
      <c r="R7" s="747">
        <v>3.5987482614742695E-2</v>
      </c>
      <c r="S7" s="2136">
        <v>0.11143949930458971</v>
      </c>
      <c r="T7" s="89">
        <v>23</v>
      </c>
      <c r="U7" s="746">
        <v>0.41449999999999998</v>
      </c>
      <c r="V7" s="746">
        <v>5.7705000000000002</v>
      </c>
      <c r="W7" s="746">
        <v>0.50750000000000006</v>
      </c>
      <c r="X7" s="746">
        <v>0.50750000000000006</v>
      </c>
      <c r="Y7" s="746">
        <v>5.3559999999999999</v>
      </c>
      <c r="Z7" s="2124">
        <v>7.7544556732020264E-2</v>
      </c>
      <c r="AA7" s="2124">
        <v>9.9445354210597137E-2</v>
      </c>
      <c r="AB7" s="2151">
        <v>0.1769899109426174</v>
      </c>
    </row>
    <row r="8" spans="1:28">
      <c r="B8" s="2134">
        <v>24</v>
      </c>
      <c r="C8" s="2126">
        <v>0.434</v>
      </c>
      <c r="D8" s="2126">
        <v>5.5149999999999997</v>
      </c>
      <c r="E8" s="2126">
        <v>0.89600000000000002</v>
      </c>
      <c r="F8" s="2126">
        <v>0.89600000000000002</v>
      </c>
      <c r="G8" s="2126">
        <v>5.0809999999999995</v>
      </c>
      <c r="H8" s="2127">
        <v>8.5416256642393232E-2</v>
      </c>
      <c r="I8" s="2127">
        <v>0.17634323951977959</v>
      </c>
      <c r="J8" s="2135">
        <v>0.26175949616217281</v>
      </c>
      <c r="K8" s="2134">
        <v>24</v>
      </c>
      <c r="L8" s="2126">
        <v>0.47299999999999998</v>
      </c>
      <c r="M8" s="2126">
        <v>6.3680000000000003</v>
      </c>
      <c r="N8" s="2128">
        <v>0.22700000000000001</v>
      </c>
      <c r="O8" s="2126">
        <v>0.22700000000000001</v>
      </c>
      <c r="P8" s="2126">
        <v>5.8950000000000005</v>
      </c>
      <c r="Q8" s="2127">
        <v>8.0237489397794737E-2</v>
      </c>
      <c r="R8" s="2127">
        <v>3.8507209499575909E-2</v>
      </c>
      <c r="S8" s="2135">
        <v>0.11874469889737065</v>
      </c>
      <c r="T8" s="2134">
        <v>24</v>
      </c>
      <c r="U8" s="1742">
        <v>0.45350000000000001</v>
      </c>
      <c r="V8" s="1742">
        <v>5.9414999999999996</v>
      </c>
      <c r="W8" s="1742">
        <v>0.5615</v>
      </c>
      <c r="X8" s="1742">
        <v>0.5615</v>
      </c>
      <c r="Y8" s="1742">
        <v>5.4879999999999995</v>
      </c>
      <c r="Z8" s="2129">
        <v>8.2826873020093977E-2</v>
      </c>
      <c r="AA8" s="2129">
        <v>0.10742522450967776</v>
      </c>
      <c r="AB8" s="2150">
        <v>0.19025209752977174</v>
      </c>
    </row>
    <row r="9" spans="1:28">
      <c r="B9" s="89">
        <v>25</v>
      </c>
      <c r="C9" s="1">
        <v>0.46800000000000003</v>
      </c>
      <c r="D9" s="1">
        <v>5.6779999999999999</v>
      </c>
      <c r="E9" s="1">
        <v>0.97899999999999998</v>
      </c>
      <c r="F9" s="1">
        <v>0.97899999999999998</v>
      </c>
      <c r="G9" s="1">
        <v>5.21</v>
      </c>
      <c r="H9" s="747">
        <v>8.9827255278310952E-2</v>
      </c>
      <c r="I9" s="747">
        <v>0.18790786948176583</v>
      </c>
      <c r="J9" s="2136">
        <v>0.27773512476007678</v>
      </c>
      <c r="K9" s="89">
        <v>25</v>
      </c>
      <c r="L9" s="1">
        <v>0.51200000000000001</v>
      </c>
      <c r="M9" s="1">
        <v>6.5549999999999997</v>
      </c>
      <c r="N9" s="1462">
        <v>0.248</v>
      </c>
      <c r="O9" s="1">
        <v>0.248</v>
      </c>
      <c r="P9" s="1">
        <v>6.0429999999999993</v>
      </c>
      <c r="Q9" s="747">
        <v>8.4726129405924222E-2</v>
      </c>
      <c r="R9" s="747">
        <v>4.1039218930994541E-2</v>
      </c>
      <c r="S9" s="2136">
        <v>0.12576534833691877</v>
      </c>
      <c r="T9" s="89">
        <v>25</v>
      </c>
      <c r="U9" s="746">
        <v>0.49</v>
      </c>
      <c r="V9" s="746">
        <v>6.1165000000000003</v>
      </c>
      <c r="W9" s="746">
        <v>0.61349999999999993</v>
      </c>
      <c r="X9" s="746">
        <v>0.61349999999999993</v>
      </c>
      <c r="Y9" s="746">
        <v>5.6265000000000001</v>
      </c>
      <c r="Z9" s="2124">
        <v>8.7276692342117587E-2</v>
      </c>
      <c r="AA9" s="2124">
        <v>0.11447354420638019</v>
      </c>
      <c r="AB9" s="2151">
        <v>0.20175023654849777</v>
      </c>
    </row>
    <row r="10" spans="1:28">
      <c r="B10" s="2134">
        <v>26</v>
      </c>
      <c r="C10" s="2126">
        <v>0.499</v>
      </c>
      <c r="D10" s="2126">
        <v>5.8460000000000001</v>
      </c>
      <c r="E10" s="2126">
        <v>1.0569999999999999</v>
      </c>
      <c r="F10" s="2126">
        <v>1.0569999999999999</v>
      </c>
      <c r="G10" s="2126">
        <v>5.3470000000000004</v>
      </c>
      <c r="H10" s="2127">
        <v>9.3323358892837091E-2</v>
      </c>
      <c r="I10" s="2127">
        <v>0.19768094258462687</v>
      </c>
      <c r="J10" s="2135">
        <v>0.29100430147746398</v>
      </c>
      <c r="K10" s="2134">
        <v>26</v>
      </c>
      <c r="L10" s="2126">
        <v>0.55000000000000004</v>
      </c>
      <c r="M10" s="2126">
        <v>6.7450000000000001</v>
      </c>
      <c r="N10" s="2128">
        <v>0.26800000000000002</v>
      </c>
      <c r="O10" s="2126">
        <v>0.26800000000000002</v>
      </c>
      <c r="P10" s="2126">
        <v>6.1950000000000003</v>
      </c>
      <c r="Q10" s="2127">
        <v>8.8781275221953185E-2</v>
      </c>
      <c r="R10" s="2127">
        <v>4.3260694108151733E-2</v>
      </c>
      <c r="S10" s="2135">
        <v>0.13204196933010492</v>
      </c>
      <c r="T10" s="2134">
        <v>26</v>
      </c>
      <c r="U10" s="1742">
        <v>0.52449999999999997</v>
      </c>
      <c r="V10" s="1742">
        <v>6.2955000000000005</v>
      </c>
      <c r="W10" s="1742">
        <v>0.66249999999999998</v>
      </c>
      <c r="X10" s="1742">
        <v>0.66249999999999998</v>
      </c>
      <c r="Y10" s="1742">
        <v>5.7710000000000008</v>
      </c>
      <c r="Z10" s="2129">
        <v>9.1052317057395138E-2</v>
      </c>
      <c r="AA10" s="2129">
        <v>0.1204708183463893</v>
      </c>
      <c r="AB10" s="2150">
        <v>0.21152313540378445</v>
      </c>
    </row>
    <row r="11" spans="1:28">
      <c r="B11" s="89">
        <v>27</v>
      </c>
      <c r="C11" s="1">
        <v>0.52600000000000002</v>
      </c>
      <c r="D11" s="1">
        <v>6.0170000000000003</v>
      </c>
      <c r="E11" s="1">
        <v>1.133</v>
      </c>
      <c r="F11" s="1">
        <v>1.133</v>
      </c>
      <c r="G11" s="1">
        <v>5.4910000000000005</v>
      </c>
      <c r="H11" s="747">
        <v>9.5793116008013102E-2</v>
      </c>
      <c r="I11" s="747">
        <v>0.20633764341649971</v>
      </c>
      <c r="J11" s="2136">
        <v>0.30213075942451284</v>
      </c>
      <c r="K11" s="89">
        <v>27</v>
      </c>
      <c r="L11" s="1">
        <v>0.58599999999999997</v>
      </c>
      <c r="M11" s="1">
        <v>6.94</v>
      </c>
      <c r="N11" s="1462">
        <v>0.28799999999999998</v>
      </c>
      <c r="O11" s="1">
        <v>0.28799999999999998</v>
      </c>
      <c r="P11" s="1">
        <v>6.3540000000000001</v>
      </c>
      <c r="Q11" s="747">
        <v>9.2225369845766444E-2</v>
      </c>
      <c r="R11" s="747">
        <v>4.5325779036827191E-2</v>
      </c>
      <c r="S11" s="2136">
        <v>0.13755114888259362</v>
      </c>
      <c r="T11" s="89">
        <v>27</v>
      </c>
      <c r="U11" s="746">
        <v>0.55600000000000005</v>
      </c>
      <c r="V11" s="746">
        <v>6.4785000000000004</v>
      </c>
      <c r="W11" s="746">
        <v>0.71050000000000002</v>
      </c>
      <c r="X11" s="746">
        <v>0.71050000000000002</v>
      </c>
      <c r="Y11" s="746">
        <v>5.9225000000000003</v>
      </c>
      <c r="Z11" s="2124">
        <v>9.400924292688978E-2</v>
      </c>
      <c r="AA11" s="2124">
        <v>0.12583171122666345</v>
      </c>
      <c r="AB11" s="2151">
        <v>0.21984095415355323</v>
      </c>
    </row>
    <row r="12" spans="1:28">
      <c r="B12" s="2134">
        <v>28</v>
      </c>
      <c r="C12" s="2126">
        <v>0.55200000000000005</v>
      </c>
      <c r="D12" s="2126">
        <v>6.1920000000000002</v>
      </c>
      <c r="E12" s="2126">
        <v>1.2070000000000001</v>
      </c>
      <c r="F12" s="2126">
        <v>1.2070000000000001</v>
      </c>
      <c r="G12" s="2126">
        <v>5.6400000000000006</v>
      </c>
      <c r="H12" s="2127">
        <v>9.7872340425531917E-2</v>
      </c>
      <c r="I12" s="2127">
        <v>0.21400709219858155</v>
      </c>
      <c r="J12" s="2135">
        <v>0.31187943262411344</v>
      </c>
      <c r="K12" s="2134">
        <v>28</v>
      </c>
      <c r="L12" s="2126">
        <v>0.621</v>
      </c>
      <c r="M12" s="2126">
        <v>7.1379999999999999</v>
      </c>
      <c r="N12" s="2128">
        <v>0.308</v>
      </c>
      <c r="O12" s="2126">
        <v>0.308</v>
      </c>
      <c r="P12" s="2126">
        <v>6.5169999999999995</v>
      </c>
      <c r="Q12" s="2127">
        <v>9.5289243516955668E-2</v>
      </c>
      <c r="R12" s="2127">
        <v>4.7261009667024706E-2</v>
      </c>
      <c r="S12" s="2135">
        <v>0.14255025318398037</v>
      </c>
      <c r="T12" s="2134">
        <v>28</v>
      </c>
      <c r="U12" s="1742">
        <v>0.58650000000000002</v>
      </c>
      <c r="V12" s="1742">
        <v>6.665</v>
      </c>
      <c r="W12" s="1742">
        <v>0.75750000000000006</v>
      </c>
      <c r="X12" s="1742">
        <v>0.75750000000000006</v>
      </c>
      <c r="Y12" s="1742">
        <v>6.0785</v>
      </c>
      <c r="Z12" s="2129">
        <v>9.6580791971243793E-2</v>
      </c>
      <c r="AA12" s="2129">
        <v>0.13063405093280311</v>
      </c>
      <c r="AB12" s="2150">
        <v>0.22721484290404692</v>
      </c>
    </row>
    <row r="13" spans="1:28">
      <c r="B13" s="89">
        <v>29</v>
      </c>
      <c r="C13" s="1">
        <v>0.57499999999999996</v>
      </c>
      <c r="D13" s="1">
        <v>6.3710000000000004</v>
      </c>
      <c r="E13" s="1">
        <v>1.28</v>
      </c>
      <c r="F13" s="1">
        <v>1.28</v>
      </c>
      <c r="G13" s="1">
        <v>5.7960000000000003</v>
      </c>
      <c r="H13" s="747">
        <v>9.9206349206349201E-2</v>
      </c>
      <c r="I13" s="747">
        <v>0.22084195997239475</v>
      </c>
      <c r="J13" s="2136">
        <v>0.32004830917874394</v>
      </c>
      <c r="K13" s="89">
        <v>29</v>
      </c>
      <c r="L13" s="1">
        <v>0.65400000000000003</v>
      </c>
      <c r="M13" s="1">
        <v>7.3410000000000002</v>
      </c>
      <c r="N13" s="1462">
        <v>0.32800000000000001</v>
      </c>
      <c r="O13" s="1">
        <v>0.32800000000000001</v>
      </c>
      <c r="P13" s="1">
        <v>6.6870000000000003</v>
      </c>
      <c r="Q13" s="747">
        <v>9.7801704800358907E-2</v>
      </c>
      <c r="R13" s="747">
        <v>4.9050396291311499E-2</v>
      </c>
      <c r="S13" s="2136">
        <v>0.14685210109167041</v>
      </c>
      <c r="T13" s="89">
        <v>29</v>
      </c>
      <c r="U13" s="746">
        <v>0.61450000000000005</v>
      </c>
      <c r="V13" s="746">
        <v>6.8559999999999999</v>
      </c>
      <c r="W13" s="746">
        <v>0.80400000000000005</v>
      </c>
      <c r="X13" s="746">
        <v>0.80400000000000005</v>
      </c>
      <c r="Y13" s="746">
        <v>6.2415000000000003</v>
      </c>
      <c r="Z13" s="2124">
        <v>9.8504027003354061E-2</v>
      </c>
      <c r="AA13" s="2124">
        <v>0.13494617813185311</v>
      </c>
      <c r="AB13" s="2151">
        <v>0.23345020513520717</v>
      </c>
    </row>
    <row r="14" spans="1:28">
      <c r="B14" s="2134">
        <v>30</v>
      </c>
      <c r="C14" s="2126">
        <v>0.59699999999999998</v>
      </c>
      <c r="D14" s="2126">
        <v>6.5549999999999997</v>
      </c>
      <c r="E14" s="2126">
        <v>1.3520000000000001</v>
      </c>
      <c r="F14" s="2126">
        <v>1.3520000000000001</v>
      </c>
      <c r="G14" s="2126">
        <v>5.9580000000000002</v>
      </c>
      <c r="H14" s="2127">
        <v>0.10020140986908357</v>
      </c>
      <c r="I14" s="2127">
        <v>0.22692178583417255</v>
      </c>
      <c r="J14" s="2135">
        <v>0.3271231957032561</v>
      </c>
      <c r="K14" s="2134">
        <v>30</v>
      </c>
      <c r="L14" s="2126">
        <v>0.68500000000000005</v>
      </c>
      <c r="M14" s="2126">
        <v>7.5469999999999997</v>
      </c>
      <c r="N14" s="2128">
        <v>0.34699999999999998</v>
      </c>
      <c r="O14" s="2126">
        <v>0.34699999999999998</v>
      </c>
      <c r="P14" s="2126">
        <v>6.8620000000000001</v>
      </c>
      <c r="Q14" s="2127">
        <v>9.982512387059167E-2</v>
      </c>
      <c r="R14" s="2127">
        <v>5.0568347420577087E-2</v>
      </c>
      <c r="S14" s="2135">
        <v>0.15039347129116876</v>
      </c>
      <c r="T14" s="2134">
        <v>30</v>
      </c>
      <c r="U14" s="1742">
        <v>0.64100000000000001</v>
      </c>
      <c r="V14" s="1742">
        <v>7.0510000000000002</v>
      </c>
      <c r="W14" s="1742">
        <v>0.84950000000000003</v>
      </c>
      <c r="X14" s="1742">
        <v>0.84950000000000003</v>
      </c>
      <c r="Y14" s="1742">
        <v>6.41</v>
      </c>
      <c r="Z14" s="2129">
        <v>0.10001326686983762</v>
      </c>
      <c r="AA14" s="2129">
        <v>0.13874506662737482</v>
      </c>
      <c r="AB14" s="2150">
        <v>0.23875833349721243</v>
      </c>
    </row>
    <row r="15" spans="1:28">
      <c r="B15" s="89">
        <v>31</v>
      </c>
      <c r="C15" s="1">
        <v>0.61699999999999999</v>
      </c>
      <c r="D15" s="1">
        <v>6.7430000000000003</v>
      </c>
      <c r="E15" s="1">
        <v>1.423</v>
      </c>
      <c r="F15" s="1">
        <v>1.423</v>
      </c>
      <c r="G15" s="1">
        <v>6.1260000000000003</v>
      </c>
      <c r="H15" s="747">
        <v>0.10071825008161932</v>
      </c>
      <c r="I15" s="747">
        <v>0.23228860594188702</v>
      </c>
      <c r="J15" s="2136">
        <v>0.33300685602350633</v>
      </c>
      <c r="K15" s="89">
        <v>31</v>
      </c>
      <c r="L15" s="1">
        <v>0.71299999999999997</v>
      </c>
      <c r="M15" s="1">
        <v>7.758</v>
      </c>
      <c r="N15" s="1462">
        <v>0.36599999999999999</v>
      </c>
      <c r="O15" s="1">
        <v>0.36599999999999999</v>
      </c>
      <c r="P15" s="1">
        <v>7.0449999999999999</v>
      </c>
      <c r="Q15" s="747">
        <v>0.10120652945351312</v>
      </c>
      <c r="R15" s="747">
        <v>5.1951738821859474E-2</v>
      </c>
      <c r="S15" s="2136">
        <v>0.1531582682753726</v>
      </c>
      <c r="T15" s="89">
        <v>31</v>
      </c>
      <c r="U15" s="746">
        <v>0.66500000000000004</v>
      </c>
      <c r="V15" s="746">
        <v>7.2505000000000006</v>
      </c>
      <c r="W15" s="746">
        <v>0.89450000000000007</v>
      </c>
      <c r="X15" s="746">
        <v>0.89450000000000007</v>
      </c>
      <c r="Y15" s="746">
        <v>6.5854999999999997</v>
      </c>
      <c r="Z15" s="2124">
        <v>0.10096238976756622</v>
      </c>
      <c r="AA15" s="2124">
        <v>0.14212017238187324</v>
      </c>
      <c r="AB15" s="2151">
        <v>0.24308256214943946</v>
      </c>
    </row>
    <row r="16" spans="1:28">
      <c r="B16" s="2134">
        <v>32</v>
      </c>
      <c r="C16" s="2126">
        <v>0.63700000000000001</v>
      </c>
      <c r="D16" s="2126">
        <v>6.9370000000000003</v>
      </c>
      <c r="E16" s="2126">
        <v>1.494</v>
      </c>
      <c r="F16" s="2126">
        <v>1.494</v>
      </c>
      <c r="G16" s="2126">
        <v>6.3000000000000007</v>
      </c>
      <c r="H16" s="2127">
        <v>0.1011111111111111</v>
      </c>
      <c r="I16" s="2127">
        <v>0.23714285714285713</v>
      </c>
      <c r="J16" s="2135">
        <v>0.33825396825396825</v>
      </c>
      <c r="K16" s="2134">
        <v>32</v>
      </c>
      <c r="L16" s="2126">
        <v>0.73899999999999999</v>
      </c>
      <c r="M16" s="2126">
        <v>7.9740000000000002</v>
      </c>
      <c r="N16" s="2128">
        <v>0.38500000000000001</v>
      </c>
      <c r="O16" s="2126">
        <v>0.38500000000000001</v>
      </c>
      <c r="P16" s="2126">
        <v>7.2350000000000003</v>
      </c>
      <c r="Q16" s="2127">
        <v>0.10214236351071181</v>
      </c>
      <c r="R16" s="2127">
        <v>5.3213545266067724E-2</v>
      </c>
      <c r="S16" s="2135">
        <v>0.15535590877677952</v>
      </c>
      <c r="T16" s="2134">
        <v>32</v>
      </c>
      <c r="U16" s="1742">
        <v>0.68799999999999994</v>
      </c>
      <c r="V16" s="1742">
        <v>7.4555000000000007</v>
      </c>
      <c r="W16" s="1742">
        <v>0.9395</v>
      </c>
      <c r="X16" s="1742">
        <v>0.9395</v>
      </c>
      <c r="Y16" s="1742">
        <v>6.7675000000000001</v>
      </c>
      <c r="Z16" s="2129">
        <v>0.10162673731091146</v>
      </c>
      <c r="AA16" s="2129">
        <v>0.14517820120446243</v>
      </c>
      <c r="AB16" s="2150">
        <v>0.24680493851537388</v>
      </c>
    </row>
    <row r="17" spans="2:28">
      <c r="B17" s="89">
        <v>33</v>
      </c>
      <c r="C17" s="1">
        <v>0.65400000000000003</v>
      </c>
      <c r="D17" s="1">
        <v>7.1349999999999998</v>
      </c>
      <c r="E17" s="1">
        <v>1.5660000000000001</v>
      </c>
      <c r="F17" s="1">
        <v>1.5660000000000001</v>
      </c>
      <c r="G17" s="1">
        <v>6.4809999999999999</v>
      </c>
      <c r="H17" s="747">
        <v>0.10091035334053387</v>
      </c>
      <c r="I17" s="747">
        <v>0.24162937818237928</v>
      </c>
      <c r="J17" s="2136">
        <v>0.34253973152291317</v>
      </c>
      <c r="K17" s="89">
        <v>33</v>
      </c>
      <c r="L17" s="1">
        <v>0.76200000000000001</v>
      </c>
      <c r="M17" s="1">
        <v>8.1940000000000008</v>
      </c>
      <c r="N17" s="1462">
        <v>0.40200000000000002</v>
      </c>
      <c r="O17" s="1">
        <v>0.40200000000000002</v>
      </c>
      <c r="P17" s="1">
        <v>7.4320000000000004</v>
      </c>
      <c r="Q17" s="747">
        <v>0.10252960172228202</v>
      </c>
      <c r="R17" s="747">
        <v>5.4090419806243274E-2</v>
      </c>
      <c r="S17" s="2136">
        <v>0.15662002152852531</v>
      </c>
      <c r="T17" s="89">
        <v>33</v>
      </c>
      <c r="U17" s="746">
        <v>0.70799999999999996</v>
      </c>
      <c r="V17" s="746">
        <v>7.6645000000000003</v>
      </c>
      <c r="W17" s="746">
        <v>0.98399999999999999</v>
      </c>
      <c r="X17" s="746">
        <v>0.98399999999999999</v>
      </c>
      <c r="Y17" s="746">
        <v>6.9565000000000001</v>
      </c>
      <c r="Z17" s="2124">
        <v>0.10171997753140795</v>
      </c>
      <c r="AA17" s="2124">
        <v>0.14785989899431129</v>
      </c>
      <c r="AB17" s="2151">
        <v>0.24957987652571922</v>
      </c>
    </row>
    <row r="18" spans="2:28">
      <c r="B18" s="2134">
        <v>34</v>
      </c>
      <c r="C18" s="2126">
        <v>0.67</v>
      </c>
      <c r="D18" s="2126">
        <v>7.3390000000000004</v>
      </c>
      <c r="E18" s="2126">
        <v>1.637</v>
      </c>
      <c r="F18" s="2126">
        <v>1.637</v>
      </c>
      <c r="G18" s="2126">
        <v>6.6690000000000005</v>
      </c>
      <c r="H18" s="2127">
        <v>0.10046483730694257</v>
      </c>
      <c r="I18" s="2127">
        <v>0.2454640875693507</v>
      </c>
      <c r="J18" s="2135">
        <v>0.34592892487629329</v>
      </c>
      <c r="K18" s="2134">
        <v>34</v>
      </c>
      <c r="L18" s="2126">
        <v>0.78200000000000003</v>
      </c>
      <c r="M18" s="2126">
        <v>8.4190000000000005</v>
      </c>
      <c r="N18" s="2128">
        <v>0.42</v>
      </c>
      <c r="O18" s="2126">
        <v>0.42</v>
      </c>
      <c r="P18" s="2126">
        <v>7.6370000000000005</v>
      </c>
      <c r="Q18" s="2127">
        <v>0.1023962288856881</v>
      </c>
      <c r="R18" s="2127">
        <v>5.4995417048579277E-2</v>
      </c>
      <c r="S18" s="2135">
        <v>0.15739164593426738</v>
      </c>
      <c r="T18" s="2134">
        <v>34</v>
      </c>
      <c r="U18" s="1742">
        <v>0.72599999999999998</v>
      </c>
      <c r="V18" s="1742">
        <v>7.8790000000000004</v>
      </c>
      <c r="W18" s="1742">
        <v>1.0285</v>
      </c>
      <c r="X18" s="1742">
        <v>1.0285</v>
      </c>
      <c r="Y18" s="1742">
        <v>7.1530000000000005</v>
      </c>
      <c r="Z18" s="2129">
        <v>0.10143053309631533</v>
      </c>
      <c r="AA18" s="2129">
        <v>0.15022975230896499</v>
      </c>
      <c r="AB18" s="2150">
        <v>0.25166028540528035</v>
      </c>
    </row>
    <row r="19" spans="2:28">
      <c r="B19" s="89">
        <v>35</v>
      </c>
      <c r="C19" s="1">
        <v>0.68400000000000005</v>
      </c>
      <c r="D19" s="1">
        <v>7.5469999999999997</v>
      </c>
      <c r="E19" s="1">
        <v>1.7090000000000001</v>
      </c>
      <c r="F19" s="1">
        <v>1.7090000000000001</v>
      </c>
      <c r="G19" s="1">
        <v>6.8629999999999995</v>
      </c>
      <c r="H19" s="747">
        <v>9.9664869590558078E-2</v>
      </c>
      <c r="I19" s="747">
        <v>0.24901646510272479</v>
      </c>
      <c r="J19" s="2136">
        <v>0.34868133469328288</v>
      </c>
      <c r="K19" s="89">
        <v>35</v>
      </c>
      <c r="L19" s="1">
        <v>0.79800000000000004</v>
      </c>
      <c r="M19" s="1">
        <v>8.6470000000000002</v>
      </c>
      <c r="N19" s="1462">
        <v>0.437</v>
      </c>
      <c r="O19" s="1">
        <v>0.437</v>
      </c>
      <c r="P19" s="1">
        <v>7.8490000000000002</v>
      </c>
      <c r="Q19" s="747">
        <v>0.10166900242069053</v>
      </c>
      <c r="R19" s="747">
        <v>5.5675882277997198E-2</v>
      </c>
      <c r="S19" s="2136">
        <v>0.15734488469868774</v>
      </c>
      <c r="T19" s="89">
        <v>35</v>
      </c>
      <c r="U19" s="746">
        <v>0.7410000000000001</v>
      </c>
      <c r="V19" s="746">
        <v>8.0969999999999995</v>
      </c>
      <c r="W19" s="746">
        <v>1.073</v>
      </c>
      <c r="X19" s="746">
        <v>1.073</v>
      </c>
      <c r="Y19" s="746">
        <v>7.3559999999999999</v>
      </c>
      <c r="Z19" s="2124">
        <v>0.10066693600562431</v>
      </c>
      <c r="AA19" s="2124">
        <v>0.15234617369036099</v>
      </c>
      <c r="AB19" s="2151">
        <v>0.25301310969598534</v>
      </c>
    </row>
    <row r="20" spans="2:28">
      <c r="B20" s="2134">
        <v>36</v>
      </c>
      <c r="C20" s="2126">
        <v>0.69499999999999995</v>
      </c>
      <c r="D20" s="2126">
        <v>7.7590000000000003</v>
      </c>
      <c r="E20" s="2126">
        <v>1.7809999999999999</v>
      </c>
      <c r="F20" s="2126">
        <v>1.7809999999999999</v>
      </c>
      <c r="G20" s="2126">
        <v>7.0640000000000001</v>
      </c>
      <c r="H20" s="2127">
        <v>9.838618346545866E-2</v>
      </c>
      <c r="I20" s="2127">
        <v>0.25212344280860699</v>
      </c>
      <c r="J20" s="2135">
        <v>0.35050962627406568</v>
      </c>
      <c r="K20" s="2134">
        <v>36</v>
      </c>
      <c r="L20" s="2126">
        <v>0.81</v>
      </c>
      <c r="M20" s="2126">
        <v>8.8800000000000008</v>
      </c>
      <c r="N20" s="2128">
        <v>0.45300000000000001</v>
      </c>
      <c r="O20" s="2126">
        <v>0.45300000000000001</v>
      </c>
      <c r="P20" s="2126">
        <v>8.07</v>
      </c>
      <c r="Q20" s="2127">
        <v>0.10037174721189591</v>
      </c>
      <c r="R20" s="2127">
        <v>5.6133828996282525E-2</v>
      </c>
      <c r="S20" s="2135">
        <v>0.15650557620817845</v>
      </c>
      <c r="T20" s="2134">
        <v>36</v>
      </c>
      <c r="U20" s="1742">
        <v>0.75249999999999995</v>
      </c>
      <c r="V20" s="1742">
        <v>8.3195000000000014</v>
      </c>
      <c r="W20" s="1742">
        <v>1.117</v>
      </c>
      <c r="X20" s="1742">
        <v>1.117</v>
      </c>
      <c r="Y20" s="1742">
        <v>7.5670000000000002</v>
      </c>
      <c r="Z20" s="2129">
        <v>9.9378965338677294E-2</v>
      </c>
      <c r="AA20" s="2129">
        <v>0.15412863590244474</v>
      </c>
      <c r="AB20" s="2150">
        <v>0.25350760124112204</v>
      </c>
    </row>
    <row r="21" spans="2:28">
      <c r="B21" s="89">
        <v>37</v>
      </c>
      <c r="C21" s="1">
        <v>0.70099999999999996</v>
      </c>
      <c r="D21" s="1">
        <v>7.9740000000000002</v>
      </c>
      <c r="E21" s="1">
        <v>1.853</v>
      </c>
      <c r="F21" s="1">
        <v>1.853</v>
      </c>
      <c r="G21" s="1">
        <v>7.2730000000000006</v>
      </c>
      <c r="H21" s="747">
        <v>9.6383885604289829E-2</v>
      </c>
      <c r="I21" s="747">
        <v>0.25477794582703145</v>
      </c>
      <c r="J21" s="2136">
        <v>0.35116183143132129</v>
      </c>
      <c r="K21" s="89">
        <v>37</v>
      </c>
      <c r="L21" s="1">
        <v>0.81599999999999995</v>
      </c>
      <c r="M21" s="1">
        <v>9.1150000000000002</v>
      </c>
      <c r="N21" s="1462">
        <v>0.46899999999999997</v>
      </c>
      <c r="O21" s="1">
        <v>0.46899999999999997</v>
      </c>
      <c r="P21" s="1">
        <v>8.2989999999999995</v>
      </c>
      <c r="Q21" s="747">
        <v>9.8325099409567421E-2</v>
      </c>
      <c r="R21" s="747">
        <v>5.6512832871430295E-2</v>
      </c>
      <c r="S21" s="2136">
        <v>0.15483793228099771</v>
      </c>
      <c r="T21" s="89">
        <v>37</v>
      </c>
      <c r="U21" s="746">
        <v>0.75849999999999995</v>
      </c>
      <c r="V21" s="746">
        <v>8.5444999999999993</v>
      </c>
      <c r="W21" s="746">
        <v>1.161</v>
      </c>
      <c r="X21" s="746">
        <v>1.161</v>
      </c>
      <c r="Y21" s="746">
        <v>7.7859999999999996</v>
      </c>
      <c r="Z21" s="2124">
        <v>9.7354492506928625E-2</v>
      </c>
      <c r="AA21" s="2124">
        <v>0.15564538934923086</v>
      </c>
      <c r="AB21" s="2151">
        <v>0.25299988185615951</v>
      </c>
    </row>
    <row r="22" spans="2:28">
      <c r="B22" s="2134">
        <v>38</v>
      </c>
      <c r="C22" s="2126">
        <v>0.70099999999999996</v>
      </c>
      <c r="D22" s="2126">
        <v>8.1920000000000002</v>
      </c>
      <c r="E22" s="2126">
        <v>1.925</v>
      </c>
      <c r="F22" s="2126">
        <v>1.925</v>
      </c>
      <c r="G22" s="2126">
        <v>7.4910000000000005</v>
      </c>
      <c r="H22" s="2127">
        <v>9.3578961420371101E-2</v>
      </c>
      <c r="I22" s="2127">
        <v>0.25697503671071953</v>
      </c>
      <c r="J22" s="2135">
        <v>0.35055399813109062</v>
      </c>
      <c r="K22" s="2134">
        <v>38</v>
      </c>
      <c r="L22" s="2126">
        <v>0.81599999999999995</v>
      </c>
      <c r="M22" s="2126">
        <v>9.3539999999999992</v>
      </c>
      <c r="N22" s="2128">
        <v>0.48299999999999998</v>
      </c>
      <c r="O22" s="2126">
        <v>0.48299999999999998</v>
      </c>
      <c r="P22" s="2126">
        <v>8.5379999999999985</v>
      </c>
      <c r="Q22" s="2127">
        <v>9.5572733661278997E-2</v>
      </c>
      <c r="R22" s="2127">
        <v>5.6570625439212936E-2</v>
      </c>
      <c r="S22" s="2135">
        <v>0.15214335910049193</v>
      </c>
      <c r="T22" s="2134">
        <v>38</v>
      </c>
      <c r="U22" s="1742">
        <v>0.75849999999999995</v>
      </c>
      <c r="V22" s="1742">
        <v>8.7729999999999997</v>
      </c>
      <c r="W22" s="1742">
        <v>1.204</v>
      </c>
      <c r="X22" s="1742">
        <v>1.204</v>
      </c>
      <c r="Y22" s="1742">
        <v>8.0145</v>
      </c>
      <c r="Z22" s="2129">
        <v>9.4575847540825042E-2</v>
      </c>
      <c r="AA22" s="2129">
        <v>0.15677283107496623</v>
      </c>
      <c r="AB22" s="2150">
        <v>0.25134867861579124</v>
      </c>
    </row>
    <row r="23" spans="2:28">
      <c r="B23" s="89">
        <v>39</v>
      </c>
      <c r="C23" s="1">
        <v>0.69599999999999995</v>
      </c>
      <c r="D23" s="1">
        <v>8.4139999999999997</v>
      </c>
      <c r="E23" s="1">
        <v>1.9970000000000001</v>
      </c>
      <c r="F23" s="1">
        <v>1.9970000000000001</v>
      </c>
      <c r="G23" s="1">
        <v>7.718</v>
      </c>
      <c r="H23" s="747">
        <v>9.0178802798652494E-2</v>
      </c>
      <c r="I23" s="747">
        <v>0.2587457890645245</v>
      </c>
      <c r="J23" s="2136">
        <v>0.34892459186317698</v>
      </c>
      <c r="K23" s="89">
        <v>39</v>
      </c>
      <c r="L23" s="1">
        <v>0.81</v>
      </c>
      <c r="M23" s="1">
        <v>9.5960000000000001</v>
      </c>
      <c r="N23" s="1462">
        <v>0.497</v>
      </c>
      <c r="O23" s="1">
        <v>0.497</v>
      </c>
      <c r="P23" s="1">
        <v>8.7859999999999996</v>
      </c>
      <c r="Q23" s="747">
        <v>9.2192123833371289E-2</v>
      </c>
      <c r="R23" s="747">
        <v>5.6567266105167317E-2</v>
      </c>
      <c r="S23" s="2136">
        <v>0.1487593899385386</v>
      </c>
      <c r="T23" s="89">
        <v>39</v>
      </c>
      <c r="U23" s="746">
        <v>0.753</v>
      </c>
      <c r="V23" s="746">
        <v>9.004999999999999</v>
      </c>
      <c r="W23" s="746">
        <v>1.2470000000000001</v>
      </c>
      <c r="X23" s="746">
        <v>1.2470000000000001</v>
      </c>
      <c r="Y23" s="746">
        <v>8.2519999999999989</v>
      </c>
      <c r="Z23" s="2124">
        <v>9.1185463316011892E-2</v>
      </c>
      <c r="AA23" s="2124">
        <v>0.15765652758484591</v>
      </c>
      <c r="AB23" s="2151">
        <v>0.24884199090085779</v>
      </c>
    </row>
    <row r="24" spans="2:28">
      <c r="B24" s="2134">
        <v>40</v>
      </c>
      <c r="C24" s="2126">
        <v>0.68799999999999994</v>
      </c>
      <c r="D24" s="2126">
        <v>8.64</v>
      </c>
      <c r="E24" s="2126">
        <v>2.069</v>
      </c>
      <c r="F24" s="2126">
        <v>2.069</v>
      </c>
      <c r="G24" s="2126">
        <v>7.9520000000000008</v>
      </c>
      <c r="H24" s="2127">
        <v>8.6519114688128756E-2</v>
      </c>
      <c r="I24" s="2127">
        <v>0.2601861167002012</v>
      </c>
      <c r="J24" s="2135">
        <v>0.34670523138832998</v>
      </c>
      <c r="K24" s="2134">
        <v>40</v>
      </c>
      <c r="L24" s="2126">
        <v>0.79800000000000004</v>
      </c>
      <c r="M24" s="2126">
        <v>9.8420000000000005</v>
      </c>
      <c r="N24" s="2128">
        <v>0.51100000000000001</v>
      </c>
      <c r="O24" s="2126">
        <v>0.51100000000000001</v>
      </c>
      <c r="P24" s="2126">
        <v>9.0440000000000005</v>
      </c>
      <c r="Q24" s="2127">
        <v>8.8235294117647065E-2</v>
      </c>
      <c r="R24" s="2127">
        <v>5.6501547987616099E-2</v>
      </c>
      <c r="S24" s="2135">
        <v>0.14473684210526316</v>
      </c>
      <c r="T24" s="2134">
        <v>40</v>
      </c>
      <c r="U24" s="1742">
        <v>0.74299999999999999</v>
      </c>
      <c r="V24" s="1742">
        <v>9.2409999999999997</v>
      </c>
      <c r="W24" s="1742">
        <v>1.29</v>
      </c>
      <c r="X24" s="1742">
        <v>1.29</v>
      </c>
      <c r="Y24" s="1742">
        <v>8.4980000000000011</v>
      </c>
      <c r="Z24" s="2129">
        <v>8.7377204402887904E-2</v>
      </c>
      <c r="AA24" s="2129">
        <v>0.15834383234390864</v>
      </c>
      <c r="AB24" s="2150">
        <v>0.24572103674679657</v>
      </c>
    </row>
    <row r="25" spans="2:28">
      <c r="B25" s="89">
        <v>41</v>
      </c>
      <c r="C25" s="1">
        <v>0.67700000000000005</v>
      </c>
      <c r="D25" s="1">
        <v>8.8729999999999993</v>
      </c>
      <c r="E25" s="1">
        <v>2.1429999999999998</v>
      </c>
      <c r="F25" s="1">
        <v>2.1429999999999998</v>
      </c>
      <c r="G25" s="1">
        <v>8.1959999999999997</v>
      </c>
      <c r="H25" s="747">
        <v>8.2601268911664236E-2</v>
      </c>
      <c r="I25" s="747">
        <v>0.26146900927281597</v>
      </c>
      <c r="J25" s="2136">
        <v>0.34407027818448022</v>
      </c>
      <c r="K25" s="89">
        <v>41</v>
      </c>
      <c r="L25" s="1">
        <v>0.78300000000000003</v>
      </c>
      <c r="M25" s="1">
        <v>10.095000000000001</v>
      </c>
      <c r="N25" s="1462">
        <v>0.52400000000000002</v>
      </c>
      <c r="O25" s="1">
        <v>0.52400000000000002</v>
      </c>
      <c r="P25" s="1">
        <v>9.3120000000000012</v>
      </c>
      <c r="Q25" s="747">
        <v>8.4085051546391745E-2</v>
      </c>
      <c r="R25" s="747">
        <v>5.6271477663230235E-2</v>
      </c>
      <c r="S25" s="2136">
        <v>0.14035652920962199</v>
      </c>
      <c r="T25" s="89">
        <v>41</v>
      </c>
      <c r="U25" s="746">
        <v>0.73</v>
      </c>
      <c r="V25" s="746">
        <v>9.484</v>
      </c>
      <c r="W25" s="746">
        <v>1.3334999999999999</v>
      </c>
      <c r="X25" s="746">
        <v>1.3334999999999999</v>
      </c>
      <c r="Y25" s="746">
        <v>8.7540000000000013</v>
      </c>
      <c r="Z25" s="2124">
        <v>8.334316022902799E-2</v>
      </c>
      <c r="AA25" s="2124">
        <v>0.15887024346802309</v>
      </c>
      <c r="AB25" s="2151">
        <v>0.24221340369705111</v>
      </c>
    </row>
    <row r="26" spans="2:28">
      <c r="B26" s="2134">
        <v>42</v>
      </c>
      <c r="C26" s="2126">
        <v>0.66500000000000004</v>
      </c>
      <c r="D26" s="2126">
        <v>9.1140000000000008</v>
      </c>
      <c r="E26" s="2126">
        <v>2.218</v>
      </c>
      <c r="F26" s="2126">
        <v>2.218</v>
      </c>
      <c r="G26" s="2126">
        <v>8.4490000000000016</v>
      </c>
      <c r="H26" s="2127">
        <v>7.8707539353769659E-2</v>
      </c>
      <c r="I26" s="2127">
        <v>0.26251627411527984</v>
      </c>
      <c r="J26" s="2135">
        <v>0.34122381346904951</v>
      </c>
      <c r="K26" s="2134">
        <v>42</v>
      </c>
      <c r="L26" s="2126">
        <v>0.76500000000000001</v>
      </c>
      <c r="M26" s="2126">
        <v>10.353999999999999</v>
      </c>
      <c r="N26" s="2128">
        <v>0.53700000000000003</v>
      </c>
      <c r="O26" s="2126">
        <v>0.53700000000000003</v>
      </c>
      <c r="P26" s="2126">
        <v>9.5889999999999986</v>
      </c>
      <c r="Q26" s="2127">
        <v>7.977891333820003E-2</v>
      </c>
      <c r="R26" s="2127">
        <v>5.6001668578579633E-2</v>
      </c>
      <c r="S26" s="2135">
        <v>0.13578058191677966</v>
      </c>
      <c r="T26" s="2134">
        <v>42</v>
      </c>
      <c r="U26" s="1742">
        <v>0.71500000000000008</v>
      </c>
      <c r="V26" s="1742">
        <v>9.734</v>
      </c>
      <c r="W26" s="1742">
        <v>1.3774999999999999</v>
      </c>
      <c r="X26" s="1742">
        <v>1.3774999999999999</v>
      </c>
      <c r="Y26" s="1742">
        <v>9.0190000000000001</v>
      </c>
      <c r="Z26" s="2129">
        <v>7.9243226345984852E-2</v>
      </c>
      <c r="AA26" s="2129">
        <v>0.15925897134692973</v>
      </c>
      <c r="AB26" s="2150">
        <v>0.23850219769291459</v>
      </c>
    </row>
    <row r="27" spans="2:28">
      <c r="B27" s="89">
        <v>43</v>
      </c>
      <c r="C27" s="1">
        <v>0.65300000000000002</v>
      </c>
      <c r="D27" s="1">
        <v>9.3640000000000008</v>
      </c>
      <c r="E27" s="1">
        <v>2.294</v>
      </c>
      <c r="F27" s="1">
        <v>2.294</v>
      </c>
      <c r="G27" s="1">
        <v>8.7110000000000003</v>
      </c>
      <c r="H27" s="747">
        <v>7.4962690850648606E-2</v>
      </c>
      <c r="I27" s="747">
        <v>0.26334519572953735</v>
      </c>
      <c r="J27" s="2136">
        <v>0.33830788658018596</v>
      </c>
      <c r="K27" s="89">
        <v>43</v>
      </c>
      <c r="L27" s="1">
        <v>0.745</v>
      </c>
      <c r="M27" s="1">
        <v>10.622</v>
      </c>
      <c r="N27" s="1462">
        <v>0.54900000000000004</v>
      </c>
      <c r="O27" s="1">
        <v>0.54900000000000004</v>
      </c>
      <c r="P27" s="1">
        <v>9.8770000000000007</v>
      </c>
      <c r="Q27" s="747">
        <v>7.5427761466032195E-2</v>
      </c>
      <c r="R27" s="747">
        <v>5.5583679254834463E-2</v>
      </c>
      <c r="S27" s="2136">
        <v>0.13101144072086665</v>
      </c>
      <c r="T27" s="89">
        <v>43</v>
      </c>
      <c r="U27" s="746">
        <v>0.69900000000000007</v>
      </c>
      <c r="V27" s="746">
        <v>9.9930000000000003</v>
      </c>
      <c r="W27" s="746">
        <v>1.4215</v>
      </c>
      <c r="X27" s="746">
        <v>1.4215</v>
      </c>
      <c r="Y27" s="746">
        <v>9.2940000000000005</v>
      </c>
      <c r="Z27" s="2124">
        <v>7.51952261583404E-2</v>
      </c>
      <c r="AA27" s="2124">
        <v>0.15946443749218592</v>
      </c>
      <c r="AB27" s="2151">
        <v>0.23465966365052632</v>
      </c>
    </row>
    <row r="28" spans="2:28">
      <c r="B28" s="2134">
        <v>44</v>
      </c>
      <c r="C28" s="2126">
        <v>0.64100000000000001</v>
      </c>
      <c r="D28" s="2126">
        <v>9.6219999999999999</v>
      </c>
      <c r="E28" s="2126">
        <v>2.37</v>
      </c>
      <c r="F28" s="2126">
        <v>2.37</v>
      </c>
      <c r="G28" s="2126">
        <v>8.9809999999999999</v>
      </c>
      <c r="H28" s="2127">
        <v>7.1372898340941987E-2</v>
      </c>
      <c r="I28" s="2127">
        <v>0.26389043536354528</v>
      </c>
      <c r="J28" s="2135">
        <v>0.33526333370448724</v>
      </c>
      <c r="K28" s="2134">
        <v>44</v>
      </c>
      <c r="L28" s="2126">
        <v>0.72299999999999998</v>
      </c>
      <c r="M28" s="2126">
        <v>10.898</v>
      </c>
      <c r="N28" s="2128">
        <v>0.56200000000000006</v>
      </c>
      <c r="O28" s="2126">
        <v>0.56200000000000006</v>
      </c>
      <c r="P28" s="2126">
        <v>10.174999999999999</v>
      </c>
      <c r="Q28" s="2127">
        <v>7.1056511056511062E-2</v>
      </c>
      <c r="R28" s="2127">
        <v>5.5233415233415246E-2</v>
      </c>
      <c r="S28" s="2135">
        <v>0.1262899262899263</v>
      </c>
      <c r="T28" s="2134">
        <v>44</v>
      </c>
      <c r="U28" s="1742">
        <v>0.68199999999999994</v>
      </c>
      <c r="V28" s="1742">
        <v>10.26</v>
      </c>
      <c r="W28" s="1742">
        <v>1.4660000000000002</v>
      </c>
      <c r="X28" s="1742">
        <v>1.4660000000000002</v>
      </c>
      <c r="Y28" s="1742">
        <v>9.5779999999999994</v>
      </c>
      <c r="Z28" s="2129">
        <v>7.1214704698726525E-2</v>
      </c>
      <c r="AA28" s="2129">
        <v>0.15956192529848026</v>
      </c>
      <c r="AB28" s="2150">
        <v>0.23077662999720677</v>
      </c>
    </row>
    <row r="29" spans="2:28">
      <c r="B29" s="89">
        <v>45</v>
      </c>
      <c r="C29" s="1">
        <v>0.627</v>
      </c>
      <c r="D29" s="1">
        <v>9.89</v>
      </c>
      <c r="E29" s="1">
        <v>2.4470000000000001</v>
      </c>
      <c r="F29" s="1">
        <v>2.4470000000000001</v>
      </c>
      <c r="G29" s="1">
        <v>9.2629999999999999</v>
      </c>
      <c r="H29" s="747">
        <v>6.7688653783871316E-2</v>
      </c>
      <c r="I29" s="747">
        <v>0.26416927561265252</v>
      </c>
      <c r="J29" s="2136">
        <v>0.33185792939652381</v>
      </c>
      <c r="K29" s="89">
        <v>45</v>
      </c>
      <c r="L29" s="1">
        <v>0.69899999999999995</v>
      </c>
      <c r="M29" s="1">
        <v>11.183</v>
      </c>
      <c r="N29" s="1462">
        <v>0.57399999999999995</v>
      </c>
      <c r="O29" s="1">
        <v>0.57399999999999995</v>
      </c>
      <c r="P29" s="1">
        <v>10.484</v>
      </c>
      <c r="Q29" s="747">
        <v>6.6673025562762306E-2</v>
      </c>
      <c r="R29" s="747">
        <v>5.475009538344143E-2</v>
      </c>
      <c r="S29" s="2136">
        <v>0.12142312094620374</v>
      </c>
      <c r="T29" s="89">
        <v>45</v>
      </c>
      <c r="U29" s="746">
        <v>0.66300000000000003</v>
      </c>
      <c r="V29" s="746">
        <v>10.5365</v>
      </c>
      <c r="W29" s="746">
        <v>1.5105</v>
      </c>
      <c r="X29" s="746">
        <v>1.5105</v>
      </c>
      <c r="Y29" s="746">
        <v>9.8734999999999999</v>
      </c>
      <c r="Z29" s="2124">
        <v>6.7180839673316811E-2</v>
      </c>
      <c r="AA29" s="2124">
        <v>0.15945968549804698</v>
      </c>
      <c r="AB29" s="2151">
        <v>0.22664052517136377</v>
      </c>
    </row>
    <row r="30" spans="2:28">
      <c r="B30" s="2134">
        <v>46</v>
      </c>
      <c r="C30" s="2126">
        <v>0.61199999999999999</v>
      </c>
      <c r="D30" s="2126">
        <v>10.167999999999999</v>
      </c>
      <c r="E30" s="2126">
        <v>2.524</v>
      </c>
      <c r="F30" s="2126">
        <v>2.524</v>
      </c>
      <c r="G30" s="2126">
        <v>9.5559999999999992</v>
      </c>
      <c r="H30" s="2127">
        <v>6.4043532858936797E-2</v>
      </c>
      <c r="I30" s="2127">
        <v>0.26412724989535374</v>
      </c>
      <c r="J30" s="2135">
        <v>0.32817078275429057</v>
      </c>
      <c r="K30" s="2134">
        <v>46</v>
      </c>
      <c r="L30" s="2126">
        <v>0.67300000000000004</v>
      </c>
      <c r="M30" s="2126">
        <v>11.478</v>
      </c>
      <c r="N30" s="2128">
        <v>0.58499999999999996</v>
      </c>
      <c r="O30" s="2126">
        <v>0.58499999999999996</v>
      </c>
      <c r="P30" s="2126">
        <v>10.805</v>
      </c>
      <c r="Q30" s="2127">
        <v>6.2285978713558544E-2</v>
      </c>
      <c r="R30" s="2127">
        <v>5.4141601110596946E-2</v>
      </c>
      <c r="S30" s="2135">
        <v>0.1164275798241555</v>
      </c>
      <c r="T30" s="2134">
        <v>46</v>
      </c>
      <c r="U30" s="1742">
        <v>0.64250000000000007</v>
      </c>
      <c r="V30" s="1742">
        <v>10.823</v>
      </c>
      <c r="W30" s="1742">
        <v>1.5545</v>
      </c>
      <c r="X30" s="1742">
        <v>1.5545</v>
      </c>
      <c r="Y30" s="1742">
        <v>10.180499999999999</v>
      </c>
      <c r="Z30" s="2129">
        <v>6.3164755786247667E-2</v>
      </c>
      <c r="AA30" s="2129">
        <v>0.15913442550297535</v>
      </c>
      <c r="AB30" s="2150">
        <v>0.22229918128922305</v>
      </c>
    </row>
    <row r="31" spans="2:28">
      <c r="B31" s="89">
        <v>47</v>
      </c>
      <c r="C31" s="1">
        <v>0.59399999999999997</v>
      </c>
      <c r="D31" s="1">
        <v>10.454000000000001</v>
      </c>
      <c r="E31" s="1">
        <v>2.6</v>
      </c>
      <c r="F31" s="1">
        <v>2.6</v>
      </c>
      <c r="G31" s="1">
        <v>9.8600000000000012</v>
      </c>
      <c r="H31" s="747">
        <v>6.0243407707910743E-2</v>
      </c>
      <c r="I31" s="747">
        <v>0.26369168356997968</v>
      </c>
      <c r="J31" s="2136">
        <v>0.32393509127789044</v>
      </c>
      <c r="K31" s="89">
        <v>47</v>
      </c>
      <c r="L31" s="1">
        <v>0.64600000000000002</v>
      </c>
      <c r="M31" s="1">
        <v>11.781000000000001</v>
      </c>
      <c r="N31" s="1462">
        <v>0.59699999999999998</v>
      </c>
      <c r="O31" s="1">
        <v>0.59699999999999998</v>
      </c>
      <c r="P31" s="1">
        <v>11.135</v>
      </c>
      <c r="Q31" s="747">
        <v>5.8015267175572524E-2</v>
      </c>
      <c r="R31" s="747">
        <v>5.3614728334081721E-2</v>
      </c>
      <c r="S31" s="2136">
        <v>0.11162999550965425</v>
      </c>
      <c r="T31" s="89">
        <v>47</v>
      </c>
      <c r="U31" s="746">
        <v>0.62</v>
      </c>
      <c r="V31" s="746">
        <v>11.1175</v>
      </c>
      <c r="W31" s="746">
        <v>1.5985</v>
      </c>
      <c r="X31" s="746">
        <v>1.5985</v>
      </c>
      <c r="Y31" s="746">
        <v>10.4975</v>
      </c>
      <c r="Z31" s="2124">
        <v>5.9129337441741633E-2</v>
      </c>
      <c r="AA31" s="2124">
        <v>0.1586532059520307</v>
      </c>
      <c r="AB31" s="2151">
        <v>0.21778254339377234</v>
      </c>
    </row>
    <row r="32" spans="2:28">
      <c r="B32" s="2134">
        <v>48</v>
      </c>
      <c r="C32" s="2126">
        <v>0.57299999999999995</v>
      </c>
      <c r="D32" s="2126">
        <v>10.75</v>
      </c>
      <c r="E32" s="2126">
        <v>2.6760000000000002</v>
      </c>
      <c r="F32" s="2126">
        <v>2.6760000000000002</v>
      </c>
      <c r="G32" s="2126">
        <v>10.177</v>
      </c>
      <c r="H32" s="2127">
        <v>5.6303429301365823E-2</v>
      </c>
      <c r="I32" s="2127">
        <v>0.26294585830794931</v>
      </c>
      <c r="J32" s="2135">
        <v>0.31924928760931515</v>
      </c>
      <c r="K32" s="2134">
        <v>48</v>
      </c>
      <c r="L32" s="2126">
        <v>0.61499999999999999</v>
      </c>
      <c r="M32" s="2126">
        <v>12.095000000000001</v>
      </c>
      <c r="N32" s="2128">
        <v>0.60699999999999998</v>
      </c>
      <c r="O32" s="2126">
        <v>0.60699999999999998</v>
      </c>
      <c r="P32" s="2126">
        <v>11.48</v>
      </c>
      <c r="Q32" s="2127">
        <v>5.3571428571428568E-2</v>
      </c>
      <c r="R32" s="2127">
        <v>5.2874564459930308E-2</v>
      </c>
      <c r="S32" s="2135">
        <v>0.10644599303135888</v>
      </c>
      <c r="T32" s="2134">
        <v>48</v>
      </c>
      <c r="U32" s="1742">
        <v>0.59399999999999997</v>
      </c>
      <c r="V32" s="1742">
        <v>11.422499999999999</v>
      </c>
      <c r="W32" s="1742">
        <v>1.6415000000000002</v>
      </c>
      <c r="X32" s="1742">
        <v>1.6415000000000002</v>
      </c>
      <c r="Y32" s="1742">
        <v>10.8285</v>
      </c>
      <c r="Z32" s="2129">
        <v>5.4937428936397192E-2</v>
      </c>
      <c r="AA32" s="2129">
        <v>0.15791021138393982</v>
      </c>
      <c r="AB32" s="2150">
        <v>0.21284764032033701</v>
      </c>
    </row>
    <row r="33" spans="2:28">
      <c r="B33" s="89">
        <v>49</v>
      </c>
      <c r="C33" s="1">
        <v>0.54800000000000004</v>
      </c>
      <c r="D33" s="1">
        <v>11.055</v>
      </c>
      <c r="E33" s="1">
        <v>2.75</v>
      </c>
      <c r="F33" s="1">
        <v>2.75</v>
      </c>
      <c r="G33" s="1">
        <v>10.507</v>
      </c>
      <c r="H33" s="747">
        <v>5.2155705719996198E-2</v>
      </c>
      <c r="I33" s="747">
        <v>0.2617302750547254</v>
      </c>
      <c r="J33" s="2136">
        <v>0.31388598077472163</v>
      </c>
      <c r="K33" s="89">
        <v>49</v>
      </c>
      <c r="L33" s="1">
        <v>0.58199999999999996</v>
      </c>
      <c r="M33" s="1">
        <v>12.417</v>
      </c>
      <c r="N33" s="1462">
        <v>0.61699999999999999</v>
      </c>
      <c r="O33" s="1">
        <v>0.61699999999999999</v>
      </c>
      <c r="P33" s="1">
        <v>11.834999999999999</v>
      </c>
      <c r="Q33" s="747">
        <v>4.9176172370088721E-2</v>
      </c>
      <c r="R33" s="747">
        <v>5.2133502323616396E-2</v>
      </c>
      <c r="S33" s="2136">
        <v>0.10130967469370511</v>
      </c>
      <c r="T33" s="89">
        <v>49</v>
      </c>
      <c r="U33" s="746">
        <v>0.56499999999999995</v>
      </c>
      <c r="V33" s="746">
        <v>11.736000000000001</v>
      </c>
      <c r="W33" s="746">
        <v>1.6835</v>
      </c>
      <c r="X33" s="746">
        <v>1.6835</v>
      </c>
      <c r="Y33" s="746">
        <v>11.170999999999999</v>
      </c>
      <c r="Z33" s="2124">
        <v>5.0665939045042463E-2</v>
      </c>
      <c r="AA33" s="2124">
        <v>0.15693188868917091</v>
      </c>
      <c r="AB33" s="2151">
        <v>0.20759782773421337</v>
      </c>
    </row>
    <row r="34" spans="2:28">
      <c r="B34" s="2134">
        <v>50</v>
      </c>
      <c r="C34" s="2126">
        <v>0.51900000000000002</v>
      </c>
      <c r="D34" s="2126">
        <v>11.37</v>
      </c>
      <c r="E34" s="2126">
        <v>2.8210000000000002</v>
      </c>
      <c r="F34" s="2126">
        <v>2.8210000000000002</v>
      </c>
      <c r="G34" s="2126">
        <v>10.850999999999999</v>
      </c>
      <c r="H34" s="2127">
        <v>4.7829693115841863E-2</v>
      </c>
      <c r="I34" s="2127">
        <v>0.25997603907473971</v>
      </c>
      <c r="J34" s="2135">
        <v>0.30780573219058155</v>
      </c>
      <c r="K34" s="2134">
        <v>50</v>
      </c>
      <c r="L34" s="2126">
        <v>0.54500000000000004</v>
      </c>
      <c r="M34" s="2126">
        <v>12.75</v>
      </c>
      <c r="N34" s="2128">
        <v>0.626</v>
      </c>
      <c r="O34" s="2126">
        <v>0.626</v>
      </c>
      <c r="P34" s="2126">
        <v>12.205</v>
      </c>
      <c r="Q34" s="2127">
        <v>4.4653830397378129E-2</v>
      </c>
      <c r="R34" s="2127">
        <v>5.1290454731667351E-2</v>
      </c>
      <c r="S34" s="2135">
        <v>9.5944285129045487E-2</v>
      </c>
      <c r="T34" s="2134">
        <v>50</v>
      </c>
      <c r="U34" s="1742">
        <v>0.53200000000000003</v>
      </c>
      <c r="V34" s="1742">
        <v>12.059999999999999</v>
      </c>
      <c r="W34" s="1742">
        <v>1.7235</v>
      </c>
      <c r="X34" s="1742">
        <v>1.7235</v>
      </c>
      <c r="Y34" s="1742">
        <v>11.527999999999999</v>
      </c>
      <c r="Z34" s="2129">
        <v>4.6241761756609996E-2</v>
      </c>
      <c r="AA34" s="2129">
        <v>0.15563324690320351</v>
      </c>
      <c r="AB34" s="2150">
        <v>0.2018750086598135</v>
      </c>
    </row>
    <row r="35" spans="2:28">
      <c r="B35" s="89">
        <v>51</v>
      </c>
      <c r="C35" s="1">
        <v>0.48499999999999999</v>
      </c>
      <c r="D35" s="1">
        <v>11.695</v>
      </c>
      <c r="E35" s="1">
        <v>2.891</v>
      </c>
      <c r="F35" s="1">
        <v>2.891</v>
      </c>
      <c r="G35" s="1">
        <v>11.21</v>
      </c>
      <c r="H35" s="747">
        <v>4.3264942016057087E-2</v>
      </c>
      <c r="I35" s="747">
        <v>0.25789473684210523</v>
      </c>
      <c r="J35" s="2136">
        <v>0.30115967885816231</v>
      </c>
      <c r="K35" s="89">
        <v>51</v>
      </c>
      <c r="L35" s="1">
        <v>0.504</v>
      </c>
      <c r="M35" s="1">
        <v>13.092000000000001</v>
      </c>
      <c r="N35" s="1462">
        <v>0.63300000000000001</v>
      </c>
      <c r="O35" s="1">
        <v>0.63300000000000001</v>
      </c>
      <c r="P35" s="1">
        <v>12.588000000000001</v>
      </c>
      <c r="Q35" s="747">
        <v>4.0038131553860816E-2</v>
      </c>
      <c r="R35" s="747">
        <v>5.0285986653956144E-2</v>
      </c>
      <c r="S35" s="2136">
        <v>9.0324118207816967E-2</v>
      </c>
      <c r="T35" s="89">
        <v>51</v>
      </c>
      <c r="U35" s="746">
        <v>0.4945</v>
      </c>
      <c r="V35" s="746">
        <v>12.3935</v>
      </c>
      <c r="W35" s="746">
        <v>1.762</v>
      </c>
      <c r="X35" s="746">
        <v>1.762</v>
      </c>
      <c r="Y35" s="746">
        <v>11.899000000000001</v>
      </c>
      <c r="Z35" s="2124">
        <v>4.1651536784958948E-2</v>
      </c>
      <c r="AA35" s="2124">
        <v>0.1540903617480307</v>
      </c>
      <c r="AB35" s="2151">
        <v>0.19574189853298962</v>
      </c>
    </row>
    <row r="36" spans="2:28">
      <c r="B36" s="2134">
        <v>52</v>
      </c>
      <c r="C36" s="2126">
        <v>0.44700000000000001</v>
      </c>
      <c r="D36" s="2126">
        <v>12.032</v>
      </c>
      <c r="E36" s="2126">
        <v>2.9590000000000001</v>
      </c>
      <c r="F36" s="2126">
        <v>2.9590000000000001</v>
      </c>
      <c r="G36" s="2126">
        <v>11.585000000000001</v>
      </c>
      <c r="H36" s="2127">
        <v>3.8584376348726801E-2</v>
      </c>
      <c r="I36" s="2127">
        <v>0.25541648683642643</v>
      </c>
      <c r="J36" s="2135">
        <v>0.29400086318515323</v>
      </c>
      <c r="K36" s="2134">
        <v>52</v>
      </c>
      <c r="L36" s="2126">
        <v>0.45900000000000002</v>
      </c>
      <c r="M36" s="2126">
        <v>13.445</v>
      </c>
      <c r="N36" s="2128">
        <v>0.64</v>
      </c>
      <c r="O36" s="2126">
        <v>0.64</v>
      </c>
      <c r="P36" s="2126">
        <v>12.986000000000001</v>
      </c>
      <c r="Q36" s="2127">
        <v>3.5345756969043587E-2</v>
      </c>
      <c r="R36" s="2127">
        <v>4.9283844139842908E-2</v>
      </c>
      <c r="S36" s="2135">
        <v>8.4629601108886496E-2</v>
      </c>
      <c r="T36" s="2134">
        <v>52</v>
      </c>
      <c r="U36" s="1742">
        <v>0.45300000000000001</v>
      </c>
      <c r="V36" s="1742">
        <v>12.7385</v>
      </c>
      <c r="W36" s="1742">
        <v>1.7995000000000001</v>
      </c>
      <c r="X36" s="1742">
        <v>1.7995000000000001</v>
      </c>
      <c r="Y36" s="1742">
        <v>12.285500000000001</v>
      </c>
      <c r="Z36" s="2129">
        <v>3.6965066658885194E-2</v>
      </c>
      <c r="AA36" s="2129">
        <v>0.15235016548813468</v>
      </c>
      <c r="AB36" s="2150">
        <v>0.18931523214701987</v>
      </c>
    </row>
    <row r="37" spans="2:28">
      <c r="B37" s="89">
        <v>53</v>
      </c>
      <c r="C37" s="1">
        <v>0.40500000000000003</v>
      </c>
      <c r="D37" s="1">
        <v>12.381</v>
      </c>
      <c r="E37" s="1">
        <v>3.0249999999999999</v>
      </c>
      <c r="F37" s="1">
        <v>3.0249999999999999</v>
      </c>
      <c r="G37" s="1">
        <v>11.976000000000001</v>
      </c>
      <c r="H37" s="747">
        <v>3.3817635270541081E-2</v>
      </c>
      <c r="I37" s="747">
        <v>0.2525885103540414</v>
      </c>
      <c r="J37" s="2136">
        <v>0.2864061456245825</v>
      </c>
      <c r="K37" s="89">
        <v>53</v>
      </c>
      <c r="L37" s="1">
        <v>0.41099999999999998</v>
      </c>
      <c r="M37" s="1">
        <v>13.808</v>
      </c>
      <c r="N37" s="1462">
        <v>0.64500000000000002</v>
      </c>
      <c r="O37" s="1">
        <v>0.64500000000000002</v>
      </c>
      <c r="P37" s="1">
        <v>13.397</v>
      </c>
      <c r="Q37" s="747">
        <v>3.0678510114204669E-2</v>
      </c>
      <c r="R37" s="747">
        <v>4.8145107113532884E-2</v>
      </c>
      <c r="S37" s="2136">
        <v>7.882361722773755E-2</v>
      </c>
      <c r="T37" s="89">
        <v>53</v>
      </c>
      <c r="U37" s="746">
        <v>0.40800000000000003</v>
      </c>
      <c r="V37" s="746">
        <v>13.0945</v>
      </c>
      <c r="W37" s="746">
        <v>1.835</v>
      </c>
      <c r="X37" s="746">
        <v>1.835</v>
      </c>
      <c r="Y37" s="746">
        <v>12.686500000000001</v>
      </c>
      <c r="Z37" s="2124">
        <v>3.2248072692372877E-2</v>
      </c>
      <c r="AA37" s="2124">
        <v>0.15036680873378713</v>
      </c>
      <c r="AB37" s="2151">
        <v>0.18261488142616003</v>
      </c>
    </row>
    <row r="38" spans="2:28">
      <c r="B38" s="2134">
        <v>54</v>
      </c>
      <c r="C38" s="2126">
        <v>0.35899999999999999</v>
      </c>
      <c r="D38" s="2126">
        <v>12.743</v>
      </c>
      <c r="E38" s="2126">
        <v>3.0880000000000001</v>
      </c>
      <c r="F38" s="2126">
        <v>3.0880000000000001</v>
      </c>
      <c r="G38" s="2126">
        <v>12.384</v>
      </c>
      <c r="H38" s="2127">
        <v>2.8989018087855294E-2</v>
      </c>
      <c r="I38" s="2127">
        <v>0.24935400516795866</v>
      </c>
      <c r="J38" s="2135">
        <v>0.27834302325581395</v>
      </c>
      <c r="K38" s="2134">
        <v>54</v>
      </c>
      <c r="L38" s="2126">
        <v>0.35799999999999998</v>
      </c>
      <c r="M38" s="2126">
        <v>14.182</v>
      </c>
      <c r="N38" s="2128">
        <v>0.65</v>
      </c>
      <c r="O38" s="2126">
        <v>0.65</v>
      </c>
      <c r="P38" s="2126">
        <v>13.824</v>
      </c>
      <c r="Q38" s="2127">
        <v>2.5896990740740741E-2</v>
      </c>
      <c r="R38" s="2127">
        <v>4.701967592592593E-2</v>
      </c>
      <c r="S38" s="2135">
        <v>7.2916666666666671E-2</v>
      </c>
      <c r="T38" s="2134">
        <v>54</v>
      </c>
      <c r="U38" s="1742">
        <v>0.35849999999999999</v>
      </c>
      <c r="V38" s="1742">
        <v>13.4625</v>
      </c>
      <c r="W38" s="1742">
        <v>1.869</v>
      </c>
      <c r="X38" s="1742">
        <v>1.869</v>
      </c>
      <c r="Y38" s="1742">
        <v>13.103999999999999</v>
      </c>
      <c r="Z38" s="2129">
        <v>2.744300441429802E-2</v>
      </c>
      <c r="AA38" s="2129">
        <v>0.14818684054694231</v>
      </c>
      <c r="AB38" s="2150">
        <v>0.17562984496124032</v>
      </c>
    </row>
    <row r="39" spans="2:28">
      <c r="B39" s="89">
        <v>55</v>
      </c>
      <c r="C39" s="1">
        <v>0.308</v>
      </c>
      <c r="D39" s="1">
        <v>13.118</v>
      </c>
      <c r="E39" s="1">
        <v>3.15</v>
      </c>
      <c r="F39" s="1">
        <v>3.15</v>
      </c>
      <c r="G39" s="1">
        <v>12.81</v>
      </c>
      <c r="H39" s="747">
        <v>2.4043715846994534E-2</v>
      </c>
      <c r="I39" s="747">
        <v>0.24590163934426229</v>
      </c>
      <c r="J39" s="2136">
        <v>0.26994535519125684</v>
      </c>
      <c r="K39" s="89">
        <v>55</v>
      </c>
      <c r="L39" s="1">
        <v>0.30299999999999999</v>
      </c>
      <c r="M39" s="1">
        <v>14.569000000000001</v>
      </c>
      <c r="N39" s="1462">
        <v>0.65300000000000002</v>
      </c>
      <c r="O39" s="1">
        <v>0.65300000000000002</v>
      </c>
      <c r="P39" s="1">
        <v>14.266</v>
      </c>
      <c r="Q39" s="747">
        <v>2.1239310248142435E-2</v>
      </c>
      <c r="R39" s="747">
        <v>4.577316697041918E-2</v>
      </c>
      <c r="S39" s="2136">
        <v>6.7012477218561614E-2</v>
      </c>
      <c r="T39" s="89">
        <v>55</v>
      </c>
      <c r="U39" s="746">
        <v>0.30549999999999999</v>
      </c>
      <c r="V39" s="746">
        <v>13.843500000000001</v>
      </c>
      <c r="W39" s="746">
        <v>1.9015</v>
      </c>
      <c r="X39" s="746">
        <v>1.9015</v>
      </c>
      <c r="Y39" s="746">
        <v>13.538</v>
      </c>
      <c r="Z39" s="2124">
        <v>2.2641513047568486E-2</v>
      </c>
      <c r="AA39" s="2124">
        <v>0.14583740315734073</v>
      </c>
      <c r="AB39" s="2151">
        <v>0.16847891620490923</v>
      </c>
    </row>
    <row r="40" spans="2:28">
      <c r="B40" s="2134">
        <v>56</v>
      </c>
      <c r="C40" s="2126">
        <v>0.254</v>
      </c>
      <c r="D40" s="2126">
        <v>13.506</v>
      </c>
      <c r="E40" s="2126">
        <v>3.2109999999999999</v>
      </c>
      <c r="F40" s="2126">
        <v>3.2109999999999999</v>
      </c>
      <c r="G40" s="2126">
        <v>13.252000000000001</v>
      </c>
      <c r="H40" s="2127">
        <v>1.916691820102626E-2</v>
      </c>
      <c r="I40" s="2127">
        <v>0.24230304859643825</v>
      </c>
      <c r="J40" s="2135">
        <v>0.26146996679746454</v>
      </c>
      <c r="K40" s="2134">
        <v>56</v>
      </c>
      <c r="L40" s="2126">
        <v>0.245</v>
      </c>
      <c r="M40" s="2126">
        <v>14.968999999999999</v>
      </c>
      <c r="N40" s="2128">
        <v>0.65500000000000003</v>
      </c>
      <c r="O40" s="2126">
        <v>0.65500000000000003</v>
      </c>
      <c r="P40" s="2126">
        <v>14.724</v>
      </c>
      <c r="Q40" s="2127">
        <v>1.6639500135832652E-2</v>
      </c>
      <c r="R40" s="2127">
        <v>4.4485194240695462E-2</v>
      </c>
      <c r="S40" s="2135">
        <v>6.1124694376528114E-2</v>
      </c>
      <c r="T40" s="2134">
        <v>56</v>
      </c>
      <c r="U40" s="1742">
        <v>0.2495</v>
      </c>
      <c r="V40" s="1742">
        <v>14.237500000000001</v>
      </c>
      <c r="W40" s="1742">
        <v>1.9329999999999998</v>
      </c>
      <c r="X40" s="1742">
        <v>1.9329999999999998</v>
      </c>
      <c r="Y40" s="1742">
        <v>13.988</v>
      </c>
      <c r="Z40" s="2129">
        <v>1.7903209168429454E-2</v>
      </c>
      <c r="AA40" s="2129">
        <v>0.14339412141856686</v>
      </c>
      <c r="AB40" s="2150">
        <v>0.16129733058699633</v>
      </c>
    </row>
    <row r="41" spans="2:28">
      <c r="B41" s="89">
        <v>57</v>
      </c>
      <c r="C41" s="1">
        <v>0.19800000000000001</v>
      </c>
      <c r="D41" s="1">
        <v>13.911</v>
      </c>
      <c r="E41" s="1">
        <v>3.2709999999999999</v>
      </c>
      <c r="F41" s="1">
        <v>3.2709999999999999</v>
      </c>
      <c r="G41" s="1">
        <v>13.712999999999999</v>
      </c>
      <c r="H41" s="747">
        <v>1.4438853642528988E-2</v>
      </c>
      <c r="I41" s="747">
        <v>0.23853277911470869</v>
      </c>
      <c r="J41" s="2136">
        <v>0.25297163275723766</v>
      </c>
      <c r="K41" s="89">
        <v>57</v>
      </c>
      <c r="L41" s="1">
        <v>0.187</v>
      </c>
      <c r="M41" s="1">
        <v>15.385</v>
      </c>
      <c r="N41" s="1462">
        <v>0.65700000000000003</v>
      </c>
      <c r="O41" s="1">
        <v>0.65700000000000003</v>
      </c>
      <c r="P41" s="1">
        <v>15.198</v>
      </c>
      <c r="Q41" s="747">
        <v>1.2304250559284116E-2</v>
      </c>
      <c r="R41" s="747">
        <v>4.3229372285827086E-2</v>
      </c>
      <c r="S41" s="2136">
        <v>5.5533622845111201E-2</v>
      </c>
      <c r="T41" s="89">
        <v>57</v>
      </c>
      <c r="U41" s="746">
        <v>0.1925</v>
      </c>
      <c r="V41" s="746">
        <v>14.648</v>
      </c>
      <c r="W41" s="746">
        <v>1.964</v>
      </c>
      <c r="X41" s="746">
        <v>1.964</v>
      </c>
      <c r="Y41" s="746">
        <v>14.455500000000001</v>
      </c>
      <c r="Z41" s="2124">
        <v>1.3371552100906552E-2</v>
      </c>
      <c r="AA41" s="2124">
        <v>0.14088107570026789</v>
      </c>
      <c r="AB41" s="2151">
        <v>0.15425262780117444</v>
      </c>
    </row>
    <row r="42" spans="2:28">
      <c r="B42" s="2134">
        <v>58</v>
      </c>
      <c r="C42" s="2126">
        <v>0.14299999999999999</v>
      </c>
      <c r="D42" s="2126">
        <v>14.332000000000001</v>
      </c>
      <c r="E42" s="2126">
        <v>3.3330000000000002</v>
      </c>
      <c r="F42" s="2126">
        <v>3.3330000000000002</v>
      </c>
      <c r="G42" s="2126">
        <v>14.189</v>
      </c>
      <c r="H42" s="2127">
        <v>1.0078229614490097E-2</v>
      </c>
      <c r="I42" s="2127">
        <v>0.23490027486080767</v>
      </c>
      <c r="J42" s="2135">
        <v>0.24497850447529776</v>
      </c>
      <c r="K42" s="2134">
        <v>58</v>
      </c>
      <c r="L42" s="2126">
        <v>0.13100000000000001</v>
      </c>
      <c r="M42" s="2126">
        <v>15.819000000000001</v>
      </c>
      <c r="N42" s="2128">
        <v>0.65800000000000003</v>
      </c>
      <c r="O42" s="2126">
        <v>0.65800000000000003</v>
      </c>
      <c r="P42" s="2126">
        <v>15.688000000000001</v>
      </c>
      <c r="Q42" s="2127">
        <v>8.35033146353901E-3</v>
      </c>
      <c r="R42" s="2127">
        <v>4.1942886282508925E-2</v>
      </c>
      <c r="S42" s="2135">
        <v>5.0293217746047933E-2</v>
      </c>
      <c r="T42" s="2134">
        <v>58</v>
      </c>
      <c r="U42" s="1742">
        <v>0.13700000000000001</v>
      </c>
      <c r="V42" s="1742">
        <v>15.075500000000002</v>
      </c>
      <c r="W42" s="1742">
        <v>1.9955000000000001</v>
      </c>
      <c r="X42" s="1742">
        <v>1.9955000000000001</v>
      </c>
      <c r="Y42" s="1742">
        <v>14.938500000000001</v>
      </c>
      <c r="Z42" s="2129">
        <v>9.2142805390145535E-3</v>
      </c>
      <c r="AA42" s="2129">
        <v>0.13842158057165829</v>
      </c>
      <c r="AB42" s="2150">
        <v>0.14763586111067284</v>
      </c>
    </row>
    <row r="43" spans="2:28">
      <c r="B43" s="89">
        <v>59</v>
      </c>
      <c r="C43" s="1">
        <v>9.2999999999999999E-2</v>
      </c>
      <c r="D43" s="1">
        <v>14.775</v>
      </c>
      <c r="E43" s="1">
        <v>3.3959999999999999</v>
      </c>
      <c r="F43" s="1">
        <v>3.3959999999999999</v>
      </c>
      <c r="G43" s="1">
        <v>14.682</v>
      </c>
      <c r="H43" s="747">
        <v>6.334286881896199E-3</v>
      </c>
      <c r="I43" s="747">
        <v>0.23130363710666121</v>
      </c>
      <c r="J43" s="2136">
        <v>0.2376379239885574</v>
      </c>
      <c r="K43" s="89">
        <v>59</v>
      </c>
      <c r="L43" s="1">
        <v>8.2000000000000003E-2</v>
      </c>
      <c r="M43" s="1">
        <v>16.276</v>
      </c>
      <c r="N43" s="1462">
        <v>0.66</v>
      </c>
      <c r="O43" s="1">
        <v>0.66</v>
      </c>
      <c r="P43" s="1">
        <v>16.193999999999999</v>
      </c>
      <c r="Q43" s="747">
        <v>5.0636038038779797E-3</v>
      </c>
      <c r="R43" s="747">
        <v>4.0755835494627642E-2</v>
      </c>
      <c r="S43" s="2136">
        <v>4.581943929850562E-2</v>
      </c>
      <c r="T43" s="89">
        <v>59</v>
      </c>
      <c r="U43" s="746">
        <v>8.7499999999999994E-2</v>
      </c>
      <c r="V43" s="746">
        <v>15.525500000000001</v>
      </c>
      <c r="W43" s="746">
        <v>2.028</v>
      </c>
      <c r="X43" s="746">
        <v>2.028</v>
      </c>
      <c r="Y43" s="746">
        <v>15.437999999999999</v>
      </c>
      <c r="Z43" s="2124">
        <v>5.6989453428870889E-3</v>
      </c>
      <c r="AA43" s="2124">
        <v>0.13602973630064444</v>
      </c>
      <c r="AB43" s="2151">
        <v>0.1417286816435315</v>
      </c>
    </row>
    <row r="44" spans="2:28">
      <c r="B44" s="2134">
        <v>60</v>
      </c>
      <c r="C44" s="2126">
        <v>5.1999999999999998E-2</v>
      </c>
      <c r="D44" s="2126">
        <v>15.241</v>
      </c>
      <c r="E44" s="2126">
        <v>3.4630000000000001</v>
      </c>
      <c r="F44" s="2126">
        <v>3.4630000000000001</v>
      </c>
      <c r="G44" s="2126">
        <v>15.189</v>
      </c>
      <c r="H44" s="2127">
        <v>3.4235301863190467E-3</v>
      </c>
      <c r="I44" s="2127">
        <v>0.22799394298505499</v>
      </c>
      <c r="J44" s="2135">
        <v>0.23141747317137404</v>
      </c>
      <c r="K44" s="2134">
        <v>60</v>
      </c>
      <c r="L44" s="2126">
        <v>4.3999999999999997E-2</v>
      </c>
      <c r="M44" s="2126">
        <v>16.759</v>
      </c>
      <c r="N44" s="2128">
        <v>0.66100000000000003</v>
      </c>
      <c r="O44" s="2126">
        <v>0.66100000000000003</v>
      </c>
      <c r="P44" s="2126">
        <v>16.715</v>
      </c>
      <c r="Q44" s="2127">
        <v>2.6323661381992222E-3</v>
      </c>
      <c r="R44" s="2127">
        <v>3.9545318576129231E-2</v>
      </c>
      <c r="S44" s="2135">
        <v>4.2177684714328451E-2</v>
      </c>
      <c r="T44" s="2134">
        <v>60</v>
      </c>
      <c r="U44" s="1742">
        <v>4.8000000000000001E-2</v>
      </c>
      <c r="V44" s="1742">
        <v>16</v>
      </c>
      <c r="W44" s="1742">
        <v>2.0620000000000003</v>
      </c>
      <c r="X44" s="1742">
        <v>2.0620000000000003</v>
      </c>
      <c r="Y44" s="1742">
        <v>15.952</v>
      </c>
      <c r="Z44" s="2129">
        <v>3.0279481622591344E-3</v>
      </c>
      <c r="AA44" s="2129">
        <v>0.13376963078059212</v>
      </c>
      <c r="AB44" s="2150">
        <v>0.13679757894285124</v>
      </c>
    </row>
    <row r="45" spans="2:28">
      <c r="B45" s="89">
        <v>61</v>
      </c>
      <c r="C45" s="1">
        <v>2.1999999999999999E-2</v>
      </c>
      <c r="D45" s="1">
        <v>15.734</v>
      </c>
      <c r="E45" s="1">
        <v>3.532</v>
      </c>
      <c r="F45" s="1">
        <v>3.532</v>
      </c>
      <c r="G45" s="1">
        <v>15.712</v>
      </c>
      <c r="H45" s="747">
        <v>1.4002036659877799E-3</v>
      </c>
      <c r="I45" s="747">
        <v>0.22479633401221996</v>
      </c>
      <c r="J45" s="2136">
        <v>0.22619653767820774</v>
      </c>
      <c r="K45" s="89">
        <v>61</v>
      </c>
      <c r="L45" s="1">
        <v>1.7000000000000001E-2</v>
      </c>
      <c r="M45" s="1">
        <v>17.271999999999998</v>
      </c>
      <c r="N45" s="1462">
        <v>0.66200000000000003</v>
      </c>
      <c r="O45" s="1">
        <v>0.66200000000000003</v>
      </c>
      <c r="P45" s="1">
        <v>17.254999999999999</v>
      </c>
      <c r="Q45" s="747">
        <v>9.8522167487684743E-4</v>
      </c>
      <c r="R45" s="747">
        <v>3.8365691104027821E-2</v>
      </c>
      <c r="S45" s="2136">
        <v>3.9350912778904672E-2</v>
      </c>
      <c r="T45" s="89">
        <v>61</v>
      </c>
      <c r="U45" s="746">
        <v>1.95E-2</v>
      </c>
      <c r="V45" s="746">
        <v>16.503</v>
      </c>
      <c r="W45" s="746">
        <v>2.097</v>
      </c>
      <c r="X45" s="746">
        <v>2.097</v>
      </c>
      <c r="Y45" s="746">
        <v>16.483499999999999</v>
      </c>
      <c r="Z45" s="2124">
        <v>1.1927126704323137E-3</v>
      </c>
      <c r="AA45" s="2124">
        <v>0.13158101255812388</v>
      </c>
      <c r="AB45" s="2151">
        <v>0.13277372522855621</v>
      </c>
    </row>
    <row r="46" spans="2:28">
      <c r="B46" s="2134">
        <v>62</v>
      </c>
      <c r="C46" s="2126">
        <v>5.0000000000000001E-3</v>
      </c>
      <c r="D46" s="2126">
        <v>16.257999999999999</v>
      </c>
      <c r="E46" s="2126">
        <v>3.5870000000000002</v>
      </c>
      <c r="F46" s="2126">
        <v>3.5870000000000002</v>
      </c>
      <c r="G46" s="2126">
        <v>16.253</v>
      </c>
      <c r="H46" s="2127">
        <v>3.0763551344367192E-4</v>
      </c>
      <c r="I46" s="2127">
        <v>0.22069771734449026</v>
      </c>
      <c r="J46" s="2135">
        <v>0.22100535285793393</v>
      </c>
      <c r="K46" s="2134">
        <v>62</v>
      </c>
      <c r="L46" s="2126">
        <v>4.0000000000000001E-3</v>
      </c>
      <c r="M46" s="2126">
        <v>17.815999999999999</v>
      </c>
      <c r="N46" s="2128">
        <v>0.66100000000000003</v>
      </c>
      <c r="O46" s="2126">
        <v>0.66100000000000003</v>
      </c>
      <c r="P46" s="2126">
        <v>17.811999999999998</v>
      </c>
      <c r="Q46" s="2127">
        <v>2.2456770716370989E-4</v>
      </c>
      <c r="R46" s="2127">
        <v>3.7109813608803062E-2</v>
      </c>
      <c r="S46" s="2135">
        <v>3.7334381315966773E-2</v>
      </c>
      <c r="T46" s="2134">
        <v>62</v>
      </c>
      <c r="U46" s="1742">
        <v>4.5000000000000005E-3</v>
      </c>
      <c r="V46" s="1742">
        <v>17.036999999999999</v>
      </c>
      <c r="W46" s="1742">
        <v>2.1240000000000001</v>
      </c>
      <c r="X46" s="1742">
        <v>2.1240000000000001</v>
      </c>
      <c r="Y46" s="1742">
        <v>17.032499999999999</v>
      </c>
      <c r="Z46" s="2129">
        <v>2.6610161030369092E-4</v>
      </c>
      <c r="AA46" s="2129">
        <v>0.12890376547664667</v>
      </c>
      <c r="AB46" s="2150">
        <v>0.12916986708695036</v>
      </c>
    </row>
    <row r="47" spans="2:28">
      <c r="B47" s="2155">
        <v>63</v>
      </c>
      <c r="C47" s="2156">
        <v>0</v>
      </c>
      <c r="D47" s="2156">
        <v>16.815000000000001</v>
      </c>
      <c r="E47" s="2156">
        <v>3.6419999999999999</v>
      </c>
      <c r="F47" s="2156">
        <v>3.6419999999999999</v>
      </c>
      <c r="G47" s="2156">
        <v>16.815000000000001</v>
      </c>
      <c r="H47" s="2157">
        <v>0</v>
      </c>
      <c r="I47" s="2157">
        <v>0.21659232827832289</v>
      </c>
      <c r="J47" s="2158">
        <v>0.21659232827832289</v>
      </c>
      <c r="K47" s="2155">
        <v>63</v>
      </c>
      <c r="L47" s="2156">
        <v>0</v>
      </c>
      <c r="M47" s="2156">
        <v>18.393000000000001</v>
      </c>
      <c r="N47" s="2159">
        <v>0.65900000000000003</v>
      </c>
      <c r="O47" s="2156">
        <v>0.65900000000000003</v>
      </c>
      <c r="P47" s="2156">
        <v>18.393000000000001</v>
      </c>
      <c r="Q47" s="2157">
        <v>0</v>
      </c>
      <c r="R47" s="2157">
        <v>3.5828847931278204E-2</v>
      </c>
      <c r="S47" s="2158">
        <v>3.5828847931278204E-2</v>
      </c>
      <c r="T47" s="2155">
        <v>63</v>
      </c>
      <c r="U47" s="2160">
        <v>0</v>
      </c>
      <c r="V47" s="2160">
        <v>17.603999999999999</v>
      </c>
      <c r="W47" s="2160">
        <v>2.1505000000000001</v>
      </c>
      <c r="X47" s="2160">
        <v>2.1505000000000001</v>
      </c>
      <c r="Y47" s="2160">
        <v>17.603999999999999</v>
      </c>
      <c r="Z47" s="2161">
        <v>0</v>
      </c>
      <c r="AA47" s="2161">
        <v>0.12621058810480054</v>
      </c>
      <c r="AB47" s="2162">
        <v>0.12621058810480054</v>
      </c>
    </row>
    <row r="48" spans="2:28">
      <c r="B48" s="2134">
        <v>64</v>
      </c>
      <c r="C48" s="2126">
        <v>0</v>
      </c>
      <c r="D48" s="2126">
        <v>16.154</v>
      </c>
      <c r="E48" s="2126">
        <v>3.7669999999999999</v>
      </c>
      <c r="F48" s="2126">
        <v>3.7669999999999999</v>
      </c>
      <c r="G48" s="2126">
        <v>16.154</v>
      </c>
      <c r="H48" s="2127">
        <v>0</v>
      </c>
      <c r="I48" s="2127">
        <v>0.23319301720935989</v>
      </c>
      <c r="J48" s="2135">
        <v>0.23319301720935989</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17.0825</v>
      </c>
      <c r="W48" s="1742">
        <v>2.2039999999999997</v>
      </c>
      <c r="X48" s="1742">
        <v>2.2039999999999997</v>
      </c>
      <c r="Y48" s="1742">
        <v>17.0825</v>
      </c>
      <c r="Z48" s="2129">
        <v>0</v>
      </c>
      <c r="AA48" s="2129">
        <v>0.13439118963294044</v>
      </c>
      <c r="AB48" s="2150">
        <v>0.13439118963294044</v>
      </c>
    </row>
    <row r="49" spans="2:28">
      <c r="B49" s="89">
        <v>65</v>
      </c>
      <c r="C49" s="1">
        <v>0</v>
      </c>
      <c r="D49" s="1">
        <v>15.77</v>
      </c>
      <c r="E49" s="1">
        <v>3.7749999999999999</v>
      </c>
      <c r="F49" s="1">
        <v>3.7749999999999999</v>
      </c>
      <c r="G49" s="1">
        <v>15.77</v>
      </c>
      <c r="H49" s="747">
        <v>0</v>
      </c>
      <c r="I49" s="747">
        <v>0.23937856689917564</v>
      </c>
      <c r="J49" s="2136">
        <v>0.23937856689917564</v>
      </c>
      <c r="K49" s="89">
        <v>65</v>
      </c>
      <c r="L49" s="1">
        <v>0</v>
      </c>
      <c r="M49" s="1">
        <v>17.619</v>
      </c>
      <c r="N49" s="1462">
        <v>0.623</v>
      </c>
      <c r="O49" s="1">
        <v>0.623</v>
      </c>
      <c r="P49" s="1">
        <v>17.619</v>
      </c>
      <c r="Q49" s="747">
        <v>0</v>
      </c>
      <c r="R49" s="747">
        <v>3.5359555025824392E-2</v>
      </c>
      <c r="S49" s="2136">
        <v>3.5359555025824392E-2</v>
      </c>
      <c r="T49" s="89">
        <v>65</v>
      </c>
      <c r="U49" s="746">
        <v>0</v>
      </c>
      <c r="V49" s="746">
        <v>16.694499999999998</v>
      </c>
      <c r="W49" s="746">
        <v>2.1989999999999998</v>
      </c>
      <c r="X49" s="746">
        <v>2.1989999999999998</v>
      </c>
      <c r="Y49" s="746">
        <v>16.694499999999998</v>
      </c>
      <c r="Z49" s="967">
        <v>0</v>
      </c>
      <c r="AA49" s="967">
        <v>0.13736906096250001</v>
      </c>
      <c r="AB49" s="968">
        <v>0.13736906096250001</v>
      </c>
    </row>
    <row r="50" spans="2:28">
      <c r="B50" s="2134">
        <v>66</v>
      </c>
      <c r="C50" s="2126"/>
      <c r="D50" s="2126">
        <v>15.379</v>
      </c>
      <c r="E50" s="2126">
        <v>3.778</v>
      </c>
      <c r="F50" s="2126">
        <v>3.778</v>
      </c>
      <c r="G50" s="2126">
        <v>15.379</v>
      </c>
      <c r="H50" s="2127">
        <v>0</v>
      </c>
      <c r="I50" s="2127">
        <v>0.24565966577800899</v>
      </c>
      <c r="J50" s="2135">
        <v>0.24565966577800899</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16.297999999999998</v>
      </c>
      <c r="W50" s="1742">
        <v>2.1909999999999998</v>
      </c>
      <c r="X50" s="1742">
        <v>2.1909999999999998</v>
      </c>
      <c r="Y50" s="1742">
        <v>16.297999999999998</v>
      </c>
      <c r="Z50" s="2129">
        <v>0</v>
      </c>
      <c r="AA50" s="2129">
        <v>0.14037063558401525</v>
      </c>
      <c r="AB50" s="2150">
        <v>0.14037063558401525</v>
      </c>
    </row>
    <row r="51" spans="2:28">
      <c r="B51" s="89">
        <v>67</v>
      </c>
      <c r="C51" s="1"/>
      <c r="D51" s="1">
        <v>14.98</v>
      </c>
      <c r="E51" s="1">
        <v>3.778</v>
      </c>
      <c r="F51" s="1">
        <v>3.778</v>
      </c>
      <c r="G51" s="1">
        <v>14.98</v>
      </c>
      <c r="H51" s="747">
        <v>0</v>
      </c>
      <c r="I51" s="747">
        <v>0.25220293724966619</v>
      </c>
      <c r="J51" s="2136">
        <v>0.25220293724966619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15.891500000000001</v>
      </c>
      <c r="W51" s="746">
        <v>2.1819999999999999</v>
      </c>
      <c r="X51" s="746">
        <v>2.1819999999999999</v>
      </c>
      <c r="Y51" s="746">
        <v>15.891500000000001</v>
      </c>
      <c r="Z51" s="2124">
        <v>0</v>
      </c>
      <c r="AA51" s="2124">
        <v>0.14353883100059933</v>
      </c>
      <c r="AB51" s="2151">
        <v>0.14353883100059933</v>
      </c>
    </row>
    <row r="52" spans="2:28">
      <c r="B52" s="2134">
        <v>68</v>
      </c>
      <c r="C52" s="2126"/>
      <c r="D52" s="2126">
        <v>14.573</v>
      </c>
      <c r="E52" s="2126">
        <v>3.7770000000000001</v>
      </c>
      <c r="F52" s="2126">
        <v>3.7770000000000001</v>
      </c>
      <c r="G52" s="2126">
        <v>14.573</v>
      </c>
      <c r="H52" s="2127">
        <v>0</v>
      </c>
      <c r="I52" s="2127">
        <v>0.25917793179166954</v>
      </c>
      <c r="J52" s="2135">
        <v>0.25917793179166954</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15.4755</v>
      </c>
      <c r="W52" s="1742">
        <v>2.1720000000000002</v>
      </c>
      <c r="X52" s="1742">
        <v>2.1720000000000002</v>
      </c>
      <c r="Y52" s="1742">
        <v>15.4755</v>
      </c>
      <c r="Z52" s="2129">
        <v>0</v>
      </c>
      <c r="AA52" s="2129">
        <v>0.14689877173293331</v>
      </c>
      <c r="AB52" s="2150">
        <v>0.14689877173293331</v>
      </c>
    </row>
    <row r="53" spans="2:28">
      <c r="B53" s="89">
        <v>69</v>
      </c>
      <c r="C53" s="1"/>
      <c r="D53" s="1">
        <v>14.156000000000001</v>
      </c>
      <c r="E53" s="1">
        <v>3.7730000000000001</v>
      </c>
      <c r="F53" s="1">
        <v>3.7730000000000001</v>
      </c>
      <c r="G53" s="1">
        <v>14.156000000000001</v>
      </c>
      <c r="H53" s="747">
        <v>0</v>
      </c>
      <c r="I53" s="747">
        <v>0.26653009324667987</v>
      </c>
      <c r="J53" s="2136">
        <v>0.26653009324667987</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15.048</v>
      </c>
      <c r="W53" s="746">
        <v>2.161</v>
      </c>
      <c r="X53" s="746">
        <v>2.161</v>
      </c>
      <c r="Y53" s="746">
        <v>15.048</v>
      </c>
      <c r="Z53" s="2124">
        <v>0</v>
      </c>
      <c r="AA53" s="2124">
        <v>0.15048587472873518</v>
      </c>
      <c r="AB53" s="2151">
        <v>0.15048587472873518</v>
      </c>
    </row>
    <row r="54" spans="2:28">
      <c r="B54" s="2134">
        <v>70</v>
      </c>
      <c r="C54" s="2126"/>
      <c r="D54" s="2126">
        <v>13.728999999999999</v>
      </c>
      <c r="E54" s="2126">
        <v>3.7669999999999999</v>
      </c>
      <c r="F54" s="2126">
        <v>3.7669999999999999</v>
      </c>
      <c r="G54" s="2126">
        <v>13.728999999999999</v>
      </c>
      <c r="H54" s="2127">
        <v>0</v>
      </c>
      <c r="I54" s="2127">
        <v>0.27438269356835898</v>
      </c>
      <c r="J54" s="2135">
        <v>0.27438269356835898</v>
      </c>
      <c r="K54" s="2134">
        <v>70</v>
      </c>
      <c r="L54" s="2126">
        <v>0</v>
      </c>
      <c r="M54" s="2126">
        <v>15.49</v>
      </c>
      <c r="N54" s="2128">
        <v>0.53</v>
      </c>
      <c r="O54" s="2126">
        <v>0.53</v>
      </c>
      <c r="P54" s="2126">
        <v>15.49</v>
      </c>
      <c r="Q54" s="2127">
        <v>0</v>
      </c>
      <c r="R54" s="2127">
        <v>3.4215622982569402E-2</v>
      </c>
      <c r="S54" s="2135">
        <v>3.4215622982569402E-2</v>
      </c>
      <c r="T54" s="2134">
        <v>70</v>
      </c>
      <c r="U54" s="1742">
        <v>0</v>
      </c>
      <c r="V54" s="1742">
        <v>14.609500000000001</v>
      </c>
      <c r="W54" s="1742">
        <v>2.1484999999999999</v>
      </c>
      <c r="X54" s="1742">
        <v>2.1484999999999999</v>
      </c>
      <c r="Y54" s="1742">
        <v>14.609500000000001</v>
      </c>
      <c r="Z54" s="2129">
        <v>0</v>
      </c>
      <c r="AA54" s="2129">
        <v>0.1542991582754642</v>
      </c>
      <c r="AB54" s="2150">
        <v>0.1542991582754642</v>
      </c>
    </row>
    <row r="55" spans="2:28">
      <c r="B55" s="89">
        <v>71</v>
      </c>
      <c r="C55" s="1"/>
      <c r="D55" s="1">
        <v>13.292999999999999</v>
      </c>
      <c r="E55" s="1">
        <v>3.758</v>
      </c>
      <c r="F55" s="1">
        <v>3.758</v>
      </c>
      <c r="G55" s="1">
        <v>13.292999999999999</v>
      </c>
      <c r="H55" s="747">
        <v>0</v>
      </c>
      <c r="I55" s="747">
        <v>0.28270518317911686</v>
      </c>
      <c r="J55" s="2136">
        <v>0.28270518317911686</v>
      </c>
      <c r="K55" s="89">
        <v>71</v>
      </c>
      <c r="L55" s="1">
        <v>0</v>
      </c>
      <c r="M55" s="1">
        <v>15.026</v>
      </c>
      <c r="N55" s="1462">
        <v>0.51</v>
      </c>
      <c r="O55" s="1">
        <v>0.51</v>
      </c>
      <c r="P55" s="1">
        <v>15.026</v>
      </c>
      <c r="Q55" s="747">
        <v>0</v>
      </c>
      <c r="R55" s="747">
        <v>3.3941168641022229E-2</v>
      </c>
      <c r="S55" s="2136">
        <v>3.3941168641022229E-2</v>
      </c>
      <c r="T55" s="89">
        <v>71</v>
      </c>
      <c r="U55" s="746">
        <v>0</v>
      </c>
      <c r="V55" s="746">
        <v>14.1595</v>
      </c>
      <c r="W55" s="746">
        <v>2.1339999999999999</v>
      </c>
      <c r="X55" s="746">
        <v>2.1339999999999999</v>
      </c>
      <c r="Y55" s="746">
        <v>14.1595</v>
      </c>
      <c r="Z55" s="2124">
        <v>0</v>
      </c>
      <c r="AA55" s="2124">
        <v>0.15832317591006956</v>
      </c>
      <c r="AB55" s="2151">
        <v>0.15832317591006956</v>
      </c>
    </row>
    <row r="56" spans="2:28">
      <c r="B56" s="2134">
        <v>72</v>
      </c>
      <c r="C56" s="2126"/>
      <c r="D56" s="2126">
        <v>12.846</v>
      </c>
      <c r="E56" s="2126">
        <v>3.7469999999999999</v>
      </c>
      <c r="F56" s="2126">
        <v>3.7469999999999999</v>
      </c>
      <c r="G56" s="2126">
        <v>12.846</v>
      </c>
      <c r="H56" s="2127">
        <v>0</v>
      </c>
      <c r="I56" s="2127">
        <v>0.29168612797758053</v>
      </c>
      <c r="J56" s="2135">
        <v>0.29168612797758053</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13.698</v>
      </c>
      <c r="W56" s="1742">
        <v>2.1189999999999998</v>
      </c>
      <c r="X56" s="1742">
        <v>2.1189999999999998</v>
      </c>
      <c r="Y56" s="1742">
        <v>13.698</v>
      </c>
      <c r="Z56" s="2129">
        <v>0</v>
      </c>
      <c r="AA56" s="2129">
        <v>0.16271591622246723</v>
      </c>
      <c r="AB56" s="2150">
        <v>0.16271591622246723</v>
      </c>
    </row>
    <row r="57" spans="2:28">
      <c r="B57" s="89">
        <v>73</v>
      </c>
      <c r="C57" s="1"/>
      <c r="D57" s="1">
        <v>12.388999999999999</v>
      </c>
      <c r="E57" s="1">
        <v>3.7389999999999999</v>
      </c>
      <c r="F57" s="1">
        <v>3.7389999999999999</v>
      </c>
      <c r="G57" s="1">
        <v>12.388999999999999</v>
      </c>
      <c r="H57" s="747">
        <v>0</v>
      </c>
      <c r="I57" s="747">
        <v>0.30179998385664702</v>
      </c>
      <c r="J57" s="2136">
        <v>0.30179998385664702</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13.2255</v>
      </c>
      <c r="W57" s="746">
        <v>2.1055000000000001</v>
      </c>
      <c r="X57" s="746">
        <v>2.1055000000000001</v>
      </c>
      <c r="Y57" s="746">
        <v>13.2255</v>
      </c>
      <c r="Z57" s="2124">
        <v>0</v>
      </c>
      <c r="AA57" s="2124">
        <v>0.16768281087299711</v>
      </c>
      <c r="AB57" s="2151">
        <v>0.16768281087299711</v>
      </c>
    </row>
    <row r="58" spans="2:28">
      <c r="B58" s="2134">
        <v>74</v>
      </c>
      <c r="C58" s="2126"/>
      <c r="D58" s="2126">
        <v>11.923999999999999</v>
      </c>
      <c r="E58" s="2126">
        <v>3.7290000000000001</v>
      </c>
      <c r="F58" s="2126">
        <v>3.7290000000000001</v>
      </c>
      <c r="G58" s="2126">
        <v>11.923999999999999</v>
      </c>
      <c r="H58" s="2127">
        <v>0</v>
      </c>
      <c r="I58" s="2127">
        <v>0.3127306273062731</v>
      </c>
      <c r="J58" s="2135">
        <v>0.3127306273062731</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12.742999999999999</v>
      </c>
      <c r="W58" s="1742">
        <v>2.0910000000000002</v>
      </c>
      <c r="X58" s="1742">
        <v>2.0910000000000002</v>
      </c>
      <c r="Y58" s="1742">
        <v>12.742999999999999</v>
      </c>
      <c r="Z58" s="2129">
        <v>0</v>
      </c>
      <c r="AA58" s="2129">
        <v>0.17306639019052042</v>
      </c>
      <c r="AB58" s="2150">
        <v>0.17306639019052042</v>
      </c>
    </row>
    <row r="59" spans="2:28">
      <c r="B59" s="89">
        <v>75</v>
      </c>
      <c r="C59" s="1"/>
      <c r="D59" s="1">
        <v>11.45</v>
      </c>
      <c r="E59" s="1">
        <v>3.7160000000000002</v>
      </c>
      <c r="F59" s="1">
        <v>3.7160000000000002</v>
      </c>
      <c r="G59" s="1">
        <v>11.45</v>
      </c>
      <c r="H59" s="747">
        <v>0</v>
      </c>
      <c r="I59" s="747">
        <v>0.32454148471615724</v>
      </c>
      <c r="J59" s="2136">
        <v>0.32454148471615724</v>
      </c>
      <c r="K59" s="89">
        <v>75</v>
      </c>
      <c r="L59" s="1">
        <v>0</v>
      </c>
      <c r="M59" s="1">
        <v>13.051</v>
      </c>
      <c r="N59" s="1462">
        <v>0.434</v>
      </c>
      <c r="O59" s="1">
        <v>0.434</v>
      </c>
      <c r="P59" s="1">
        <v>13.051</v>
      </c>
      <c r="Q59" s="747">
        <v>0</v>
      </c>
      <c r="R59" s="747">
        <v>3.3254156769596199E-2</v>
      </c>
      <c r="S59" s="2136">
        <v>3.3254156769596199E-2</v>
      </c>
      <c r="T59" s="89">
        <v>75</v>
      </c>
      <c r="U59" s="746">
        <v>0</v>
      </c>
      <c r="V59" s="746">
        <v>12.250499999999999</v>
      </c>
      <c r="W59" s="746">
        <v>2.0750000000000002</v>
      </c>
      <c r="X59" s="746">
        <v>2.0750000000000002</v>
      </c>
      <c r="Y59" s="746">
        <v>12.250499999999999</v>
      </c>
      <c r="Z59" s="2124">
        <v>0</v>
      </c>
      <c r="AA59" s="2124">
        <v>0.17889782074287672</v>
      </c>
      <c r="AB59" s="2151">
        <v>0.17889782074287672</v>
      </c>
    </row>
    <row r="60" spans="2:28">
      <c r="B60" s="2134">
        <v>76</v>
      </c>
      <c r="C60" s="2126"/>
      <c r="D60" s="2126">
        <v>10.97</v>
      </c>
      <c r="E60" s="2126">
        <v>3.698</v>
      </c>
      <c r="F60" s="2126">
        <v>3.698</v>
      </c>
      <c r="G60" s="2126">
        <v>10.97</v>
      </c>
      <c r="H60" s="2127">
        <v>0</v>
      </c>
      <c r="I60" s="2127">
        <v>0.3371011850501367</v>
      </c>
      <c r="J60" s="2135">
        <v>0.3371011850501367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11.750500000000001</v>
      </c>
      <c r="W60" s="1742">
        <v>2.056</v>
      </c>
      <c r="X60" s="1742">
        <v>2.056</v>
      </c>
      <c r="Y60" s="1742">
        <v>11.750500000000001</v>
      </c>
      <c r="Z60" s="2129">
        <v>0</v>
      </c>
      <c r="AA60" s="2129">
        <v>0.18506962532372767</v>
      </c>
      <c r="AB60" s="2150">
        <v>0.18506962532372767</v>
      </c>
    </row>
    <row r="61" spans="2:28">
      <c r="B61" s="89">
        <v>77</v>
      </c>
      <c r="C61" s="1"/>
      <c r="D61" s="1">
        <v>10.484999999999999</v>
      </c>
      <c r="E61" s="1">
        <v>3.6749999999999998</v>
      </c>
      <c r="F61" s="1">
        <v>3.6749999999999998</v>
      </c>
      <c r="G61" s="1">
        <v>10.484999999999999</v>
      </c>
      <c r="H61" s="747">
        <v>0</v>
      </c>
      <c r="I61" s="747">
        <v>0.35050071530758226</v>
      </c>
      <c r="J61" s="2136">
        <v>0.35050071530758226</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11.244</v>
      </c>
      <c r="W61" s="746">
        <v>2.0339999999999998</v>
      </c>
      <c r="X61" s="746">
        <v>2.0339999999999998</v>
      </c>
      <c r="Y61" s="746">
        <v>11.244</v>
      </c>
      <c r="Z61" s="2124">
        <v>0</v>
      </c>
      <c r="AA61" s="2124">
        <v>0.19162126492697285</v>
      </c>
      <c r="AB61" s="2151">
        <v>0.19162126492697285</v>
      </c>
    </row>
    <row r="62" spans="2:28">
      <c r="B62" s="2134">
        <v>78</v>
      </c>
      <c r="C62" s="2126"/>
      <c r="D62" s="2126">
        <v>9.9969999999999999</v>
      </c>
      <c r="E62" s="2126">
        <v>3.645</v>
      </c>
      <c r="F62" s="2126">
        <v>3.645</v>
      </c>
      <c r="G62" s="2126">
        <v>9.9969999999999999</v>
      </c>
      <c r="H62" s="2127">
        <v>0</v>
      </c>
      <c r="I62" s="2127">
        <v>0.36460938281484445</v>
      </c>
      <c r="J62" s="2135">
        <v>0.36460938281484445</v>
      </c>
      <c r="K62" s="2134">
        <v>78</v>
      </c>
      <c r="L62" s="2126">
        <v>0</v>
      </c>
      <c r="M62" s="2126">
        <v>11.47</v>
      </c>
      <c r="N62" s="2128">
        <v>0.371</v>
      </c>
      <c r="O62" s="2126">
        <v>0.371</v>
      </c>
      <c r="P62" s="2126">
        <v>11.47</v>
      </c>
      <c r="Q62" s="2127">
        <v>0</v>
      </c>
      <c r="R62" s="2127">
        <v>3.2345248474280733E-2</v>
      </c>
      <c r="S62" s="2135">
        <v>3.2345248474280733E-2</v>
      </c>
      <c r="T62" s="2134">
        <v>78</v>
      </c>
      <c r="U62" s="1742">
        <v>0</v>
      </c>
      <c r="V62" s="1742">
        <v>10.733499999999999</v>
      </c>
      <c r="W62" s="1742">
        <v>2.008</v>
      </c>
      <c r="X62" s="1742">
        <v>2.008</v>
      </c>
      <c r="Y62" s="1742">
        <v>10.733499999999999</v>
      </c>
      <c r="Z62" s="2129">
        <v>0</v>
      </c>
      <c r="AA62" s="2129">
        <v>0.19847731564456259</v>
      </c>
      <c r="AB62" s="2150">
        <v>0.19847731564456259</v>
      </c>
    </row>
    <row r="63" spans="2:28">
      <c r="B63" s="89">
        <v>79</v>
      </c>
      <c r="C63" s="1"/>
      <c r="D63" s="1">
        <v>9.5079999999999991</v>
      </c>
      <c r="E63" s="1">
        <v>3.6070000000000002</v>
      </c>
      <c r="F63" s="1">
        <v>3.6070000000000002</v>
      </c>
      <c r="G63" s="1">
        <v>9.5079999999999991</v>
      </c>
      <c r="H63" s="747">
        <v>0</v>
      </c>
      <c r="I63" s="747">
        <v>0.37936474547749272</v>
      </c>
      <c r="J63" s="2136">
        <v>0.37936474547749272</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10.219999999999999</v>
      </c>
      <c r="W63" s="746">
        <v>1.9780000000000002</v>
      </c>
      <c r="X63" s="746">
        <v>1.9780000000000002</v>
      </c>
      <c r="Y63" s="746">
        <v>10.219999999999999</v>
      </c>
      <c r="Z63" s="2124">
        <v>0</v>
      </c>
      <c r="AA63" s="2124">
        <v>0.2056446852158777</v>
      </c>
      <c r="AB63" s="2151">
        <v>0.2056446852158777</v>
      </c>
    </row>
    <row r="64" spans="2:28">
      <c r="B64" s="2134">
        <v>80</v>
      </c>
      <c r="C64" s="2126"/>
      <c r="D64" s="2126">
        <v>9.0210000000000008</v>
      </c>
      <c r="E64" s="2126">
        <v>3.5619999999999998</v>
      </c>
      <c r="F64" s="2126">
        <v>3.5619999999999998</v>
      </c>
      <c r="G64" s="2126">
        <v>9.0210000000000008</v>
      </c>
      <c r="H64" s="2127">
        <v>0</v>
      </c>
      <c r="I64" s="2127">
        <v>0.39485644607028042</v>
      </c>
      <c r="J64" s="2135">
        <v>0.39485644607028042</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9.7065000000000001</v>
      </c>
      <c r="W64" s="1742">
        <v>1.9444999999999999</v>
      </c>
      <c r="X64" s="1742">
        <v>1.9444999999999999</v>
      </c>
      <c r="Y64" s="1742">
        <v>9.7065000000000001</v>
      </c>
      <c r="Z64" s="2129">
        <v>0</v>
      </c>
      <c r="AA64" s="2129">
        <v>0.21316147938617946</v>
      </c>
      <c r="AB64" s="2150">
        <v>0.21316147938617946</v>
      </c>
    </row>
    <row r="65" spans="2:28">
      <c r="B65" s="89">
        <v>81</v>
      </c>
      <c r="C65" s="1"/>
      <c r="D65" s="1">
        <v>8.5380000000000003</v>
      </c>
      <c r="E65" s="1">
        <v>3.5070000000000001</v>
      </c>
      <c r="F65" s="1">
        <v>3.5070000000000001</v>
      </c>
      <c r="G65" s="1">
        <v>8.5380000000000003</v>
      </c>
      <c r="H65" s="747">
        <v>0</v>
      </c>
      <c r="I65" s="747">
        <v>0.4107519325368939</v>
      </c>
      <c r="J65" s="2136">
        <v>0.4107519325368939</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9.1954999999999991</v>
      </c>
      <c r="W65" s="746">
        <v>1.9055</v>
      </c>
      <c r="X65" s="746">
        <v>1.9055</v>
      </c>
      <c r="Y65" s="746">
        <v>9.1954999999999991</v>
      </c>
      <c r="Z65" s="2124">
        <v>0</v>
      </c>
      <c r="AA65" s="2124">
        <v>0.22080273983994803</v>
      </c>
      <c r="AB65" s="2151">
        <v>0.22080273983994803</v>
      </c>
    </row>
    <row r="66" spans="2:28">
      <c r="B66" s="2134">
        <v>82</v>
      </c>
      <c r="C66" s="2126"/>
      <c r="D66" s="2126">
        <v>8.0619999999999994</v>
      </c>
      <c r="E66" s="2126">
        <v>3.4260000000000002</v>
      </c>
      <c r="F66" s="2126">
        <v>3.4260000000000002</v>
      </c>
      <c r="G66" s="2126">
        <v>8.0619999999999994</v>
      </c>
      <c r="H66" s="2127">
        <v>0</v>
      </c>
      <c r="I66" s="2127">
        <v>0.42495658645497403</v>
      </c>
      <c r="J66" s="2135">
        <v>0.42495658645497403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8.69</v>
      </c>
      <c r="W66" s="1742">
        <v>1.8535000000000001</v>
      </c>
      <c r="X66" s="1742">
        <v>1.8535000000000001</v>
      </c>
      <c r="Y66" s="1742">
        <v>8.69</v>
      </c>
      <c r="Z66" s="2129">
        <v>0</v>
      </c>
      <c r="AA66" s="2129">
        <v>0.22755663621954539</v>
      </c>
      <c r="AB66" s="2150">
        <v>0.22755663621954539</v>
      </c>
    </row>
    <row r="67" spans="2:28">
      <c r="B67" s="89">
        <v>83</v>
      </c>
      <c r="C67" s="1"/>
      <c r="D67" s="1">
        <v>7.5960000000000001</v>
      </c>
      <c r="E67" s="1">
        <v>3.3330000000000002</v>
      </c>
      <c r="F67" s="1">
        <v>3.3330000000000002</v>
      </c>
      <c r="G67" s="1">
        <v>7.5960000000000001</v>
      </c>
      <c r="H67" s="747">
        <v>0</v>
      </c>
      <c r="I67" s="747">
        <v>0.43878357030015802</v>
      </c>
      <c r="J67" s="2136">
        <v>0.43878357030015802</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8.192499999999999</v>
      </c>
      <c r="W67" s="746">
        <v>1.7955000000000001</v>
      </c>
      <c r="X67" s="746">
        <v>1.7955000000000001</v>
      </c>
      <c r="Y67" s="746">
        <v>8.192499999999999</v>
      </c>
      <c r="Z67" s="2124">
        <v>0</v>
      </c>
      <c r="AA67" s="2124">
        <v>0.23406922285630269</v>
      </c>
      <c r="AB67" s="2151">
        <v>0.23406922285630269</v>
      </c>
    </row>
    <row r="68" spans="2:28">
      <c r="B68" s="2134">
        <v>84</v>
      </c>
      <c r="C68" s="2126"/>
      <c r="D68" s="2126">
        <v>7.1429999999999998</v>
      </c>
      <c r="E68" s="2126">
        <v>3.2280000000000002</v>
      </c>
      <c r="F68" s="2126">
        <v>3.2280000000000002</v>
      </c>
      <c r="G68" s="2126">
        <v>7.1429999999999998</v>
      </c>
      <c r="H68" s="2127">
        <v>0</v>
      </c>
      <c r="I68" s="2127">
        <v>0.45191096178076445</v>
      </c>
      <c r="J68" s="2135">
        <v>0.45191096178076445</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7.7070000000000007</v>
      </c>
      <c r="W68" s="1742">
        <v>1.7315</v>
      </c>
      <c r="X68" s="1742">
        <v>1.7315</v>
      </c>
      <c r="Y68" s="1742">
        <v>7.7070000000000007</v>
      </c>
      <c r="Z68" s="2129">
        <v>0</v>
      </c>
      <c r="AA68" s="2129">
        <v>0.24016174373647098</v>
      </c>
      <c r="AB68" s="2150">
        <v>0.24016174373647098</v>
      </c>
    </row>
    <row r="69" spans="2:28">
      <c r="B69" s="89">
        <v>85</v>
      </c>
      <c r="C69" s="1"/>
      <c r="D69" s="1">
        <v>6.7080000000000002</v>
      </c>
      <c r="E69" s="1">
        <v>3.1139999999999999</v>
      </c>
      <c r="F69" s="1">
        <v>3.1139999999999999</v>
      </c>
      <c r="G69" s="1">
        <v>6.7080000000000002</v>
      </c>
      <c r="H69" s="747">
        <v>0</v>
      </c>
      <c r="I69" s="747">
        <v>0.46422182468694095</v>
      </c>
      <c r="J69" s="2136">
        <v>0.46422182468694095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7.2379999999999995</v>
      </c>
      <c r="W69" s="746">
        <v>1.6619999999999999</v>
      </c>
      <c r="X69" s="746">
        <v>1.6619999999999999</v>
      </c>
      <c r="Y69" s="746">
        <v>7.2379999999999995</v>
      </c>
      <c r="Z69" s="2124">
        <v>0</v>
      </c>
      <c r="AA69" s="2124">
        <v>0.24562790513440766</v>
      </c>
      <c r="AB69" s="2151">
        <v>0.24562790513440766</v>
      </c>
    </row>
    <row r="70" spans="2:28">
      <c r="B70" s="2134">
        <v>86</v>
      </c>
      <c r="C70" s="2126"/>
      <c r="D70" s="2126">
        <v>6.2949999999999999</v>
      </c>
      <c r="E70" s="2126">
        <v>2.992</v>
      </c>
      <c r="F70" s="2126">
        <v>2.992</v>
      </c>
      <c r="G70" s="2126">
        <v>6.2949999999999999</v>
      </c>
      <c r="H70" s="2127">
        <v>0</v>
      </c>
      <c r="I70" s="2127">
        <v>0.47529785544082603</v>
      </c>
      <c r="J70" s="2135">
        <v>0.47529785544082603</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6.79</v>
      </c>
      <c r="W70" s="1742">
        <v>1.589</v>
      </c>
      <c r="X70" s="1742">
        <v>1.589</v>
      </c>
      <c r="Y70" s="1742">
        <v>6.79</v>
      </c>
      <c r="Z70" s="2129">
        <v>0</v>
      </c>
      <c r="AA70" s="2129">
        <v>0.25041488516722155</v>
      </c>
      <c r="AB70" s="2150">
        <v>0.25041488516722155</v>
      </c>
    </row>
    <row r="71" spans="2:28">
      <c r="B71" s="89">
        <v>87</v>
      </c>
      <c r="C71" s="1"/>
      <c r="D71" s="1">
        <v>5.9089999999999998</v>
      </c>
      <c r="E71" s="1">
        <v>2.8650000000000002</v>
      </c>
      <c r="F71" s="1">
        <v>2.8650000000000002</v>
      </c>
      <c r="G71" s="1">
        <v>5.9089999999999998</v>
      </c>
      <c r="H71" s="747">
        <v>0</v>
      </c>
      <c r="I71" s="747">
        <v>0.4848536131325098</v>
      </c>
      <c r="J71" s="2136">
        <v>0.4848536131325098</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6.3674999999999997</v>
      </c>
      <c r="W71" s="746">
        <v>1.5135000000000001</v>
      </c>
      <c r="X71" s="746">
        <v>1.5135000000000001</v>
      </c>
      <c r="Y71" s="746">
        <v>6.3674999999999997</v>
      </c>
      <c r="Z71" s="2124">
        <v>0</v>
      </c>
      <c r="AA71" s="2124">
        <v>0.25429319976871606</v>
      </c>
      <c r="AB71" s="2151">
        <v>0.25429319976871606</v>
      </c>
    </row>
    <row r="72" spans="2:28">
      <c r="B72" s="2134">
        <v>88</v>
      </c>
      <c r="C72" s="2126"/>
      <c r="D72" s="2126">
        <v>5.5570000000000004</v>
      </c>
      <c r="E72" s="2126">
        <v>2.7050000000000001</v>
      </c>
      <c r="F72" s="2126">
        <v>2.7050000000000001</v>
      </c>
      <c r="G72" s="2126">
        <v>5.5570000000000004</v>
      </c>
      <c r="H72" s="2127">
        <v>0</v>
      </c>
      <c r="I72" s="2127">
        <v>0.48677343890588443</v>
      </c>
      <c r="J72" s="2135">
        <v>0.48677343890588443</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5.9775</v>
      </c>
      <c r="W72" s="1742">
        <v>1.4225000000000001</v>
      </c>
      <c r="X72" s="1742">
        <v>1.4225000000000001</v>
      </c>
      <c r="Y72" s="1742">
        <v>5.9775</v>
      </c>
      <c r="Z72" s="2129">
        <v>0</v>
      </c>
      <c r="AA72" s="2129">
        <v>0.25432763849014134</v>
      </c>
      <c r="AB72" s="2150">
        <v>0.25432763849014134</v>
      </c>
    </row>
    <row r="73" spans="2:28">
      <c r="B73" s="89">
        <v>89</v>
      </c>
      <c r="C73" s="1"/>
      <c r="D73" s="1">
        <v>5.2469999999999999</v>
      </c>
      <c r="E73" s="1">
        <v>2.5379999999999998</v>
      </c>
      <c r="F73" s="1">
        <v>2.5379999999999998</v>
      </c>
      <c r="G73" s="1">
        <v>5.2469999999999999</v>
      </c>
      <c r="H73" s="747">
        <v>0</v>
      </c>
      <c r="I73" s="747">
        <v>0.483704974271012</v>
      </c>
      <c r="J73" s="2136">
        <v>0.483704974271012</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5.6269999999999998</v>
      </c>
      <c r="W73" s="746">
        <v>1.3274999999999999</v>
      </c>
      <c r="X73" s="746">
        <v>1.3274999999999999</v>
      </c>
      <c r="Y73" s="746">
        <v>5.6269999999999998</v>
      </c>
      <c r="Z73" s="2124">
        <v>0</v>
      </c>
      <c r="AA73" s="2124">
        <v>0.25159112539087475</v>
      </c>
      <c r="AB73" s="2151">
        <v>0.25159112539087475</v>
      </c>
    </row>
    <row r="74" spans="2:28">
      <c r="B74" s="2134">
        <v>90</v>
      </c>
      <c r="C74" s="2126"/>
      <c r="D74" s="2126">
        <v>4.9669999999999996</v>
      </c>
      <c r="E74" s="2126">
        <v>2.3759999999999999</v>
      </c>
      <c r="F74" s="2126">
        <v>2.3759999999999999</v>
      </c>
      <c r="G74" s="2126">
        <v>4.9669999999999996</v>
      </c>
      <c r="H74" s="2127">
        <v>0</v>
      </c>
      <c r="I74" s="2127">
        <v>0.47835715723776928</v>
      </c>
      <c r="J74" s="2135">
        <v>0.47835715723776928</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5.3109999999999999</v>
      </c>
      <c r="W74" s="1742">
        <v>1.2364999999999999</v>
      </c>
      <c r="X74" s="1742">
        <v>1.2364999999999999</v>
      </c>
      <c r="Y74" s="1742">
        <v>5.3109999999999999</v>
      </c>
      <c r="Z74" s="2129">
        <v>0</v>
      </c>
      <c r="AA74" s="2129">
        <v>0.24775505960915872</v>
      </c>
      <c r="AB74" s="2150">
        <v>0.24775505960915872</v>
      </c>
    </row>
    <row r="75" spans="2:28">
      <c r="B75" s="89">
        <v>91</v>
      </c>
      <c r="C75" s="1"/>
      <c r="D75" s="1">
        <v>4.7060000000000004</v>
      </c>
      <c r="E75" s="1">
        <v>2.1920000000000002</v>
      </c>
      <c r="F75" s="1">
        <v>2.1920000000000002</v>
      </c>
      <c r="G75" s="1">
        <v>4.7060000000000004</v>
      </c>
      <c r="H75" s="747">
        <v>0</v>
      </c>
      <c r="I75" s="747">
        <v>0.46578835529111773</v>
      </c>
      <c r="J75" s="2136">
        <v>0.46578835529111773</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5.0190000000000001</v>
      </c>
      <c r="W75" s="746">
        <v>1.1360000000000001</v>
      </c>
      <c r="X75" s="746">
        <v>1.1360000000000001</v>
      </c>
      <c r="Y75" s="746">
        <v>5.0190000000000001</v>
      </c>
      <c r="Z75" s="2124">
        <v>0</v>
      </c>
      <c r="AA75" s="2124">
        <v>0.24039605311442608</v>
      </c>
      <c r="AB75" s="2151">
        <v>0.24039605311442608</v>
      </c>
    </row>
    <row r="76" spans="2:28">
      <c r="B76" s="2134">
        <v>92</v>
      </c>
      <c r="C76" s="2126"/>
      <c r="D76" s="2126">
        <v>4.4630000000000001</v>
      </c>
      <c r="E76" s="2126">
        <v>2.024</v>
      </c>
      <c r="F76" s="2126">
        <v>2.024</v>
      </c>
      <c r="G76" s="2126">
        <v>4.4630000000000001</v>
      </c>
      <c r="H76" s="2127">
        <v>0</v>
      </c>
      <c r="I76" s="2127">
        <v>0.45350660990365227</v>
      </c>
      <c r="J76" s="2135">
        <v>0.45350660990365227</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4.7460000000000004</v>
      </c>
      <c r="W76" s="1742">
        <v>1.0445</v>
      </c>
      <c r="X76" s="1742">
        <v>1.0445</v>
      </c>
      <c r="Y76" s="1742">
        <v>4.7460000000000004</v>
      </c>
      <c r="Z76" s="2129">
        <v>0</v>
      </c>
      <c r="AA76" s="2129">
        <v>0.23321582235091143</v>
      </c>
      <c r="AB76" s="2150">
        <v>0.23321582235091143</v>
      </c>
    </row>
    <row r="77" spans="2:28">
      <c r="B77" s="89">
        <v>93</v>
      </c>
      <c r="C77" s="1"/>
      <c r="D77" s="1">
        <v>4.2380000000000004</v>
      </c>
      <c r="E77" s="1">
        <v>1.839</v>
      </c>
      <c r="F77" s="1">
        <v>1.839</v>
      </c>
      <c r="G77" s="1">
        <v>4.2380000000000004</v>
      </c>
      <c r="H77" s="747">
        <v>0</v>
      </c>
      <c r="I77" s="747">
        <v>0.43393109957527132</v>
      </c>
      <c r="J77" s="2136">
        <v>0.43393109957527132</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4.4924999999999997</v>
      </c>
      <c r="W77" s="746">
        <v>0.94599999999999995</v>
      </c>
      <c r="X77" s="746">
        <v>0.94599999999999995</v>
      </c>
      <c r="Y77" s="746">
        <v>4.4924999999999997</v>
      </c>
      <c r="Z77" s="2124">
        <v>0</v>
      </c>
      <c r="AA77" s="2124">
        <v>0.22254802292856676</v>
      </c>
      <c r="AB77" s="2151">
        <v>0.22254802292856676</v>
      </c>
    </row>
    <row r="78" spans="2:28">
      <c r="B78" s="2134">
        <v>94</v>
      </c>
      <c r="C78" s="2126"/>
      <c r="D78" s="2126">
        <v>4.0309999999999997</v>
      </c>
      <c r="E78" s="2126">
        <v>1.6739999999999999</v>
      </c>
      <c r="F78" s="2126">
        <v>1.6739999999999999</v>
      </c>
      <c r="G78" s="2126">
        <v>4.0309999999999997</v>
      </c>
      <c r="H78" s="2127">
        <v>0</v>
      </c>
      <c r="I78" s="2127">
        <v>0.41528156784916898</v>
      </c>
      <c r="J78" s="2135">
        <v>0.41528156784916898</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4.258</v>
      </c>
      <c r="W78" s="1742">
        <v>0.85799999999999998</v>
      </c>
      <c r="X78" s="1742">
        <v>0.85799999999999998</v>
      </c>
      <c r="Y78" s="1742">
        <v>4.258</v>
      </c>
      <c r="Z78" s="2129">
        <v>0</v>
      </c>
      <c r="AA78" s="2129">
        <v>0.21232305817207614</v>
      </c>
      <c r="AB78" s="2150">
        <v>0.21232305817207614</v>
      </c>
    </row>
    <row r="79" spans="2:28">
      <c r="B79" s="89">
        <v>95</v>
      </c>
      <c r="C79" s="1"/>
      <c r="D79" s="1">
        <v>3.8420000000000001</v>
      </c>
      <c r="E79" s="1">
        <v>1.528</v>
      </c>
      <c r="F79" s="1">
        <v>1.528</v>
      </c>
      <c r="G79" s="1">
        <v>3.8420000000000001</v>
      </c>
      <c r="H79" s="747">
        <v>0</v>
      </c>
      <c r="I79" s="747">
        <v>0.39770952628839146</v>
      </c>
      <c r="J79" s="2136">
        <v>0.39770952628839146</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4.0434999999999999</v>
      </c>
      <c r="W79" s="746">
        <v>0.78100000000000003</v>
      </c>
      <c r="X79" s="746">
        <v>0.78100000000000003</v>
      </c>
      <c r="Y79" s="746">
        <v>4.0434999999999999</v>
      </c>
      <c r="Z79" s="2124">
        <v>0</v>
      </c>
      <c r="AA79" s="2124">
        <v>0.20285947456940184</v>
      </c>
      <c r="AB79" s="2151">
        <v>0.20285947456940184</v>
      </c>
    </row>
    <row r="80" spans="2:28">
      <c r="B80" s="2134">
        <v>96</v>
      </c>
      <c r="C80" s="2126"/>
      <c r="D80" s="2126">
        <v>3.67</v>
      </c>
      <c r="E80" s="2126">
        <v>1.3640000000000001</v>
      </c>
      <c r="F80" s="2126">
        <v>1.3640000000000001</v>
      </c>
      <c r="G80" s="2126">
        <v>3.67</v>
      </c>
      <c r="H80" s="2127">
        <v>0</v>
      </c>
      <c r="I80" s="2127">
        <v>0.3716621253405995</v>
      </c>
      <c r="J80" s="2135">
        <v>0.3716621253405995</v>
      </c>
      <c r="K80" s="2134">
        <v>96</v>
      </c>
      <c r="L80" s="2126">
        <v>0</v>
      </c>
      <c r="M80" s="2126">
        <v>4.024</v>
      </c>
      <c r="N80" s="2128">
        <v>2.7E-2</v>
      </c>
      <c r="O80" s="2126">
        <v>2.7E-2</v>
      </c>
      <c r="P80" s="2126">
        <v>4.024</v>
      </c>
      <c r="Q80" s="2127">
        <v>0</v>
      </c>
      <c r="R80" s="2127">
        <v>6.7097415506958248E-3</v>
      </c>
      <c r="S80" s="2135">
        <v>6.7097415506958248E-3</v>
      </c>
      <c r="T80" s="2134">
        <v>96</v>
      </c>
      <c r="U80" s="1742">
        <v>0</v>
      </c>
      <c r="V80" s="1742">
        <v>3.847</v>
      </c>
      <c r="W80" s="1742">
        <v>0.69550000000000001</v>
      </c>
      <c r="X80" s="1742">
        <v>0.69550000000000001</v>
      </c>
      <c r="Y80" s="1742">
        <v>3.847</v>
      </c>
      <c r="Z80" s="2129">
        <v>0</v>
      </c>
      <c r="AA80" s="2129">
        <v>0.18918593344564766</v>
      </c>
      <c r="AB80" s="2150">
        <v>0.18918593344564766</v>
      </c>
    </row>
    <row r="81" spans="2:28">
      <c r="B81" s="89">
        <v>97</v>
      </c>
      <c r="C81" s="1"/>
      <c r="D81" s="1">
        <v>3.5129999999999999</v>
      </c>
      <c r="E81" s="1">
        <v>1.2110000000000001</v>
      </c>
      <c r="F81" s="1">
        <v>1.2110000000000001</v>
      </c>
      <c r="G81" s="1">
        <v>3.5129999999999999</v>
      </c>
      <c r="H81" s="747">
        <v>0</v>
      </c>
      <c r="I81" s="747">
        <v>0.34471961286649588</v>
      </c>
      <c r="J81" s="2136">
        <v>0.34471961286649588</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3.6684999999999999</v>
      </c>
      <c r="W81" s="746">
        <v>0.61599999999999999</v>
      </c>
      <c r="X81" s="746">
        <v>0.61599999999999999</v>
      </c>
      <c r="Y81" s="746">
        <v>3.6684999999999999</v>
      </c>
      <c r="Z81" s="2124">
        <v>0</v>
      </c>
      <c r="AA81" s="2124">
        <v>0.17510562233282953</v>
      </c>
      <c r="AB81" s="2151">
        <v>0.17510562233282953</v>
      </c>
    </row>
    <row r="82" spans="2:28">
      <c r="B82" s="2134">
        <v>98</v>
      </c>
      <c r="C82" s="2126"/>
      <c r="D82" s="2126">
        <v>3.371</v>
      </c>
      <c r="E82" s="2126">
        <v>1.038</v>
      </c>
      <c r="F82" s="2126">
        <v>1.038</v>
      </c>
      <c r="G82" s="2126">
        <v>3.371</v>
      </c>
      <c r="H82" s="2127">
        <v>0</v>
      </c>
      <c r="I82" s="2127">
        <v>0.30792049836843666</v>
      </c>
      <c r="J82" s="2135">
        <v>0.30792049836843666</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3.5069999999999997</v>
      </c>
      <c r="W82" s="1742">
        <v>0.52749999999999997</v>
      </c>
      <c r="X82" s="1742">
        <v>0.52749999999999997</v>
      </c>
      <c r="Y82" s="1742">
        <v>3.5069999999999997</v>
      </c>
      <c r="Z82" s="2129">
        <v>0</v>
      </c>
      <c r="AA82" s="2129">
        <v>0.15629349101787191</v>
      </c>
      <c r="AB82" s="2150">
        <v>0.15629349101787191</v>
      </c>
    </row>
    <row r="83" spans="2:28">
      <c r="B83" s="89">
        <v>99</v>
      </c>
      <c r="C83" s="1"/>
      <c r="D83" s="1">
        <v>3.2429999999999999</v>
      </c>
      <c r="E83" s="1">
        <v>0.84499999999999997</v>
      </c>
      <c r="F83" s="1">
        <v>0.84499999999999997</v>
      </c>
      <c r="G83" s="1">
        <v>3.2429999999999999</v>
      </c>
      <c r="H83" s="747">
        <v>0</v>
      </c>
      <c r="I83" s="747">
        <v>0.26056120875732347</v>
      </c>
      <c r="J83" s="2136">
        <v>0.26056120875732347</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3.3614999999999999</v>
      </c>
      <c r="W83" s="746">
        <v>0.42899999999999999</v>
      </c>
      <c r="X83" s="746">
        <v>0.42899999999999999</v>
      </c>
      <c r="Y83" s="746">
        <v>3.3614999999999999</v>
      </c>
      <c r="Z83" s="2124">
        <v>0</v>
      </c>
      <c r="AA83" s="2124">
        <v>0.13214842047061576</v>
      </c>
      <c r="AB83" s="2151">
        <v>0.13214842047061576</v>
      </c>
    </row>
    <row r="84" spans="2:28" ht="15" thickBot="1">
      <c r="B84" s="2137">
        <v>100</v>
      </c>
      <c r="C84" s="2138"/>
      <c r="D84" s="2138">
        <v>3.1269999999999998</v>
      </c>
      <c r="E84" s="2138">
        <v>0.67</v>
      </c>
      <c r="F84" s="2138">
        <v>0.67</v>
      </c>
      <c r="G84" s="2138">
        <v>3.1269999999999998</v>
      </c>
      <c r="H84" s="2139">
        <v>0</v>
      </c>
      <c r="I84" s="2139">
        <v>0.21426287176207229</v>
      </c>
      <c r="J84" s="2140">
        <v>0.21426287176207229</v>
      </c>
      <c r="K84" s="2137">
        <v>100</v>
      </c>
      <c r="L84" s="2138">
        <v>0</v>
      </c>
      <c r="M84" s="2138">
        <v>3.335</v>
      </c>
      <c r="N84" s="2145">
        <v>0.01</v>
      </c>
      <c r="O84" s="2138">
        <v>0.01</v>
      </c>
      <c r="P84" s="2138">
        <v>3.335</v>
      </c>
      <c r="Q84" s="2139">
        <v>0</v>
      </c>
      <c r="R84" s="2139">
        <v>2.9985007496251873E-3</v>
      </c>
      <c r="S84" s="2140">
        <v>2.9985007496251873E-3</v>
      </c>
      <c r="T84" s="2137">
        <v>100</v>
      </c>
      <c r="U84" s="2152">
        <v>0</v>
      </c>
      <c r="V84" s="2152">
        <v>3.2309999999999999</v>
      </c>
      <c r="W84" s="2152">
        <v>0.34</v>
      </c>
      <c r="X84" s="2152">
        <v>0.34</v>
      </c>
      <c r="Y84" s="2152">
        <v>3.2309999999999999</v>
      </c>
      <c r="Z84" s="2153">
        <v>0</v>
      </c>
      <c r="AA84" s="2153">
        <v>0.10863068625584874</v>
      </c>
      <c r="AB84" s="2154">
        <v>0.10863068625584874</v>
      </c>
    </row>
  </sheetData>
  <mergeCells count="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H69" activePane="bottomRight" state="frozen"/>
      <selection pane="topRight" activeCell="B1" sqref="B1"/>
      <selection pane="bottomLeft" activeCell="A2" sqref="A2"/>
      <selection pane="bottomRight" activeCell="AY77" sqref="AY77"/>
    </sheetView>
  </sheetViews>
  <sheetFormatPr baseColWidth="10" defaultColWidth="11" defaultRowHeight="14.25"/>
  <cols>
    <col min="1" max="1" width="4.625" style="25" customWidth="1"/>
    <col min="2" max="71" width="6.125" customWidth="1"/>
    <col min="72" max="72" width="6.125" style="34" customWidth="1"/>
    <col min="73" max="119" width="6.125" customWidth="1"/>
    <col min="120" max="122" width="5.5" customWidth="1"/>
  </cols>
  <sheetData>
    <row r="1" spans="1:122" s="25" customFormat="1">
      <c r="A1" s="910" t="s">
        <v>929</v>
      </c>
      <c r="B1" s="911">
        <v>1900</v>
      </c>
      <c r="C1" s="911">
        <v>1901</v>
      </c>
      <c r="D1" s="911">
        <v>1902</v>
      </c>
      <c r="E1" s="911">
        <v>1903</v>
      </c>
      <c r="F1" s="911">
        <v>1904</v>
      </c>
      <c r="G1" s="911">
        <v>1905</v>
      </c>
      <c r="H1" s="911">
        <v>1906</v>
      </c>
      <c r="I1" s="911">
        <v>1907</v>
      </c>
      <c r="J1" s="911">
        <v>1908</v>
      </c>
      <c r="K1" s="911">
        <v>1909</v>
      </c>
      <c r="L1" s="911">
        <v>1910</v>
      </c>
      <c r="M1" s="911">
        <v>1911</v>
      </c>
      <c r="N1" s="911">
        <v>1912</v>
      </c>
      <c r="O1" s="911">
        <v>1913</v>
      </c>
      <c r="P1" s="911">
        <v>1914</v>
      </c>
      <c r="Q1" s="911">
        <v>1915</v>
      </c>
      <c r="R1" s="911">
        <v>1916</v>
      </c>
      <c r="S1" s="911">
        <v>1917</v>
      </c>
      <c r="T1" s="911">
        <v>1918</v>
      </c>
      <c r="U1" s="911">
        <v>1919</v>
      </c>
      <c r="V1" s="911">
        <v>1920</v>
      </c>
      <c r="W1" s="911">
        <v>1921</v>
      </c>
      <c r="X1" s="911">
        <v>1922</v>
      </c>
      <c r="Y1" s="911">
        <v>1923</v>
      </c>
      <c r="Z1" s="911">
        <v>1924</v>
      </c>
      <c r="AA1" s="911">
        <v>1925</v>
      </c>
      <c r="AB1" s="911">
        <v>1926</v>
      </c>
      <c r="AC1" s="911">
        <v>1927</v>
      </c>
      <c r="AD1" s="911">
        <v>1928</v>
      </c>
      <c r="AE1" s="911">
        <v>1929</v>
      </c>
      <c r="AF1" s="911">
        <v>1930</v>
      </c>
      <c r="AG1" s="911">
        <v>1931</v>
      </c>
      <c r="AH1" s="911">
        <v>1932</v>
      </c>
      <c r="AI1" s="911">
        <v>1933</v>
      </c>
      <c r="AJ1" s="911">
        <v>1934</v>
      </c>
      <c r="AK1" s="911">
        <v>1935</v>
      </c>
      <c r="AL1" s="911">
        <v>1936</v>
      </c>
      <c r="AM1" s="911">
        <v>1937</v>
      </c>
      <c r="AN1" s="911">
        <v>1938</v>
      </c>
      <c r="AO1" s="911">
        <v>1939</v>
      </c>
      <c r="AP1" s="911">
        <v>1940</v>
      </c>
      <c r="AQ1" s="911">
        <v>1941</v>
      </c>
      <c r="AR1" s="911">
        <v>1942</v>
      </c>
      <c r="AS1" s="911">
        <v>1943</v>
      </c>
      <c r="AT1" s="911">
        <v>1944</v>
      </c>
      <c r="AU1" s="911">
        <v>1945</v>
      </c>
      <c r="AV1" s="911">
        <v>1946</v>
      </c>
      <c r="AW1" s="911">
        <v>1947</v>
      </c>
      <c r="AX1" s="911">
        <v>1948</v>
      </c>
      <c r="AY1" s="911">
        <v>1949</v>
      </c>
      <c r="AZ1" s="911">
        <v>1950</v>
      </c>
      <c r="BA1" s="911">
        <v>1951</v>
      </c>
      <c r="BB1" s="911">
        <v>1952</v>
      </c>
      <c r="BC1" s="911">
        <v>1953</v>
      </c>
      <c r="BD1" s="911">
        <v>1954</v>
      </c>
      <c r="BE1" s="911">
        <v>1955</v>
      </c>
      <c r="BF1" s="911">
        <v>1956</v>
      </c>
      <c r="BG1" s="911">
        <v>1957</v>
      </c>
      <c r="BH1" s="911">
        <v>1958</v>
      </c>
      <c r="BI1" s="911">
        <v>1959</v>
      </c>
      <c r="BJ1" s="911">
        <v>1960</v>
      </c>
      <c r="BK1" s="911">
        <v>1961</v>
      </c>
      <c r="BL1" s="911">
        <v>1962</v>
      </c>
      <c r="BM1" s="911">
        <v>1963</v>
      </c>
      <c r="BN1" s="911">
        <v>1964</v>
      </c>
      <c r="BO1" s="911">
        <v>1965</v>
      </c>
      <c r="BP1" s="911">
        <v>1966</v>
      </c>
      <c r="BQ1" s="911">
        <v>1967</v>
      </c>
      <c r="BR1" s="911">
        <v>1968</v>
      </c>
      <c r="BS1" s="911">
        <v>1969</v>
      </c>
      <c r="BT1" s="911">
        <v>1970</v>
      </c>
      <c r="BU1" s="911">
        <v>1971</v>
      </c>
      <c r="BV1" s="911">
        <v>1972</v>
      </c>
      <c r="BW1" s="911">
        <v>1973</v>
      </c>
      <c r="BX1" s="911">
        <v>1974</v>
      </c>
      <c r="BY1" s="911">
        <v>1975</v>
      </c>
      <c r="BZ1" s="911">
        <v>1976</v>
      </c>
      <c r="CA1" s="911">
        <v>1977</v>
      </c>
      <c r="CB1" s="911">
        <v>1978</v>
      </c>
      <c r="CC1" s="911">
        <v>1979</v>
      </c>
      <c r="CD1" s="911">
        <v>1980</v>
      </c>
      <c r="CE1" s="911">
        <v>1981</v>
      </c>
      <c r="CF1" s="911">
        <v>1982</v>
      </c>
      <c r="CG1" s="911">
        <v>1983</v>
      </c>
      <c r="CH1" s="911">
        <v>1984</v>
      </c>
      <c r="CI1" s="911">
        <v>1985</v>
      </c>
      <c r="CJ1" s="911">
        <v>1986</v>
      </c>
      <c r="CK1" s="911">
        <v>1987</v>
      </c>
      <c r="CL1" s="911">
        <v>1988</v>
      </c>
      <c r="CM1" s="911">
        <v>1989</v>
      </c>
      <c r="CN1" s="911">
        <v>1990</v>
      </c>
      <c r="CO1" s="911">
        <v>1991</v>
      </c>
      <c r="CP1" s="911">
        <v>1992</v>
      </c>
      <c r="CQ1" s="911">
        <v>1993</v>
      </c>
      <c r="CR1" s="911">
        <v>1994</v>
      </c>
      <c r="CS1" s="911">
        <v>1995</v>
      </c>
      <c r="CT1" s="911">
        <v>1996</v>
      </c>
      <c r="CU1" s="911">
        <v>1997</v>
      </c>
      <c r="CV1" s="911">
        <v>1998</v>
      </c>
      <c r="CW1" s="911">
        <v>1999</v>
      </c>
      <c r="CX1" s="911">
        <v>2000</v>
      </c>
      <c r="CY1" s="911">
        <v>2001</v>
      </c>
      <c r="CZ1" s="911">
        <v>2002</v>
      </c>
      <c r="DA1" s="911">
        <v>2003</v>
      </c>
      <c r="DB1" s="911">
        <v>2004</v>
      </c>
      <c r="DC1" s="911">
        <v>2005</v>
      </c>
      <c r="DD1" s="911">
        <v>2006</v>
      </c>
      <c r="DE1" s="911">
        <v>2007</v>
      </c>
      <c r="DF1" s="911">
        <v>2008</v>
      </c>
      <c r="DG1" s="911">
        <v>2009</v>
      </c>
      <c r="DH1" s="911">
        <v>2010</v>
      </c>
      <c r="DI1" s="911">
        <v>2011</v>
      </c>
      <c r="DJ1" s="911">
        <v>2012</v>
      </c>
      <c r="DK1" s="911">
        <v>2013</v>
      </c>
      <c r="DL1" s="911">
        <v>2014</v>
      </c>
      <c r="DM1" s="911">
        <v>2015</v>
      </c>
      <c r="DN1" s="911">
        <v>2016</v>
      </c>
      <c r="DO1" s="911">
        <v>2017</v>
      </c>
      <c r="DP1" s="911">
        <v>2018</v>
      </c>
      <c r="DQ1" s="911">
        <v>2019</v>
      </c>
      <c r="DR1" s="911">
        <v>2020</v>
      </c>
    </row>
    <row r="2" spans="1:122">
      <c r="A2" s="912">
        <v>0</v>
      </c>
      <c r="B2" s="92"/>
      <c r="C2" s="92"/>
      <c r="D2" s="92"/>
      <c r="E2" s="92"/>
      <c r="F2" s="92"/>
      <c r="G2" s="92"/>
      <c r="H2" s="92"/>
      <c r="I2" s="92"/>
      <c r="J2" s="92"/>
      <c r="K2" s="92"/>
      <c r="L2" s="92"/>
      <c r="M2" s="92"/>
      <c r="N2" s="92"/>
      <c r="O2" s="92"/>
      <c r="P2" s="92"/>
      <c r="Q2" s="92"/>
      <c r="R2" s="92"/>
      <c r="S2" s="92"/>
      <c r="T2" s="92"/>
      <c r="U2" s="92"/>
      <c r="V2" s="745"/>
      <c r="W2" s="745">
        <v>57.84</v>
      </c>
      <c r="X2" s="745">
        <v>58.59</v>
      </c>
      <c r="Y2" s="745">
        <v>58.73</v>
      </c>
      <c r="Z2" s="745">
        <v>60.62</v>
      </c>
      <c r="AA2" s="745">
        <v>61.01</v>
      </c>
      <c r="AB2" s="745">
        <v>61.62</v>
      </c>
      <c r="AC2" s="745">
        <v>62.22</v>
      </c>
      <c r="AD2" s="745">
        <v>62.92</v>
      </c>
      <c r="AE2" s="745">
        <v>62.92</v>
      </c>
      <c r="AF2" s="745">
        <v>64.08</v>
      </c>
      <c r="AG2" s="745">
        <v>64.59</v>
      </c>
      <c r="AH2" s="745">
        <v>65.16</v>
      </c>
      <c r="AI2" s="745">
        <v>65.56</v>
      </c>
      <c r="AJ2" s="745">
        <v>66.77</v>
      </c>
      <c r="AK2" s="745">
        <v>66.94</v>
      </c>
      <c r="AL2" s="745">
        <v>67.459999999999994</v>
      </c>
      <c r="AM2" s="745">
        <v>67.97</v>
      </c>
      <c r="AN2" s="745">
        <v>68.510000000000005</v>
      </c>
      <c r="AO2" s="745">
        <v>68.59</v>
      </c>
      <c r="AP2" s="745">
        <v>68.849999999999994</v>
      </c>
      <c r="AQ2" s="745">
        <v>69.06</v>
      </c>
      <c r="AR2" s="745">
        <v>69.349999999999994</v>
      </c>
      <c r="AS2" s="745">
        <v>68.91</v>
      </c>
      <c r="AT2" s="745">
        <v>68.36</v>
      </c>
      <c r="AU2" s="745">
        <v>67.33</v>
      </c>
      <c r="AV2" s="745">
        <v>67.84</v>
      </c>
      <c r="AW2" s="745">
        <v>68.400000000000006</v>
      </c>
      <c r="AX2" s="745">
        <v>70.38</v>
      </c>
      <c r="AY2" s="745">
        <v>72.03</v>
      </c>
      <c r="AZ2" s="745">
        <v>72.09</v>
      </c>
      <c r="BA2" s="745">
        <v>72.2</v>
      </c>
      <c r="BB2" s="745">
        <v>72.930000000000007</v>
      </c>
      <c r="BC2" s="745">
        <v>73.23</v>
      </c>
      <c r="BD2" s="745">
        <v>73.77</v>
      </c>
      <c r="BE2" s="745">
        <v>74.010000000000005</v>
      </c>
      <c r="BF2" s="745">
        <v>74.52</v>
      </c>
      <c r="BG2" s="745">
        <v>74.7</v>
      </c>
      <c r="BH2" s="745">
        <v>75.25</v>
      </c>
      <c r="BI2" s="745">
        <v>75.64</v>
      </c>
      <c r="BJ2" s="745">
        <v>75.98</v>
      </c>
      <c r="BK2" s="745">
        <v>76.47</v>
      </c>
      <c r="BL2" s="745">
        <v>76.989999999999995</v>
      </c>
      <c r="BM2" s="745">
        <v>77.489999999999995</v>
      </c>
      <c r="BN2" s="745">
        <v>77.95</v>
      </c>
      <c r="BO2" s="745">
        <v>78.37</v>
      </c>
      <c r="BP2" s="745">
        <v>78.66</v>
      </c>
      <c r="BQ2" s="745">
        <v>78.959999999999994</v>
      </c>
      <c r="BR2" s="745">
        <v>79.239999999999995</v>
      </c>
      <c r="BS2" s="745">
        <v>79.400000000000006</v>
      </c>
      <c r="BT2" s="857">
        <v>79.67</v>
      </c>
      <c r="BU2" s="745">
        <v>79.89</v>
      </c>
      <c r="BV2" s="745">
        <v>80.17</v>
      </c>
      <c r="BW2" s="745">
        <v>80.39</v>
      </c>
      <c r="BX2" s="745">
        <v>80.7</v>
      </c>
      <c r="BY2" s="745">
        <v>81.03</v>
      </c>
      <c r="BZ2" s="745">
        <v>81.459999999999994</v>
      </c>
      <c r="CA2" s="745">
        <v>81.78</v>
      </c>
      <c r="CB2" s="745">
        <v>82</v>
      </c>
      <c r="CC2" s="745">
        <v>82.33</v>
      </c>
      <c r="CD2" s="745">
        <v>82.61</v>
      </c>
      <c r="CE2" s="745">
        <v>82.85</v>
      </c>
      <c r="CF2" s="745">
        <v>83.18</v>
      </c>
      <c r="CG2" s="745">
        <v>83.44</v>
      </c>
      <c r="CH2" s="745">
        <v>83.69</v>
      </c>
      <c r="CI2" s="745">
        <v>83.98</v>
      </c>
      <c r="CJ2" s="745">
        <v>84.18</v>
      </c>
      <c r="CK2" s="745">
        <v>84.39</v>
      </c>
      <c r="CL2" s="745">
        <v>84.67</v>
      </c>
      <c r="CM2" s="745">
        <v>84.87</v>
      </c>
      <c r="CN2" s="745">
        <v>85.11</v>
      </c>
      <c r="CO2" s="745">
        <v>85.36</v>
      </c>
      <c r="CP2" s="745">
        <v>85.57</v>
      </c>
      <c r="CQ2" s="745">
        <v>85.8</v>
      </c>
      <c r="CR2" s="745">
        <v>85.97</v>
      </c>
      <c r="CS2" s="745">
        <v>86.19</v>
      </c>
      <c r="CT2" s="745">
        <v>86.37</v>
      </c>
      <c r="CU2" s="745">
        <v>86.55</v>
      </c>
      <c r="CV2" s="745">
        <v>86.73</v>
      </c>
      <c r="CW2" s="745">
        <v>86.89</v>
      </c>
      <c r="CX2" s="745">
        <v>87.1</v>
      </c>
      <c r="CY2" s="745">
        <v>87.25</v>
      </c>
      <c r="CZ2" s="745">
        <v>87.43</v>
      </c>
      <c r="DA2" s="745">
        <v>87.57</v>
      </c>
      <c r="DB2" s="745">
        <v>87.76</v>
      </c>
      <c r="DC2" s="745">
        <v>87.91</v>
      </c>
      <c r="DD2" s="745">
        <v>88.07</v>
      </c>
      <c r="DE2" s="745">
        <v>88.21</v>
      </c>
      <c r="DF2" s="745">
        <v>88.39</v>
      </c>
      <c r="DG2" s="745">
        <v>88.54</v>
      </c>
      <c r="DH2" s="745">
        <v>88.69</v>
      </c>
      <c r="DI2" s="745">
        <v>88.84</v>
      </c>
      <c r="DJ2" s="745">
        <v>89.02</v>
      </c>
      <c r="DK2" s="745">
        <v>89.16</v>
      </c>
      <c r="DL2" s="745">
        <v>89.29</v>
      </c>
      <c r="DM2" s="745">
        <v>89.44</v>
      </c>
      <c r="DN2" s="745">
        <v>89.56</v>
      </c>
      <c r="DO2" s="745">
        <v>89.71</v>
      </c>
      <c r="DP2" s="745">
        <v>89.85</v>
      </c>
      <c r="DQ2" s="745">
        <v>90</v>
      </c>
      <c r="DR2" s="745">
        <v>90.15</v>
      </c>
    </row>
    <row r="3" spans="1:122">
      <c r="A3" s="912">
        <v>1</v>
      </c>
      <c r="B3" s="92"/>
      <c r="C3" s="92"/>
      <c r="D3" s="92"/>
      <c r="E3" s="92"/>
      <c r="F3" s="92"/>
      <c r="G3" s="92"/>
      <c r="H3" s="92"/>
      <c r="I3" s="92"/>
      <c r="J3" s="92"/>
      <c r="K3" s="92"/>
      <c r="L3" s="92"/>
      <c r="M3" s="92"/>
      <c r="N3" s="92"/>
      <c r="O3" s="92"/>
      <c r="P3" s="92"/>
      <c r="Q3" s="92"/>
      <c r="R3" s="92"/>
      <c r="S3" s="92"/>
      <c r="T3" s="92"/>
      <c r="U3" s="92"/>
      <c r="V3" s="745"/>
      <c r="W3" s="745">
        <v>66.709999999999994</v>
      </c>
      <c r="X3" s="745">
        <v>67.239999999999995</v>
      </c>
      <c r="Y3" s="745">
        <v>67.569999999999993</v>
      </c>
      <c r="Z3" s="745">
        <v>67.77</v>
      </c>
      <c r="AA3" s="745">
        <v>67.989999999999995</v>
      </c>
      <c r="AB3" s="745">
        <v>68.36</v>
      </c>
      <c r="AC3" s="745">
        <v>68.64</v>
      </c>
      <c r="AD3" s="745">
        <v>68.81</v>
      </c>
      <c r="AE3" s="745">
        <v>69.31</v>
      </c>
      <c r="AF3" s="745">
        <v>69.650000000000006</v>
      </c>
      <c r="AG3" s="745">
        <v>70</v>
      </c>
      <c r="AH3" s="745">
        <v>70.34</v>
      </c>
      <c r="AI3" s="745">
        <v>70.63</v>
      </c>
      <c r="AJ3" s="745">
        <v>71.09</v>
      </c>
      <c r="AK3" s="745">
        <v>71.45</v>
      </c>
      <c r="AL3" s="745">
        <v>71.84</v>
      </c>
      <c r="AM3" s="745">
        <v>72.23</v>
      </c>
      <c r="AN3" s="745">
        <v>72.510000000000005</v>
      </c>
      <c r="AO3" s="745">
        <v>72.709999999999994</v>
      </c>
      <c r="AP3" s="745">
        <v>72.989999999999995</v>
      </c>
      <c r="AQ3" s="745">
        <v>73.22</v>
      </c>
      <c r="AR3" s="745">
        <v>73.53</v>
      </c>
      <c r="AS3" s="745">
        <v>73.62</v>
      </c>
      <c r="AT3" s="745">
        <v>73.86</v>
      </c>
      <c r="AU3" s="745">
        <v>74.17</v>
      </c>
      <c r="AV3" s="745">
        <v>74.489999999999995</v>
      </c>
      <c r="AW3" s="745">
        <v>75.11</v>
      </c>
      <c r="AX3" s="745">
        <v>75.63</v>
      </c>
      <c r="AY3" s="745">
        <v>75.760000000000005</v>
      </c>
      <c r="AZ3" s="745">
        <v>75.83</v>
      </c>
      <c r="BA3" s="745">
        <v>75.95</v>
      </c>
      <c r="BB3" s="745">
        <v>76.14</v>
      </c>
      <c r="BC3" s="745">
        <v>76.31</v>
      </c>
      <c r="BD3" s="745">
        <v>76.5</v>
      </c>
      <c r="BE3" s="745">
        <v>76.709999999999994</v>
      </c>
      <c r="BF3" s="745">
        <v>76.959999999999994</v>
      </c>
      <c r="BG3" s="745">
        <v>77.14</v>
      </c>
      <c r="BH3" s="745">
        <v>77.48</v>
      </c>
      <c r="BI3" s="745">
        <v>77.739999999999995</v>
      </c>
      <c r="BJ3" s="745">
        <v>78.03</v>
      </c>
      <c r="BK3" s="745">
        <v>78.290000000000006</v>
      </c>
      <c r="BL3" s="745">
        <v>78.61</v>
      </c>
      <c r="BM3" s="745">
        <v>78.95</v>
      </c>
      <c r="BN3" s="745">
        <v>79.209999999999994</v>
      </c>
      <c r="BO3" s="745">
        <v>79.510000000000005</v>
      </c>
      <c r="BP3" s="745">
        <v>79.760000000000005</v>
      </c>
      <c r="BQ3" s="745">
        <v>80.02</v>
      </c>
      <c r="BR3" s="745">
        <v>80.25</v>
      </c>
      <c r="BS3" s="745">
        <v>80.48</v>
      </c>
      <c r="BT3" s="857">
        <v>80.73</v>
      </c>
      <c r="BU3" s="745">
        <v>80.91</v>
      </c>
      <c r="BV3" s="745">
        <v>81.150000000000006</v>
      </c>
      <c r="BW3" s="745">
        <v>81.36</v>
      </c>
      <c r="BX3" s="745">
        <v>81.58</v>
      </c>
      <c r="BY3" s="745">
        <v>81.78</v>
      </c>
      <c r="BZ3" s="745">
        <v>81.98</v>
      </c>
      <c r="CA3" s="745">
        <v>82.17</v>
      </c>
      <c r="CB3" s="745">
        <v>82.35</v>
      </c>
      <c r="CC3" s="745">
        <v>82.57</v>
      </c>
      <c r="CD3" s="745">
        <v>82.79</v>
      </c>
      <c r="CE3" s="745">
        <v>82.98</v>
      </c>
      <c r="CF3" s="745">
        <v>83.2</v>
      </c>
      <c r="CG3" s="745">
        <v>83.42</v>
      </c>
      <c r="CH3" s="745">
        <v>83.6</v>
      </c>
      <c r="CI3" s="745">
        <v>83.84</v>
      </c>
      <c r="CJ3" s="745">
        <v>84.01</v>
      </c>
      <c r="CK3" s="745">
        <v>84.2</v>
      </c>
      <c r="CL3" s="745">
        <v>84.42</v>
      </c>
      <c r="CM3" s="745">
        <v>84.6</v>
      </c>
      <c r="CN3" s="745">
        <v>84.8</v>
      </c>
      <c r="CO3" s="745">
        <v>84.98</v>
      </c>
      <c r="CP3" s="745">
        <v>85.15</v>
      </c>
      <c r="CQ3" s="745">
        <v>85.34</v>
      </c>
      <c r="CR3" s="745">
        <v>85.5</v>
      </c>
      <c r="CS3" s="745">
        <v>85.69</v>
      </c>
      <c r="CT3" s="745">
        <v>85.85</v>
      </c>
      <c r="CU3" s="745">
        <v>86.02</v>
      </c>
      <c r="CV3" s="745">
        <v>86.17</v>
      </c>
      <c r="CW3" s="745">
        <v>86.33</v>
      </c>
      <c r="CX3" s="745">
        <v>86.51</v>
      </c>
      <c r="CY3" s="745">
        <v>86.67</v>
      </c>
      <c r="CZ3" s="745">
        <v>86.82</v>
      </c>
      <c r="DA3" s="745">
        <v>86.98</v>
      </c>
      <c r="DB3" s="745">
        <v>87.15</v>
      </c>
      <c r="DC3" s="745">
        <v>87.28</v>
      </c>
      <c r="DD3" s="745">
        <v>87.44</v>
      </c>
      <c r="DE3" s="745">
        <v>87.59</v>
      </c>
      <c r="DF3" s="745">
        <v>87.74</v>
      </c>
      <c r="DG3" s="745">
        <v>87.89</v>
      </c>
      <c r="DH3" s="745">
        <v>88.03</v>
      </c>
      <c r="DI3" s="745">
        <v>88.18</v>
      </c>
      <c r="DJ3" s="745">
        <v>88.33</v>
      </c>
      <c r="DK3" s="745">
        <v>88.47</v>
      </c>
      <c r="DL3" s="745">
        <v>88.6</v>
      </c>
      <c r="DM3" s="745">
        <v>88.75</v>
      </c>
      <c r="DN3" s="745">
        <v>88.89</v>
      </c>
      <c r="DO3" s="745">
        <v>89.02</v>
      </c>
      <c r="DP3" s="745">
        <v>89.16</v>
      </c>
      <c r="DQ3" s="745">
        <v>89.3</v>
      </c>
      <c r="DR3" s="745">
        <v>89.43</v>
      </c>
    </row>
    <row r="4" spans="1:122">
      <c r="A4" s="912">
        <v>2</v>
      </c>
      <c r="B4" s="92"/>
      <c r="C4" s="92"/>
      <c r="D4" s="92"/>
      <c r="E4" s="92"/>
      <c r="F4" s="92"/>
      <c r="G4" s="92"/>
      <c r="H4" s="92"/>
      <c r="I4" s="92"/>
      <c r="J4" s="92"/>
      <c r="K4" s="92"/>
      <c r="L4" s="92"/>
      <c r="M4" s="92"/>
      <c r="N4" s="92"/>
      <c r="O4" s="92"/>
      <c r="P4" s="92"/>
      <c r="Q4" s="92"/>
      <c r="R4" s="92"/>
      <c r="S4" s="92"/>
      <c r="T4" s="92"/>
      <c r="U4" s="92"/>
      <c r="V4" s="745"/>
      <c r="W4" s="745">
        <v>67.06</v>
      </c>
      <c r="X4" s="745">
        <v>67.61</v>
      </c>
      <c r="Y4" s="745">
        <v>67.67</v>
      </c>
      <c r="Z4" s="745">
        <v>67.88</v>
      </c>
      <c r="AA4" s="745">
        <v>68.099999999999994</v>
      </c>
      <c r="AB4" s="745">
        <v>68.400000000000006</v>
      </c>
      <c r="AC4" s="745">
        <v>68.489999999999995</v>
      </c>
      <c r="AD4" s="745">
        <v>68.72</v>
      </c>
      <c r="AE4" s="745">
        <v>69.010000000000005</v>
      </c>
      <c r="AF4" s="745">
        <v>69.34</v>
      </c>
      <c r="AG4" s="745">
        <v>69.650000000000006</v>
      </c>
      <c r="AH4" s="745">
        <v>70</v>
      </c>
      <c r="AI4" s="745">
        <v>70.28</v>
      </c>
      <c r="AJ4" s="745">
        <v>70.680000000000007</v>
      </c>
      <c r="AK4" s="745">
        <v>71.02</v>
      </c>
      <c r="AL4" s="745">
        <v>71.400000000000006</v>
      </c>
      <c r="AM4" s="745">
        <v>71.77</v>
      </c>
      <c r="AN4" s="745">
        <v>72.06</v>
      </c>
      <c r="AO4" s="745">
        <v>72.260000000000005</v>
      </c>
      <c r="AP4" s="745">
        <v>72.55</v>
      </c>
      <c r="AQ4" s="745">
        <v>72.77</v>
      </c>
      <c r="AR4" s="745">
        <v>73.14</v>
      </c>
      <c r="AS4" s="745">
        <v>73.319999999999993</v>
      </c>
      <c r="AT4" s="745">
        <v>73.7</v>
      </c>
      <c r="AU4" s="745">
        <v>73.930000000000007</v>
      </c>
      <c r="AV4" s="745">
        <v>74.260000000000005</v>
      </c>
      <c r="AW4" s="745">
        <v>74.73</v>
      </c>
      <c r="AX4" s="745">
        <v>74.94</v>
      </c>
      <c r="AY4" s="745">
        <v>75.069999999999993</v>
      </c>
      <c r="AZ4" s="745">
        <v>75.14</v>
      </c>
      <c r="BA4" s="745">
        <v>75.239999999999995</v>
      </c>
      <c r="BB4" s="745">
        <v>75.42</v>
      </c>
      <c r="BC4" s="745">
        <v>75.56</v>
      </c>
      <c r="BD4" s="745">
        <v>75.75</v>
      </c>
      <c r="BE4" s="745">
        <v>75.959999999999994</v>
      </c>
      <c r="BF4" s="745">
        <v>76.209999999999994</v>
      </c>
      <c r="BG4" s="745">
        <v>76.37</v>
      </c>
      <c r="BH4" s="745">
        <v>76.709999999999994</v>
      </c>
      <c r="BI4" s="745">
        <v>76.94</v>
      </c>
      <c r="BJ4" s="745">
        <v>77.22</v>
      </c>
      <c r="BK4" s="745">
        <v>77.48</v>
      </c>
      <c r="BL4" s="745">
        <v>77.790000000000006</v>
      </c>
      <c r="BM4" s="745">
        <v>78.099999999999994</v>
      </c>
      <c r="BN4" s="745">
        <v>78.37</v>
      </c>
      <c r="BO4" s="745">
        <v>78.66</v>
      </c>
      <c r="BP4" s="745">
        <v>78.91</v>
      </c>
      <c r="BQ4" s="745">
        <v>79.150000000000006</v>
      </c>
      <c r="BR4" s="745">
        <v>79.41</v>
      </c>
      <c r="BS4" s="745">
        <v>79.62</v>
      </c>
      <c r="BT4" s="857">
        <v>79.849999999999994</v>
      </c>
      <c r="BU4" s="745">
        <v>80.02</v>
      </c>
      <c r="BV4" s="745">
        <v>80.25</v>
      </c>
      <c r="BW4" s="745">
        <v>80.47</v>
      </c>
      <c r="BX4" s="745">
        <v>80.680000000000007</v>
      </c>
      <c r="BY4" s="745">
        <v>80.87</v>
      </c>
      <c r="BZ4" s="745">
        <v>81.069999999999993</v>
      </c>
      <c r="CA4" s="745">
        <v>81.260000000000005</v>
      </c>
      <c r="CB4" s="745">
        <v>81.44</v>
      </c>
      <c r="CC4" s="745">
        <v>81.64</v>
      </c>
      <c r="CD4" s="745">
        <v>81.87</v>
      </c>
      <c r="CE4" s="745">
        <v>82.06</v>
      </c>
      <c r="CF4" s="745">
        <v>82.28</v>
      </c>
      <c r="CG4" s="745">
        <v>82.49</v>
      </c>
      <c r="CH4" s="745">
        <v>82.67</v>
      </c>
      <c r="CI4" s="745">
        <v>82.9</v>
      </c>
      <c r="CJ4" s="745">
        <v>83.08</v>
      </c>
      <c r="CK4" s="745">
        <v>83.26</v>
      </c>
      <c r="CL4" s="745">
        <v>83.47</v>
      </c>
      <c r="CM4" s="745">
        <v>83.66</v>
      </c>
      <c r="CN4" s="745">
        <v>83.85</v>
      </c>
      <c r="CO4" s="745">
        <v>84.03</v>
      </c>
      <c r="CP4" s="745">
        <v>84.2</v>
      </c>
      <c r="CQ4" s="745">
        <v>84.39</v>
      </c>
      <c r="CR4" s="745">
        <v>84.55</v>
      </c>
      <c r="CS4" s="745">
        <v>84.73</v>
      </c>
      <c r="CT4" s="745">
        <v>84.89</v>
      </c>
      <c r="CU4" s="745">
        <v>85.06</v>
      </c>
      <c r="CV4" s="745">
        <v>85.21</v>
      </c>
      <c r="CW4" s="745">
        <v>85.37</v>
      </c>
      <c r="CX4" s="745">
        <v>85.55</v>
      </c>
      <c r="CY4" s="745">
        <v>85.7</v>
      </c>
      <c r="CZ4" s="745">
        <v>85.86</v>
      </c>
      <c r="DA4" s="745">
        <v>86.01</v>
      </c>
      <c r="DB4" s="745">
        <v>86.17</v>
      </c>
      <c r="DC4" s="745">
        <v>86.32</v>
      </c>
      <c r="DD4" s="745">
        <v>86.47</v>
      </c>
      <c r="DE4" s="745">
        <v>86.62</v>
      </c>
      <c r="DF4" s="745">
        <v>86.77</v>
      </c>
      <c r="DG4" s="745">
        <v>86.92</v>
      </c>
      <c r="DH4" s="745">
        <v>87.06</v>
      </c>
      <c r="DI4" s="745">
        <v>87.21</v>
      </c>
      <c r="DJ4" s="745">
        <v>87.35</v>
      </c>
      <c r="DK4" s="745">
        <v>87.5</v>
      </c>
      <c r="DL4" s="745">
        <v>87.63</v>
      </c>
      <c r="DM4" s="745">
        <v>87.77</v>
      </c>
      <c r="DN4" s="745">
        <v>87.91</v>
      </c>
      <c r="DO4" s="745">
        <v>88.05</v>
      </c>
      <c r="DP4" s="745">
        <v>88.18</v>
      </c>
      <c r="DQ4" s="745">
        <v>88.32</v>
      </c>
      <c r="DR4" s="745">
        <v>88.45</v>
      </c>
    </row>
    <row r="5" spans="1:122">
      <c r="A5" s="912">
        <v>3</v>
      </c>
      <c r="B5" s="92"/>
      <c r="C5" s="92"/>
      <c r="D5" s="92"/>
      <c r="E5" s="92"/>
      <c r="F5" s="92"/>
      <c r="G5" s="92"/>
      <c r="H5" s="92"/>
      <c r="I5" s="92"/>
      <c r="J5" s="92"/>
      <c r="K5" s="92"/>
      <c r="L5" s="92"/>
      <c r="M5" s="92"/>
      <c r="N5" s="92"/>
      <c r="O5" s="92"/>
      <c r="P5" s="92"/>
      <c r="Q5" s="92"/>
      <c r="R5" s="92"/>
      <c r="S5" s="92"/>
      <c r="T5" s="92"/>
      <c r="U5" s="92"/>
      <c r="V5" s="745"/>
      <c r="W5" s="745">
        <v>66.819999999999993</v>
      </c>
      <c r="X5" s="745">
        <v>67.040000000000006</v>
      </c>
      <c r="Y5" s="745">
        <v>67.099999999999994</v>
      </c>
      <c r="Z5" s="745">
        <v>67.31</v>
      </c>
      <c r="AA5" s="745">
        <v>67.56</v>
      </c>
      <c r="AB5" s="745">
        <v>67.8</v>
      </c>
      <c r="AC5" s="745">
        <v>67.97</v>
      </c>
      <c r="AD5" s="745">
        <v>68.11</v>
      </c>
      <c r="AE5" s="745">
        <v>68.349999999999994</v>
      </c>
      <c r="AF5" s="745">
        <v>68.650000000000006</v>
      </c>
      <c r="AG5" s="745">
        <v>68.959999999999994</v>
      </c>
      <c r="AH5" s="745">
        <v>69.31</v>
      </c>
      <c r="AI5" s="745">
        <v>69.650000000000006</v>
      </c>
      <c r="AJ5" s="745">
        <v>70.06</v>
      </c>
      <c r="AK5" s="745">
        <v>70.38</v>
      </c>
      <c r="AL5" s="745">
        <v>70.73</v>
      </c>
      <c r="AM5" s="745">
        <v>71.13</v>
      </c>
      <c r="AN5" s="745">
        <v>71.42</v>
      </c>
      <c r="AO5" s="745">
        <v>71.63</v>
      </c>
      <c r="AP5" s="745">
        <v>71.91</v>
      </c>
      <c r="AQ5" s="745">
        <v>72.180000000000007</v>
      </c>
      <c r="AR5" s="745">
        <v>72.61</v>
      </c>
      <c r="AS5" s="745">
        <v>72.88</v>
      </c>
      <c r="AT5" s="745">
        <v>73.13</v>
      </c>
      <c r="AU5" s="745">
        <v>73.36</v>
      </c>
      <c r="AV5" s="745">
        <v>73.53</v>
      </c>
      <c r="AW5" s="745">
        <v>73.91</v>
      </c>
      <c r="AX5" s="745">
        <v>74.12</v>
      </c>
      <c r="AY5" s="745">
        <v>74.25</v>
      </c>
      <c r="AZ5" s="745">
        <v>74.3</v>
      </c>
      <c r="BA5" s="745">
        <v>74.38</v>
      </c>
      <c r="BB5" s="745">
        <v>74.55</v>
      </c>
      <c r="BC5" s="745">
        <v>74.69</v>
      </c>
      <c r="BD5" s="745">
        <v>74.87</v>
      </c>
      <c r="BE5" s="745">
        <v>75.09</v>
      </c>
      <c r="BF5" s="745">
        <v>75.319999999999993</v>
      </c>
      <c r="BG5" s="745">
        <v>75.489999999999995</v>
      </c>
      <c r="BH5" s="745">
        <v>75.819999999999993</v>
      </c>
      <c r="BI5" s="745">
        <v>76.040000000000006</v>
      </c>
      <c r="BJ5" s="745">
        <v>76.33</v>
      </c>
      <c r="BK5" s="745">
        <v>76.58</v>
      </c>
      <c r="BL5" s="745">
        <v>76.88</v>
      </c>
      <c r="BM5" s="745">
        <v>77.19</v>
      </c>
      <c r="BN5" s="745">
        <v>77.45</v>
      </c>
      <c r="BO5" s="745">
        <v>77.73</v>
      </c>
      <c r="BP5" s="745">
        <v>77.989999999999995</v>
      </c>
      <c r="BQ5" s="745">
        <v>78.23</v>
      </c>
      <c r="BR5" s="745">
        <v>78.48</v>
      </c>
      <c r="BS5" s="745">
        <v>78.7</v>
      </c>
      <c r="BT5" s="857">
        <v>78.92</v>
      </c>
      <c r="BU5" s="745">
        <v>79.09</v>
      </c>
      <c r="BV5" s="745">
        <v>79.319999999999993</v>
      </c>
      <c r="BW5" s="745">
        <v>79.53</v>
      </c>
      <c r="BX5" s="745">
        <v>79.75</v>
      </c>
      <c r="BY5" s="745">
        <v>79.930000000000007</v>
      </c>
      <c r="BZ5" s="745">
        <v>80.13</v>
      </c>
      <c r="CA5" s="745">
        <v>80.319999999999993</v>
      </c>
      <c r="CB5" s="745">
        <v>80.489999999999995</v>
      </c>
      <c r="CC5" s="745">
        <v>80.69</v>
      </c>
      <c r="CD5" s="745">
        <v>80.92</v>
      </c>
      <c r="CE5" s="745">
        <v>81.11</v>
      </c>
      <c r="CF5" s="745">
        <v>81.319999999999993</v>
      </c>
      <c r="CG5" s="745">
        <v>81.53</v>
      </c>
      <c r="CH5" s="745">
        <v>81.709999999999994</v>
      </c>
      <c r="CI5" s="745">
        <v>81.94</v>
      </c>
      <c r="CJ5" s="745">
        <v>82.12</v>
      </c>
      <c r="CK5" s="745">
        <v>82.3</v>
      </c>
      <c r="CL5" s="745">
        <v>82.51</v>
      </c>
      <c r="CM5" s="745">
        <v>82.7</v>
      </c>
      <c r="CN5" s="745">
        <v>82.88</v>
      </c>
      <c r="CO5" s="745">
        <v>83.06</v>
      </c>
      <c r="CP5" s="745">
        <v>83.23</v>
      </c>
      <c r="CQ5" s="745">
        <v>83.42</v>
      </c>
      <c r="CR5" s="745">
        <v>83.57</v>
      </c>
      <c r="CS5" s="745">
        <v>83.75</v>
      </c>
      <c r="CT5" s="745">
        <v>83.92</v>
      </c>
      <c r="CU5" s="745">
        <v>84.08</v>
      </c>
      <c r="CV5" s="745">
        <v>84.23</v>
      </c>
      <c r="CW5" s="745">
        <v>84.39</v>
      </c>
      <c r="CX5" s="745">
        <v>84.56</v>
      </c>
      <c r="CY5" s="745">
        <v>84.72</v>
      </c>
      <c r="CZ5" s="745">
        <v>84.88</v>
      </c>
      <c r="DA5" s="745">
        <v>85.03</v>
      </c>
      <c r="DB5" s="745">
        <v>85.19</v>
      </c>
      <c r="DC5" s="745">
        <v>85.33</v>
      </c>
      <c r="DD5" s="745">
        <v>85.49</v>
      </c>
      <c r="DE5" s="745">
        <v>85.64</v>
      </c>
      <c r="DF5" s="745">
        <v>85.78</v>
      </c>
      <c r="DG5" s="745">
        <v>85.93</v>
      </c>
      <c r="DH5" s="745">
        <v>86.07</v>
      </c>
      <c r="DI5" s="745">
        <v>86.21</v>
      </c>
      <c r="DJ5" s="745">
        <v>86.36</v>
      </c>
      <c r="DK5" s="745">
        <v>86.51</v>
      </c>
      <c r="DL5" s="745">
        <v>86.65</v>
      </c>
      <c r="DM5" s="745">
        <v>86.79</v>
      </c>
      <c r="DN5" s="745">
        <v>86.92</v>
      </c>
      <c r="DO5" s="745">
        <v>87.06</v>
      </c>
      <c r="DP5" s="745">
        <v>87.2</v>
      </c>
      <c r="DQ5" s="745">
        <v>87.33</v>
      </c>
      <c r="DR5" s="745">
        <v>87.47</v>
      </c>
    </row>
    <row r="6" spans="1:122">
      <c r="A6" s="912">
        <v>4</v>
      </c>
      <c r="B6" s="92"/>
      <c r="C6" s="92"/>
      <c r="D6" s="92"/>
      <c r="E6" s="92"/>
      <c r="F6" s="92"/>
      <c r="G6" s="92"/>
      <c r="H6" s="92"/>
      <c r="I6" s="92"/>
      <c r="J6" s="92"/>
      <c r="K6" s="92"/>
      <c r="L6" s="92"/>
      <c r="M6" s="92"/>
      <c r="N6" s="92"/>
      <c r="O6" s="92"/>
      <c r="P6" s="92"/>
      <c r="Q6" s="92"/>
      <c r="R6" s="92"/>
      <c r="S6" s="92"/>
      <c r="T6" s="92"/>
      <c r="U6" s="92"/>
      <c r="V6" s="745"/>
      <c r="W6" s="745">
        <v>66.09</v>
      </c>
      <c r="X6" s="745">
        <v>66.31</v>
      </c>
      <c r="Y6" s="745">
        <v>66.37</v>
      </c>
      <c r="Z6" s="745">
        <v>66.599999999999994</v>
      </c>
      <c r="AA6" s="745">
        <v>66.84</v>
      </c>
      <c r="AB6" s="745">
        <v>67.12</v>
      </c>
      <c r="AC6" s="745">
        <v>67.260000000000005</v>
      </c>
      <c r="AD6" s="745">
        <v>67.36</v>
      </c>
      <c r="AE6" s="745">
        <v>67.58</v>
      </c>
      <c r="AF6" s="745">
        <v>67.88</v>
      </c>
      <c r="AG6" s="745">
        <v>68.2</v>
      </c>
      <c r="AH6" s="745">
        <v>68.59</v>
      </c>
      <c r="AI6" s="745">
        <v>68.94</v>
      </c>
      <c r="AJ6" s="745">
        <v>69.33</v>
      </c>
      <c r="AK6" s="745">
        <v>69.63</v>
      </c>
      <c r="AL6" s="745">
        <v>70.010000000000005</v>
      </c>
      <c r="AM6" s="745">
        <v>70.41</v>
      </c>
      <c r="AN6" s="745">
        <v>70.7</v>
      </c>
      <c r="AO6" s="745">
        <v>70.91</v>
      </c>
      <c r="AP6" s="745">
        <v>71.22</v>
      </c>
      <c r="AQ6" s="745">
        <v>71.53</v>
      </c>
      <c r="AR6" s="745">
        <v>72.03</v>
      </c>
      <c r="AS6" s="745">
        <v>72.180000000000007</v>
      </c>
      <c r="AT6" s="745">
        <v>72.44</v>
      </c>
      <c r="AU6" s="745">
        <v>72.56</v>
      </c>
      <c r="AV6" s="745">
        <v>72.680000000000007</v>
      </c>
      <c r="AW6" s="745">
        <v>73.06</v>
      </c>
      <c r="AX6" s="745">
        <v>73.27</v>
      </c>
      <c r="AY6" s="745">
        <v>73.36</v>
      </c>
      <c r="AZ6" s="745">
        <v>73.41</v>
      </c>
      <c r="BA6" s="745">
        <v>73.48</v>
      </c>
      <c r="BB6" s="745">
        <v>73.650000000000006</v>
      </c>
      <c r="BC6" s="745">
        <v>73.790000000000006</v>
      </c>
      <c r="BD6" s="745">
        <v>73.959999999999994</v>
      </c>
      <c r="BE6" s="745">
        <v>74.17</v>
      </c>
      <c r="BF6" s="745">
        <v>74.400000000000006</v>
      </c>
      <c r="BG6" s="745">
        <v>74.569999999999993</v>
      </c>
      <c r="BH6" s="745">
        <v>74.900000000000006</v>
      </c>
      <c r="BI6" s="745">
        <v>75.12</v>
      </c>
      <c r="BJ6" s="745">
        <v>75.400000000000006</v>
      </c>
      <c r="BK6" s="745">
        <v>75.650000000000006</v>
      </c>
      <c r="BL6" s="745">
        <v>75.95</v>
      </c>
      <c r="BM6" s="745">
        <v>76.260000000000005</v>
      </c>
      <c r="BN6" s="745">
        <v>76.52</v>
      </c>
      <c r="BO6" s="745">
        <v>76.8</v>
      </c>
      <c r="BP6" s="745">
        <v>77.05</v>
      </c>
      <c r="BQ6" s="745">
        <v>77.3</v>
      </c>
      <c r="BR6" s="745">
        <v>77.55</v>
      </c>
      <c r="BS6" s="745">
        <v>77.760000000000005</v>
      </c>
      <c r="BT6" s="857">
        <v>77.98</v>
      </c>
      <c r="BU6" s="745">
        <v>78.150000000000006</v>
      </c>
      <c r="BV6" s="745">
        <v>78.37</v>
      </c>
      <c r="BW6" s="745">
        <v>78.58</v>
      </c>
      <c r="BX6" s="745">
        <v>78.790000000000006</v>
      </c>
      <c r="BY6" s="745">
        <v>78.98</v>
      </c>
      <c r="BZ6" s="745">
        <v>79.180000000000007</v>
      </c>
      <c r="CA6" s="745">
        <v>79.36</v>
      </c>
      <c r="CB6" s="745">
        <v>79.53</v>
      </c>
      <c r="CC6" s="745">
        <v>79.739999999999995</v>
      </c>
      <c r="CD6" s="745">
        <v>79.95</v>
      </c>
      <c r="CE6" s="745">
        <v>80.14</v>
      </c>
      <c r="CF6" s="745">
        <v>80.349999999999994</v>
      </c>
      <c r="CG6" s="745">
        <v>80.56</v>
      </c>
      <c r="CH6" s="745">
        <v>80.739999999999995</v>
      </c>
      <c r="CI6" s="745">
        <v>80.97</v>
      </c>
      <c r="CJ6" s="745">
        <v>81.150000000000006</v>
      </c>
      <c r="CK6" s="745">
        <v>81.33</v>
      </c>
      <c r="CL6" s="745">
        <v>81.540000000000006</v>
      </c>
      <c r="CM6" s="745">
        <v>81.72</v>
      </c>
      <c r="CN6" s="745">
        <v>81.91</v>
      </c>
      <c r="CO6" s="745">
        <v>82.08</v>
      </c>
      <c r="CP6" s="745">
        <v>82.26</v>
      </c>
      <c r="CQ6" s="745">
        <v>82.44</v>
      </c>
      <c r="CR6" s="745">
        <v>82.59</v>
      </c>
      <c r="CS6" s="745">
        <v>82.77</v>
      </c>
      <c r="CT6" s="745">
        <v>82.94</v>
      </c>
      <c r="CU6" s="745">
        <v>83.1</v>
      </c>
      <c r="CV6" s="745">
        <v>83.25</v>
      </c>
      <c r="CW6" s="745">
        <v>83.41</v>
      </c>
      <c r="CX6" s="745">
        <v>83.58</v>
      </c>
      <c r="CY6" s="745">
        <v>83.74</v>
      </c>
      <c r="CZ6" s="745">
        <v>83.89</v>
      </c>
      <c r="DA6" s="745">
        <v>84.04</v>
      </c>
      <c r="DB6" s="745">
        <v>84.2</v>
      </c>
      <c r="DC6" s="745">
        <v>84.35</v>
      </c>
      <c r="DD6" s="745">
        <v>84.5</v>
      </c>
      <c r="DE6" s="745">
        <v>84.65</v>
      </c>
      <c r="DF6" s="745">
        <v>84.79</v>
      </c>
      <c r="DG6" s="745">
        <v>84.94</v>
      </c>
      <c r="DH6" s="745">
        <v>85.08</v>
      </c>
      <c r="DI6" s="745">
        <v>85.23</v>
      </c>
      <c r="DJ6" s="745">
        <v>85.37</v>
      </c>
      <c r="DK6" s="745">
        <v>85.52</v>
      </c>
      <c r="DL6" s="745">
        <v>85.66</v>
      </c>
      <c r="DM6" s="745">
        <v>85.8</v>
      </c>
      <c r="DN6" s="745">
        <v>85.94</v>
      </c>
      <c r="DO6" s="745">
        <v>86.07</v>
      </c>
      <c r="DP6" s="745">
        <v>86.21</v>
      </c>
      <c r="DQ6" s="745">
        <v>86.34</v>
      </c>
      <c r="DR6" s="745">
        <v>86.48</v>
      </c>
    </row>
    <row r="7" spans="1:122">
      <c r="A7" s="912">
        <v>5</v>
      </c>
      <c r="B7" s="92"/>
      <c r="C7" s="92"/>
      <c r="D7" s="92"/>
      <c r="E7" s="92"/>
      <c r="F7" s="92"/>
      <c r="G7" s="92"/>
      <c r="H7" s="92"/>
      <c r="I7" s="92"/>
      <c r="J7" s="92"/>
      <c r="K7" s="92"/>
      <c r="L7" s="92"/>
      <c r="M7" s="92"/>
      <c r="N7" s="92"/>
      <c r="O7" s="92"/>
      <c r="P7" s="92"/>
      <c r="Q7" s="92"/>
      <c r="R7" s="92"/>
      <c r="S7" s="92"/>
      <c r="T7" s="92"/>
      <c r="U7" s="92"/>
      <c r="V7" s="745"/>
      <c r="W7" s="745">
        <v>65.3</v>
      </c>
      <c r="X7" s="745">
        <v>65.52</v>
      </c>
      <c r="Y7" s="745">
        <v>65.59</v>
      </c>
      <c r="Z7" s="745">
        <v>65.81</v>
      </c>
      <c r="AA7" s="745">
        <v>66.09</v>
      </c>
      <c r="AB7" s="745">
        <v>66.349999999999994</v>
      </c>
      <c r="AC7" s="745">
        <v>66.459999999999994</v>
      </c>
      <c r="AD7" s="745">
        <v>66.540000000000006</v>
      </c>
      <c r="AE7" s="745">
        <v>66.77</v>
      </c>
      <c r="AF7" s="745">
        <v>67.069999999999993</v>
      </c>
      <c r="AG7" s="745">
        <v>67.42</v>
      </c>
      <c r="AH7" s="745">
        <v>67.81</v>
      </c>
      <c r="AI7" s="745">
        <v>68.150000000000006</v>
      </c>
      <c r="AJ7" s="745">
        <v>68.52</v>
      </c>
      <c r="AK7" s="745">
        <v>68.84</v>
      </c>
      <c r="AL7" s="745">
        <v>69.23</v>
      </c>
      <c r="AM7" s="745">
        <v>69.63</v>
      </c>
      <c r="AN7" s="745">
        <v>69.92</v>
      </c>
      <c r="AO7" s="745">
        <v>70.150000000000006</v>
      </c>
      <c r="AP7" s="745">
        <v>70.5</v>
      </c>
      <c r="AQ7" s="745">
        <v>70.86</v>
      </c>
      <c r="AR7" s="745">
        <v>71.239999999999995</v>
      </c>
      <c r="AS7" s="745">
        <v>71.39</v>
      </c>
      <c r="AT7" s="745">
        <v>71.569999999999993</v>
      </c>
      <c r="AU7" s="745">
        <v>71.67</v>
      </c>
      <c r="AV7" s="745">
        <v>71.790000000000006</v>
      </c>
      <c r="AW7" s="745">
        <v>72.17</v>
      </c>
      <c r="AX7" s="745">
        <v>72.36</v>
      </c>
      <c r="AY7" s="745">
        <v>72.45</v>
      </c>
      <c r="AZ7" s="745">
        <v>72.48</v>
      </c>
      <c r="BA7" s="745">
        <v>72.55</v>
      </c>
      <c r="BB7" s="745">
        <v>72.72</v>
      </c>
      <c r="BC7" s="745">
        <v>72.849999999999994</v>
      </c>
      <c r="BD7" s="745">
        <v>73.040000000000006</v>
      </c>
      <c r="BE7" s="745">
        <v>73.23</v>
      </c>
      <c r="BF7" s="745">
        <v>73.47</v>
      </c>
      <c r="BG7" s="745">
        <v>73.64</v>
      </c>
      <c r="BH7" s="745">
        <v>73.959999999999994</v>
      </c>
      <c r="BI7" s="745">
        <v>74.180000000000007</v>
      </c>
      <c r="BJ7" s="745">
        <v>74.459999999999994</v>
      </c>
      <c r="BK7" s="745">
        <v>74.709999999999994</v>
      </c>
      <c r="BL7" s="745">
        <v>75.010000000000005</v>
      </c>
      <c r="BM7" s="745">
        <v>75.319999999999993</v>
      </c>
      <c r="BN7" s="745">
        <v>75.58</v>
      </c>
      <c r="BO7" s="745">
        <v>75.86</v>
      </c>
      <c r="BP7" s="745">
        <v>76.11</v>
      </c>
      <c r="BQ7" s="745">
        <v>76.349999999999994</v>
      </c>
      <c r="BR7" s="745">
        <v>76.599999999999994</v>
      </c>
      <c r="BS7" s="745">
        <v>76.81</v>
      </c>
      <c r="BT7" s="857">
        <v>77.02</v>
      </c>
      <c r="BU7" s="745">
        <v>77.2</v>
      </c>
      <c r="BV7" s="745">
        <v>77.42</v>
      </c>
      <c r="BW7" s="745">
        <v>77.63</v>
      </c>
      <c r="BX7" s="745">
        <v>77.83</v>
      </c>
      <c r="BY7" s="745">
        <v>78.02</v>
      </c>
      <c r="BZ7" s="745">
        <v>78.209999999999994</v>
      </c>
      <c r="CA7" s="745">
        <v>78.39</v>
      </c>
      <c r="CB7" s="745">
        <v>78.56</v>
      </c>
      <c r="CC7" s="745">
        <v>78.77</v>
      </c>
      <c r="CD7" s="745">
        <v>78.98</v>
      </c>
      <c r="CE7" s="745">
        <v>79.17</v>
      </c>
      <c r="CF7" s="745">
        <v>79.37</v>
      </c>
      <c r="CG7" s="745">
        <v>79.59</v>
      </c>
      <c r="CH7" s="745">
        <v>79.77</v>
      </c>
      <c r="CI7" s="745">
        <v>79.989999999999995</v>
      </c>
      <c r="CJ7" s="745">
        <v>80.17</v>
      </c>
      <c r="CK7" s="745">
        <v>80.349999999999994</v>
      </c>
      <c r="CL7" s="745">
        <v>80.56</v>
      </c>
      <c r="CM7" s="745">
        <v>80.739999999999995</v>
      </c>
      <c r="CN7" s="745">
        <v>80.92</v>
      </c>
      <c r="CO7" s="745">
        <v>81.099999999999994</v>
      </c>
      <c r="CP7" s="745">
        <v>81.27</v>
      </c>
      <c r="CQ7" s="745">
        <v>81.45</v>
      </c>
      <c r="CR7" s="745">
        <v>81.61</v>
      </c>
      <c r="CS7" s="745">
        <v>81.78</v>
      </c>
      <c r="CT7" s="745">
        <v>81.95</v>
      </c>
      <c r="CU7" s="745">
        <v>82.11</v>
      </c>
      <c r="CV7" s="745">
        <v>82.26</v>
      </c>
      <c r="CW7" s="745">
        <v>82.42</v>
      </c>
      <c r="CX7" s="745">
        <v>82.59</v>
      </c>
      <c r="CY7" s="745">
        <v>82.75</v>
      </c>
      <c r="CZ7" s="745">
        <v>82.9</v>
      </c>
      <c r="DA7" s="745">
        <v>83.06</v>
      </c>
      <c r="DB7" s="745">
        <v>83.21</v>
      </c>
      <c r="DC7" s="745">
        <v>83.36</v>
      </c>
      <c r="DD7" s="745">
        <v>83.51</v>
      </c>
      <c r="DE7" s="745">
        <v>83.66</v>
      </c>
      <c r="DF7" s="745">
        <v>83.8</v>
      </c>
      <c r="DG7" s="745">
        <v>83.95</v>
      </c>
      <c r="DH7" s="745">
        <v>84.09</v>
      </c>
      <c r="DI7" s="745">
        <v>84.24</v>
      </c>
      <c r="DJ7" s="745">
        <v>84.38</v>
      </c>
      <c r="DK7" s="745">
        <v>84.53</v>
      </c>
      <c r="DL7" s="745">
        <v>84.67</v>
      </c>
      <c r="DM7" s="745">
        <v>84.81</v>
      </c>
      <c r="DN7" s="745">
        <v>84.94</v>
      </c>
      <c r="DO7" s="745">
        <v>85.08</v>
      </c>
      <c r="DP7" s="745">
        <v>85.22</v>
      </c>
      <c r="DQ7" s="745">
        <v>85.35</v>
      </c>
      <c r="DR7" s="745">
        <v>85.48</v>
      </c>
    </row>
    <row r="8" spans="1:122">
      <c r="A8" s="912">
        <v>6</v>
      </c>
      <c r="B8" s="92"/>
      <c r="C8" s="92"/>
      <c r="D8" s="92"/>
      <c r="E8" s="92"/>
      <c r="F8" s="92"/>
      <c r="G8" s="92"/>
      <c r="H8" s="92"/>
      <c r="I8" s="92"/>
      <c r="J8" s="92"/>
      <c r="K8" s="92"/>
      <c r="L8" s="92"/>
      <c r="M8" s="92"/>
      <c r="N8" s="92"/>
      <c r="O8" s="92"/>
      <c r="P8" s="92"/>
      <c r="Q8" s="92"/>
      <c r="R8" s="92"/>
      <c r="S8" s="92"/>
      <c r="T8" s="92"/>
      <c r="U8" s="92"/>
      <c r="V8" s="745"/>
      <c r="W8" s="745">
        <v>64.459999999999994</v>
      </c>
      <c r="X8" s="745">
        <v>64.69</v>
      </c>
      <c r="Y8" s="745">
        <v>64.760000000000005</v>
      </c>
      <c r="Z8" s="745">
        <v>65.010000000000005</v>
      </c>
      <c r="AA8" s="745">
        <v>65.28</v>
      </c>
      <c r="AB8" s="745">
        <v>65.52</v>
      </c>
      <c r="AC8" s="745">
        <v>65.61</v>
      </c>
      <c r="AD8" s="745">
        <v>65.7</v>
      </c>
      <c r="AE8" s="745">
        <v>65.92</v>
      </c>
      <c r="AF8" s="745">
        <v>66.25</v>
      </c>
      <c r="AG8" s="745">
        <v>66.599999999999994</v>
      </c>
      <c r="AH8" s="745">
        <v>66.989999999999995</v>
      </c>
      <c r="AI8" s="745">
        <v>67.31</v>
      </c>
      <c r="AJ8" s="745">
        <v>67.7</v>
      </c>
      <c r="AK8" s="745">
        <v>68.02</v>
      </c>
      <c r="AL8" s="745">
        <v>68.41</v>
      </c>
      <c r="AM8" s="745">
        <v>68.81</v>
      </c>
      <c r="AN8" s="745">
        <v>69.12</v>
      </c>
      <c r="AO8" s="745">
        <v>69.38</v>
      </c>
      <c r="AP8" s="745">
        <v>69.77</v>
      </c>
      <c r="AQ8" s="745">
        <v>70.02</v>
      </c>
      <c r="AR8" s="745">
        <v>70.400000000000006</v>
      </c>
      <c r="AS8" s="745">
        <v>70.5</v>
      </c>
      <c r="AT8" s="745">
        <v>70.66</v>
      </c>
      <c r="AU8" s="745">
        <v>70.760000000000005</v>
      </c>
      <c r="AV8" s="745">
        <v>70.87</v>
      </c>
      <c r="AW8" s="745">
        <v>71.239999999999995</v>
      </c>
      <c r="AX8" s="745">
        <v>71.42</v>
      </c>
      <c r="AY8" s="745">
        <v>71.52</v>
      </c>
      <c r="AZ8" s="745">
        <v>71.55</v>
      </c>
      <c r="BA8" s="745">
        <v>71.61</v>
      </c>
      <c r="BB8" s="745">
        <v>71.78</v>
      </c>
      <c r="BC8" s="745">
        <v>71.91</v>
      </c>
      <c r="BD8" s="745">
        <v>72.09</v>
      </c>
      <c r="BE8" s="745">
        <v>72.290000000000006</v>
      </c>
      <c r="BF8" s="745">
        <v>72.52</v>
      </c>
      <c r="BG8" s="745">
        <v>72.69</v>
      </c>
      <c r="BH8" s="745">
        <v>73.010000000000005</v>
      </c>
      <c r="BI8" s="745">
        <v>73.22</v>
      </c>
      <c r="BJ8" s="745">
        <v>73.510000000000005</v>
      </c>
      <c r="BK8" s="745">
        <v>73.760000000000005</v>
      </c>
      <c r="BL8" s="745">
        <v>74.069999999999993</v>
      </c>
      <c r="BM8" s="745">
        <v>74.37</v>
      </c>
      <c r="BN8" s="745">
        <v>74.64</v>
      </c>
      <c r="BO8" s="745">
        <v>74.91</v>
      </c>
      <c r="BP8" s="745">
        <v>75.17</v>
      </c>
      <c r="BQ8" s="745">
        <v>75.400000000000006</v>
      </c>
      <c r="BR8" s="745">
        <v>75.650000000000006</v>
      </c>
      <c r="BS8" s="745">
        <v>75.86</v>
      </c>
      <c r="BT8" s="857">
        <v>76.06</v>
      </c>
      <c r="BU8" s="745">
        <v>76.239999999999995</v>
      </c>
      <c r="BV8" s="745">
        <v>76.45</v>
      </c>
      <c r="BW8" s="745">
        <v>76.66</v>
      </c>
      <c r="BX8" s="745">
        <v>76.87</v>
      </c>
      <c r="BY8" s="745">
        <v>77.06</v>
      </c>
      <c r="BZ8" s="745">
        <v>77.239999999999995</v>
      </c>
      <c r="CA8" s="745">
        <v>77.430000000000007</v>
      </c>
      <c r="CB8" s="745">
        <v>77.59</v>
      </c>
      <c r="CC8" s="745">
        <v>77.790000000000006</v>
      </c>
      <c r="CD8" s="745">
        <v>78</v>
      </c>
      <c r="CE8" s="745">
        <v>78.19</v>
      </c>
      <c r="CF8" s="745">
        <v>78.400000000000006</v>
      </c>
      <c r="CG8" s="745">
        <v>78.61</v>
      </c>
      <c r="CH8" s="745">
        <v>78.790000000000006</v>
      </c>
      <c r="CI8" s="745">
        <v>79.02</v>
      </c>
      <c r="CJ8" s="745">
        <v>79.2</v>
      </c>
      <c r="CK8" s="745">
        <v>79.37</v>
      </c>
      <c r="CL8" s="745">
        <v>79.569999999999993</v>
      </c>
      <c r="CM8" s="745">
        <v>79.760000000000005</v>
      </c>
      <c r="CN8" s="745">
        <v>79.94</v>
      </c>
      <c r="CO8" s="745">
        <v>80.11</v>
      </c>
      <c r="CP8" s="745">
        <v>80.290000000000006</v>
      </c>
      <c r="CQ8" s="745">
        <v>80.459999999999994</v>
      </c>
      <c r="CR8" s="745">
        <v>80.62</v>
      </c>
      <c r="CS8" s="745">
        <v>80.790000000000006</v>
      </c>
      <c r="CT8" s="745">
        <v>80.959999999999994</v>
      </c>
      <c r="CU8" s="745">
        <v>81.12</v>
      </c>
      <c r="CV8" s="745">
        <v>81.27</v>
      </c>
      <c r="CW8" s="745">
        <v>81.44</v>
      </c>
      <c r="CX8" s="745">
        <v>81.599999999999994</v>
      </c>
      <c r="CY8" s="745">
        <v>81.760000000000005</v>
      </c>
      <c r="CZ8" s="745">
        <v>81.91</v>
      </c>
      <c r="DA8" s="745">
        <v>82.06</v>
      </c>
      <c r="DB8" s="745">
        <v>82.22</v>
      </c>
      <c r="DC8" s="745">
        <v>82.37</v>
      </c>
      <c r="DD8" s="745">
        <v>82.52</v>
      </c>
      <c r="DE8" s="745">
        <v>82.67</v>
      </c>
      <c r="DF8" s="745">
        <v>82.81</v>
      </c>
      <c r="DG8" s="745">
        <v>82.96</v>
      </c>
      <c r="DH8" s="745">
        <v>83.1</v>
      </c>
      <c r="DI8" s="745">
        <v>83.25</v>
      </c>
      <c r="DJ8" s="745">
        <v>83.39</v>
      </c>
      <c r="DK8" s="745">
        <v>83.53</v>
      </c>
      <c r="DL8" s="745">
        <v>83.67</v>
      </c>
      <c r="DM8" s="745">
        <v>83.81</v>
      </c>
      <c r="DN8" s="745">
        <v>83.95</v>
      </c>
      <c r="DO8" s="745">
        <v>84.09</v>
      </c>
      <c r="DP8" s="745">
        <v>84.22</v>
      </c>
      <c r="DQ8" s="745">
        <v>84.36</v>
      </c>
      <c r="DR8" s="745">
        <v>84.49</v>
      </c>
    </row>
    <row r="9" spans="1:122">
      <c r="A9" s="912">
        <v>7</v>
      </c>
      <c r="B9" s="92"/>
      <c r="C9" s="92"/>
      <c r="D9" s="92"/>
      <c r="E9" s="92"/>
      <c r="F9" s="92"/>
      <c r="G9" s="92"/>
      <c r="H9" s="92"/>
      <c r="I9" s="92"/>
      <c r="J9" s="92"/>
      <c r="K9" s="92"/>
      <c r="L9" s="92"/>
      <c r="M9" s="92"/>
      <c r="N9" s="92"/>
      <c r="O9" s="92"/>
      <c r="P9" s="92"/>
      <c r="Q9" s="92"/>
      <c r="R9" s="92"/>
      <c r="S9" s="92"/>
      <c r="T9" s="92"/>
      <c r="U9" s="92"/>
      <c r="V9" s="745"/>
      <c r="W9" s="745">
        <v>63.59</v>
      </c>
      <c r="X9" s="745">
        <v>63.84</v>
      </c>
      <c r="Y9" s="745">
        <v>63.93</v>
      </c>
      <c r="Z9" s="745">
        <v>64.19</v>
      </c>
      <c r="AA9" s="745">
        <v>64.430000000000007</v>
      </c>
      <c r="AB9" s="745">
        <v>64.66</v>
      </c>
      <c r="AC9" s="745">
        <v>64.75</v>
      </c>
      <c r="AD9" s="745">
        <v>64.84</v>
      </c>
      <c r="AE9" s="745">
        <v>65.09</v>
      </c>
      <c r="AF9" s="745">
        <v>65.42</v>
      </c>
      <c r="AG9" s="745">
        <v>65.760000000000005</v>
      </c>
      <c r="AH9" s="745">
        <v>66.14</v>
      </c>
      <c r="AI9" s="745">
        <v>66.47</v>
      </c>
      <c r="AJ9" s="745">
        <v>66.86</v>
      </c>
      <c r="AK9" s="745">
        <v>67.19</v>
      </c>
      <c r="AL9" s="745">
        <v>67.569999999999993</v>
      </c>
      <c r="AM9" s="745">
        <v>67.989999999999995</v>
      </c>
      <c r="AN9" s="745">
        <v>68.319999999999993</v>
      </c>
      <c r="AO9" s="745">
        <v>68.63</v>
      </c>
      <c r="AP9" s="745">
        <v>68.900000000000006</v>
      </c>
      <c r="AQ9" s="745">
        <v>69.150000000000006</v>
      </c>
      <c r="AR9" s="745">
        <v>69.489999999999995</v>
      </c>
      <c r="AS9" s="745">
        <v>69.569999999999993</v>
      </c>
      <c r="AT9" s="745">
        <v>69.73</v>
      </c>
      <c r="AU9" s="745">
        <v>69.83</v>
      </c>
      <c r="AV9" s="745">
        <v>69.930000000000007</v>
      </c>
      <c r="AW9" s="745">
        <v>70.290000000000006</v>
      </c>
      <c r="AX9" s="745">
        <v>70.48</v>
      </c>
      <c r="AY9" s="745">
        <v>70.58</v>
      </c>
      <c r="AZ9" s="745">
        <v>70.61</v>
      </c>
      <c r="BA9" s="745">
        <v>70.67</v>
      </c>
      <c r="BB9" s="745">
        <v>70.83</v>
      </c>
      <c r="BC9" s="745">
        <v>70.95</v>
      </c>
      <c r="BD9" s="745">
        <v>71.150000000000006</v>
      </c>
      <c r="BE9" s="745">
        <v>71.34</v>
      </c>
      <c r="BF9" s="745">
        <v>71.569999999999993</v>
      </c>
      <c r="BG9" s="745">
        <v>71.73</v>
      </c>
      <c r="BH9" s="745">
        <v>72.06</v>
      </c>
      <c r="BI9" s="745">
        <v>72.27</v>
      </c>
      <c r="BJ9" s="745">
        <v>72.56</v>
      </c>
      <c r="BK9" s="745">
        <v>72.81</v>
      </c>
      <c r="BL9" s="745">
        <v>73.12</v>
      </c>
      <c r="BM9" s="745">
        <v>73.42</v>
      </c>
      <c r="BN9" s="745">
        <v>73.69</v>
      </c>
      <c r="BO9" s="745">
        <v>73.959999999999994</v>
      </c>
      <c r="BP9" s="745">
        <v>74.209999999999994</v>
      </c>
      <c r="BQ9" s="745">
        <v>74.44</v>
      </c>
      <c r="BR9" s="745">
        <v>74.69</v>
      </c>
      <c r="BS9" s="745">
        <v>74.900000000000006</v>
      </c>
      <c r="BT9" s="857">
        <v>75.099999999999994</v>
      </c>
      <c r="BU9" s="745">
        <v>75.27</v>
      </c>
      <c r="BV9" s="745">
        <v>75.489999999999995</v>
      </c>
      <c r="BW9" s="745">
        <v>75.69</v>
      </c>
      <c r="BX9" s="745">
        <v>75.900000000000006</v>
      </c>
      <c r="BY9" s="745">
        <v>76.09</v>
      </c>
      <c r="BZ9" s="745">
        <v>76.27</v>
      </c>
      <c r="CA9" s="745">
        <v>76.45</v>
      </c>
      <c r="CB9" s="745">
        <v>76.61</v>
      </c>
      <c r="CC9" s="745">
        <v>76.819999999999993</v>
      </c>
      <c r="CD9" s="745">
        <v>77.02</v>
      </c>
      <c r="CE9" s="745">
        <v>77.22</v>
      </c>
      <c r="CF9" s="745">
        <v>77.42</v>
      </c>
      <c r="CG9" s="745">
        <v>77.62</v>
      </c>
      <c r="CH9" s="745">
        <v>77.81</v>
      </c>
      <c r="CI9" s="745">
        <v>78.03</v>
      </c>
      <c r="CJ9" s="745">
        <v>78.209999999999994</v>
      </c>
      <c r="CK9" s="745">
        <v>78.39</v>
      </c>
      <c r="CL9" s="745">
        <v>78.58</v>
      </c>
      <c r="CM9" s="745">
        <v>78.78</v>
      </c>
      <c r="CN9" s="745">
        <v>78.95</v>
      </c>
      <c r="CO9" s="745">
        <v>79.12</v>
      </c>
      <c r="CP9" s="745">
        <v>79.3</v>
      </c>
      <c r="CQ9" s="745">
        <v>79.47</v>
      </c>
      <c r="CR9" s="745">
        <v>79.63</v>
      </c>
      <c r="CS9" s="745">
        <v>79.8</v>
      </c>
      <c r="CT9" s="745">
        <v>79.98</v>
      </c>
      <c r="CU9" s="745">
        <v>80.13</v>
      </c>
      <c r="CV9" s="745">
        <v>80.28</v>
      </c>
      <c r="CW9" s="745">
        <v>80.44</v>
      </c>
      <c r="CX9" s="745">
        <v>80.599999999999994</v>
      </c>
      <c r="CY9" s="745">
        <v>80.77</v>
      </c>
      <c r="CZ9" s="745">
        <v>80.92</v>
      </c>
      <c r="DA9" s="745">
        <v>81.069999999999993</v>
      </c>
      <c r="DB9" s="745">
        <v>81.23</v>
      </c>
      <c r="DC9" s="745">
        <v>81.37</v>
      </c>
      <c r="DD9" s="745">
        <v>81.53</v>
      </c>
      <c r="DE9" s="745">
        <v>81.680000000000007</v>
      </c>
      <c r="DF9" s="745">
        <v>81.819999999999993</v>
      </c>
      <c r="DG9" s="745">
        <v>81.97</v>
      </c>
      <c r="DH9" s="745">
        <v>82.11</v>
      </c>
      <c r="DI9" s="745">
        <v>82.25</v>
      </c>
      <c r="DJ9" s="745">
        <v>82.4</v>
      </c>
      <c r="DK9" s="745">
        <v>82.54</v>
      </c>
      <c r="DL9" s="745">
        <v>82.68</v>
      </c>
      <c r="DM9" s="745">
        <v>82.82</v>
      </c>
      <c r="DN9" s="745">
        <v>82.96</v>
      </c>
      <c r="DO9" s="745">
        <v>83.09</v>
      </c>
      <c r="DP9" s="745">
        <v>83.23</v>
      </c>
      <c r="DQ9" s="745">
        <v>83.36</v>
      </c>
      <c r="DR9" s="745">
        <v>83.5</v>
      </c>
    </row>
    <row r="10" spans="1:122">
      <c r="A10" s="912">
        <v>8</v>
      </c>
      <c r="B10" s="92"/>
      <c r="C10" s="92"/>
      <c r="D10" s="92"/>
      <c r="E10" s="92"/>
      <c r="F10" s="92"/>
      <c r="G10" s="92"/>
      <c r="H10" s="92"/>
      <c r="I10" s="92"/>
      <c r="J10" s="92"/>
      <c r="K10" s="92"/>
      <c r="L10" s="92"/>
      <c r="M10" s="92"/>
      <c r="N10" s="92"/>
      <c r="O10" s="92"/>
      <c r="P10" s="92"/>
      <c r="Q10" s="92"/>
      <c r="R10" s="92"/>
      <c r="S10" s="92"/>
      <c r="T10" s="92"/>
      <c r="U10" s="92"/>
      <c r="V10" s="745"/>
      <c r="W10" s="745">
        <v>62.72</v>
      </c>
      <c r="X10" s="745">
        <v>62.98</v>
      </c>
      <c r="Y10" s="745">
        <v>63.07</v>
      </c>
      <c r="Z10" s="745">
        <v>63.3</v>
      </c>
      <c r="AA10" s="745">
        <v>63.56</v>
      </c>
      <c r="AB10" s="745">
        <v>63.79</v>
      </c>
      <c r="AC10" s="745">
        <v>63.88</v>
      </c>
      <c r="AD10" s="745">
        <v>63.98</v>
      </c>
      <c r="AE10" s="745">
        <v>64.23</v>
      </c>
      <c r="AF10" s="745">
        <v>64.55</v>
      </c>
      <c r="AG10" s="745">
        <v>64.89</v>
      </c>
      <c r="AH10" s="745">
        <v>65.27</v>
      </c>
      <c r="AI10" s="745">
        <v>65.61</v>
      </c>
      <c r="AJ10" s="745">
        <v>66</v>
      </c>
      <c r="AK10" s="745">
        <v>66.33</v>
      </c>
      <c r="AL10" s="745">
        <v>66.72</v>
      </c>
      <c r="AM10" s="745">
        <v>67.17</v>
      </c>
      <c r="AN10" s="745">
        <v>67.540000000000006</v>
      </c>
      <c r="AO10" s="745">
        <v>67.739999999999995</v>
      </c>
      <c r="AP10" s="745">
        <v>68.02</v>
      </c>
      <c r="AQ10" s="745">
        <v>68.239999999999995</v>
      </c>
      <c r="AR10" s="745">
        <v>68.55</v>
      </c>
      <c r="AS10" s="745">
        <v>68.63</v>
      </c>
      <c r="AT10" s="745">
        <v>68.8</v>
      </c>
      <c r="AU10" s="745">
        <v>68.88</v>
      </c>
      <c r="AV10" s="745">
        <v>68.989999999999995</v>
      </c>
      <c r="AW10" s="745">
        <v>69.34</v>
      </c>
      <c r="AX10" s="745">
        <v>69.53</v>
      </c>
      <c r="AY10" s="745">
        <v>69.63</v>
      </c>
      <c r="AZ10" s="745">
        <v>69.66</v>
      </c>
      <c r="BA10" s="745">
        <v>69.709999999999994</v>
      </c>
      <c r="BB10" s="745">
        <v>69.88</v>
      </c>
      <c r="BC10" s="745">
        <v>69.989999999999995</v>
      </c>
      <c r="BD10" s="745">
        <v>70.19</v>
      </c>
      <c r="BE10" s="745">
        <v>70.38</v>
      </c>
      <c r="BF10" s="745">
        <v>70.62</v>
      </c>
      <c r="BG10" s="745">
        <v>70.77</v>
      </c>
      <c r="BH10" s="745">
        <v>71.099999999999994</v>
      </c>
      <c r="BI10" s="745">
        <v>71.31</v>
      </c>
      <c r="BJ10" s="745">
        <v>71.61</v>
      </c>
      <c r="BK10" s="745">
        <v>71.849999999999994</v>
      </c>
      <c r="BL10" s="745">
        <v>72.16</v>
      </c>
      <c r="BM10" s="745">
        <v>72.459999999999994</v>
      </c>
      <c r="BN10" s="745">
        <v>72.73</v>
      </c>
      <c r="BO10" s="745">
        <v>73.010000000000005</v>
      </c>
      <c r="BP10" s="745">
        <v>73.25</v>
      </c>
      <c r="BQ10" s="745">
        <v>73.48</v>
      </c>
      <c r="BR10" s="745">
        <v>73.72</v>
      </c>
      <c r="BS10" s="745">
        <v>73.930000000000007</v>
      </c>
      <c r="BT10" s="857">
        <v>74.14</v>
      </c>
      <c r="BU10" s="745">
        <v>74.31</v>
      </c>
      <c r="BV10" s="745">
        <v>74.52</v>
      </c>
      <c r="BW10" s="745">
        <v>74.72</v>
      </c>
      <c r="BX10" s="745">
        <v>74.930000000000007</v>
      </c>
      <c r="BY10" s="745">
        <v>75.11</v>
      </c>
      <c r="BZ10" s="745">
        <v>75.290000000000006</v>
      </c>
      <c r="CA10" s="745">
        <v>75.47</v>
      </c>
      <c r="CB10" s="745">
        <v>75.64</v>
      </c>
      <c r="CC10" s="745">
        <v>75.83</v>
      </c>
      <c r="CD10" s="745">
        <v>76.040000000000006</v>
      </c>
      <c r="CE10" s="745">
        <v>76.239999999999995</v>
      </c>
      <c r="CF10" s="745">
        <v>76.44</v>
      </c>
      <c r="CG10" s="745">
        <v>76.650000000000006</v>
      </c>
      <c r="CH10" s="745">
        <v>76.819999999999993</v>
      </c>
      <c r="CI10" s="745">
        <v>77.05</v>
      </c>
      <c r="CJ10" s="745">
        <v>77.23</v>
      </c>
      <c r="CK10" s="745">
        <v>77.400000000000006</v>
      </c>
      <c r="CL10" s="745">
        <v>77.599999999999994</v>
      </c>
      <c r="CM10" s="745">
        <v>77.78</v>
      </c>
      <c r="CN10" s="745">
        <v>77.97</v>
      </c>
      <c r="CO10" s="745">
        <v>78.13</v>
      </c>
      <c r="CP10" s="745">
        <v>78.31</v>
      </c>
      <c r="CQ10" s="745">
        <v>78.48</v>
      </c>
      <c r="CR10" s="745">
        <v>78.64</v>
      </c>
      <c r="CS10" s="745">
        <v>78.81</v>
      </c>
      <c r="CT10" s="745">
        <v>78.989999999999995</v>
      </c>
      <c r="CU10" s="745">
        <v>79.13</v>
      </c>
      <c r="CV10" s="745">
        <v>79.290000000000006</v>
      </c>
      <c r="CW10" s="745">
        <v>79.45</v>
      </c>
      <c r="CX10" s="745">
        <v>79.61</v>
      </c>
      <c r="CY10" s="745">
        <v>79.78</v>
      </c>
      <c r="CZ10" s="745">
        <v>79.930000000000007</v>
      </c>
      <c r="DA10" s="745">
        <v>80.08</v>
      </c>
      <c r="DB10" s="745">
        <v>80.239999999999995</v>
      </c>
      <c r="DC10" s="745">
        <v>80.38</v>
      </c>
      <c r="DD10" s="745">
        <v>80.53</v>
      </c>
      <c r="DE10" s="745">
        <v>80.680000000000007</v>
      </c>
      <c r="DF10" s="745">
        <v>80.819999999999993</v>
      </c>
      <c r="DG10" s="745">
        <v>80.97</v>
      </c>
      <c r="DH10" s="745">
        <v>81.12</v>
      </c>
      <c r="DI10" s="745">
        <v>81.260000000000005</v>
      </c>
      <c r="DJ10" s="745">
        <v>81.41</v>
      </c>
      <c r="DK10" s="745">
        <v>81.55</v>
      </c>
      <c r="DL10" s="745">
        <v>81.69</v>
      </c>
      <c r="DM10" s="745">
        <v>81.83</v>
      </c>
      <c r="DN10" s="745">
        <v>81.96</v>
      </c>
      <c r="DO10" s="745">
        <v>82.1</v>
      </c>
      <c r="DP10" s="745">
        <v>82.23</v>
      </c>
      <c r="DQ10" s="745">
        <v>82.37</v>
      </c>
      <c r="DR10" s="745">
        <v>82.5</v>
      </c>
    </row>
    <row r="11" spans="1:122">
      <c r="A11" s="912">
        <v>9</v>
      </c>
      <c r="B11" s="92"/>
      <c r="C11" s="92"/>
      <c r="D11" s="92"/>
      <c r="E11" s="92"/>
      <c r="F11" s="92"/>
      <c r="G11" s="92"/>
      <c r="H11" s="92"/>
      <c r="I11" s="92"/>
      <c r="J11" s="92"/>
      <c r="K11" s="92"/>
      <c r="L11" s="92"/>
      <c r="M11" s="92"/>
      <c r="N11" s="92"/>
      <c r="O11" s="92"/>
      <c r="P11" s="92"/>
      <c r="Q11" s="92"/>
      <c r="R11" s="92"/>
      <c r="S11" s="92"/>
      <c r="T11" s="92"/>
      <c r="U11" s="92"/>
      <c r="V11" s="745"/>
      <c r="W11" s="745">
        <v>61.84</v>
      </c>
      <c r="X11" s="745">
        <v>62.09</v>
      </c>
      <c r="Y11" s="745">
        <v>62.17</v>
      </c>
      <c r="Z11" s="745">
        <v>62.41</v>
      </c>
      <c r="AA11" s="745">
        <v>62.67</v>
      </c>
      <c r="AB11" s="745">
        <v>62.9</v>
      </c>
      <c r="AC11" s="745">
        <v>63.01</v>
      </c>
      <c r="AD11" s="745">
        <v>63.11</v>
      </c>
      <c r="AE11" s="745">
        <v>63.34</v>
      </c>
      <c r="AF11" s="745">
        <v>63.66</v>
      </c>
      <c r="AG11" s="745">
        <v>64.010000000000005</v>
      </c>
      <c r="AH11" s="745">
        <v>64.39</v>
      </c>
      <c r="AI11" s="745">
        <v>64.73</v>
      </c>
      <c r="AJ11" s="745">
        <v>65.13</v>
      </c>
      <c r="AK11" s="745">
        <v>65.459999999999994</v>
      </c>
      <c r="AL11" s="745">
        <v>65.88</v>
      </c>
      <c r="AM11" s="745">
        <v>66.349999999999994</v>
      </c>
      <c r="AN11" s="745">
        <v>66.64</v>
      </c>
      <c r="AO11" s="745">
        <v>66.84</v>
      </c>
      <c r="AP11" s="745">
        <v>67.099999999999994</v>
      </c>
      <c r="AQ11" s="745">
        <v>67.290000000000006</v>
      </c>
      <c r="AR11" s="745">
        <v>67.61</v>
      </c>
      <c r="AS11" s="745">
        <v>67.69</v>
      </c>
      <c r="AT11" s="745">
        <v>67.84</v>
      </c>
      <c r="AU11" s="745">
        <v>67.930000000000007</v>
      </c>
      <c r="AV11" s="745">
        <v>68.03</v>
      </c>
      <c r="AW11" s="745">
        <v>68.38</v>
      </c>
      <c r="AX11" s="745">
        <v>68.569999999999993</v>
      </c>
      <c r="AY11" s="745">
        <v>68.67</v>
      </c>
      <c r="AZ11" s="745">
        <v>68.7</v>
      </c>
      <c r="BA11" s="745">
        <v>68.75</v>
      </c>
      <c r="BB11" s="745">
        <v>68.92</v>
      </c>
      <c r="BC11" s="745">
        <v>69.040000000000006</v>
      </c>
      <c r="BD11" s="745">
        <v>69.23</v>
      </c>
      <c r="BE11" s="745">
        <v>69.42</v>
      </c>
      <c r="BF11" s="745">
        <v>69.66</v>
      </c>
      <c r="BG11" s="745">
        <v>69.819999999999993</v>
      </c>
      <c r="BH11" s="745">
        <v>70.150000000000006</v>
      </c>
      <c r="BI11" s="745">
        <v>70.36</v>
      </c>
      <c r="BJ11" s="745">
        <v>70.650000000000006</v>
      </c>
      <c r="BK11" s="745">
        <v>70.89</v>
      </c>
      <c r="BL11" s="745">
        <v>71.2</v>
      </c>
      <c r="BM11" s="745">
        <v>71.5</v>
      </c>
      <c r="BN11" s="745">
        <v>71.77</v>
      </c>
      <c r="BO11" s="745">
        <v>72.040000000000006</v>
      </c>
      <c r="BP11" s="745">
        <v>72.28</v>
      </c>
      <c r="BQ11" s="745">
        <v>72.510000000000005</v>
      </c>
      <c r="BR11" s="745">
        <v>72.75</v>
      </c>
      <c r="BS11" s="745">
        <v>72.959999999999994</v>
      </c>
      <c r="BT11" s="857">
        <v>73.17</v>
      </c>
      <c r="BU11" s="745">
        <v>73.33</v>
      </c>
      <c r="BV11" s="745">
        <v>73.55</v>
      </c>
      <c r="BW11" s="745">
        <v>73.75</v>
      </c>
      <c r="BX11" s="745">
        <v>73.95</v>
      </c>
      <c r="BY11" s="745">
        <v>74.13</v>
      </c>
      <c r="BZ11" s="745">
        <v>74.31</v>
      </c>
      <c r="CA11" s="745">
        <v>74.489999999999995</v>
      </c>
      <c r="CB11" s="745">
        <v>74.66</v>
      </c>
      <c r="CC11" s="745">
        <v>74.849999999999994</v>
      </c>
      <c r="CD11" s="745">
        <v>75.06</v>
      </c>
      <c r="CE11" s="745">
        <v>75.260000000000005</v>
      </c>
      <c r="CF11" s="745">
        <v>75.459999999999994</v>
      </c>
      <c r="CG11" s="745">
        <v>75.66</v>
      </c>
      <c r="CH11" s="745">
        <v>75.83</v>
      </c>
      <c r="CI11" s="745">
        <v>76.06</v>
      </c>
      <c r="CJ11" s="745">
        <v>76.239999999999995</v>
      </c>
      <c r="CK11" s="745">
        <v>76.41</v>
      </c>
      <c r="CL11" s="745">
        <v>76.61</v>
      </c>
      <c r="CM11" s="745">
        <v>76.8</v>
      </c>
      <c r="CN11" s="745">
        <v>76.98</v>
      </c>
      <c r="CO11" s="745">
        <v>77.150000000000006</v>
      </c>
      <c r="CP11" s="745">
        <v>77.319999999999993</v>
      </c>
      <c r="CQ11" s="745">
        <v>77.489999999999995</v>
      </c>
      <c r="CR11" s="745">
        <v>77.650000000000006</v>
      </c>
      <c r="CS11" s="745">
        <v>77.83</v>
      </c>
      <c r="CT11" s="745">
        <v>77.989999999999995</v>
      </c>
      <c r="CU11" s="745">
        <v>78.14</v>
      </c>
      <c r="CV11" s="745">
        <v>78.3</v>
      </c>
      <c r="CW11" s="745">
        <v>78.459999999999994</v>
      </c>
      <c r="CX11" s="745">
        <v>78.62</v>
      </c>
      <c r="CY11" s="745">
        <v>78.78</v>
      </c>
      <c r="CZ11" s="745">
        <v>78.94</v>
      </c>
      <c r="DA11" s="745">
        <v>79.08</v>
      </c>
      <c r="DB11" s="745">
        <v>79.239999999999995</v>
      </c>
      <c r="DC11" s="745">
        <v>79.39</v>
      </c>
      <c r="DD11" s="745">
        <v>79.540000000000006</v>
      </c>
      <c r="DE11" s="745">
        <v>79.69</v>
      </c>
      <c r="DF11" s="745">
        <v>79.83</v>
      </c>
      <c r="DG11" s="745">
        <v>79.98</v>
      </c>
      <c r="DH11" s="745">
        <v>80.12</v>
      </c>
      <c r="DI11" s="745">
        <v>80.27</v>
      </c>
      <c r="DJ11" s="745">
        <v>80.41</v>
      </c>
      <c r="DK11" s="745">
        <v>80.55</v>
      </c>
      <c r="DL11" s="745">
        <v>80.69</v>
      </c>
      <c r="DM11" s="745">
        <v>80.83</v>
      </c>
      <c r="DN11" s="745">
        <v>80.97</v>
      </c>
      <c r="DO11" s="745">
        <v>81.099999999999994</v>
      </c>
      <c r="DP11" s="745">
        <v>81.239999999999995</v>
      </c>
      <c r="DQ11" s="745">
        <v>81.37</v>
      </c>
      <c r="DR11" s="745">
        <v>81.5</v>
      </c>
    </row>
    <row r="12" spans="1:122">
      <c r="A12" s="912">
        <v>10</v>
      </c>
      <c r="B12" s="92"/>
      <c r="C12" s="92"/>
      <c r="D12" s="92"/>
      <c r="E12" s="92"/>
      <c r="F12" s="92"/>
      <c r="G12" s="92"/>
      <c r="H12" s="92"/>
      <c r="I12" s="92"/>
      <c r="J12" s="92"/>
      <c r="K12" s="92"/>
      <c r="L12" s="92"/>
      <c r="M12" s="92"/>
      <c r="N12" s="92"/>
      <c r="O12" s="92"/>
      <c r="P12" s="92"/>
      <c r="Q12" s="92"/>
      <c r="R12" s="92"/>
      <c r="S12" s="92"/>
      <c r="T12" s="92"/>
      <c r="U12" s="92"/>
      <c r="V12" s="745"/>
      <c r="W12" s="745">
        <v>60.94</v>
      </c>
      <c r="X12" s="745">
        <v>61.18</v>
      </c>
      <c r="Y12" s="745">
        <v>61.26</v>
      </c>
      <c r="Z12" s="745">
        <v>61.5</v>
      </c>
      <c r="AA12" s="745">
        <v>61.76</v>
      </c>
      <c r="AB12" s="745">
        <v>62.01</v>
      </c>
      <c r="AC12" s="745">
        <v>62.11</v>
      </c>
      <c r="AD12" s="745">
        <v>62.2</v>
      </c>
      <c r="AE12" s="745">
        <v>62.44</v>
      </c>
      <c r="AF12" s="745">
        <v>62.77</v>
      </c>
      <c r="AG12" s="745">
        <v>63.11</v>
      </c>
      <c r="AH12" s="745">
        <v>63.5</v>
      </c>
      <c r="AI12" s="745">
        <v>63.84</v>
      </c>
      <c r="AJ12" s="745">
        <v>64.239999999999995</v>
      </c>
      <c r="AK12" s="745">
        <v>64.59</v>
      </c>
      <c r="AL12" s="745">
        <v>65.040000000000006</v>
      </c>
      <c r="AM12" s="745">
        <v>65.45</v>
      </c>
      <c r="AN12" s="745">
        <v>65.739999999999995</v>
      </c>
      <c r="AO12" s="745">
        <v>65.92</v>
      </c>
      <c r="AP12" s="745">
        <v>66.150000000000006</v>
      </c>
      <c r="AQ12" s="745">
        <v>66.34</v>
      </c>
      <c r="AR12" s="745">
        <v>66.66</v>
      </c>
      <c r="AS12" s="745">
        <v>66.73</v>
      </c>
      <c r="AT12" s="745">
        <v>66.88</v>
      </c>
      <c r="AU12" s="745">
        <v>66.97</v>
      </c>
      <c r="AV12" s="745">
        <v>67.069999999999993</v>
      </c>
      <c r="AW12" s="745">
        <v>67.42</v>
      </c>
      <c r="AX12" s="745">
        <v>67.61</v>
      </c>
      <c r="AY12" s="745">
        <v>67.709999999999994</v>
      </c>
      <c r="AZ12" s="745">
        <v>67.739999999999995</v>
      </c>
      <c r="BA12" s="745">
        <v>67.790000000000006</v>
      </c>
      <c r="BB12" s="745">
        <v>67.95</v>
      </c>
      <c r="BC12" s="745">
        <v>68.069999999999993</v>
      </c>
      <c r="BD12" s="745">
        <v>68.260000000000005</v>
      </c>
      <c r="BE12" s="745">
        <v>68.459999999999994</v>
      </c>
      <c r="BF12" s="745">
        <v>68.69</v>
      </c>
      <c r="BG12" s="745">
        <v>68.849999999999994</v>
      </c>
      <c r="BH12" s="745">
        <v>69.180000000000007</v>
      </c>
      <c r="BI12" s="745">
        <v>69.39</v>
      </c>
      <c r="BJ12" s="745">
        <v>69.680000000000007</v>
      </c>
      <c r="BK12" s="745">
        <v>69.92</v>
      </c>
      <c r="BL12" s="745">
        <v>70.23</v>
      </c>
      <c r="BM12" s="745">
        <v>70.53</v>
      </c>
      <c r="BN12" s="745">
        <v>70.8</v>
      </c>
      <c r="BO12" s="745">
        <v>71.06</v>
      </c>
      <c r="BP12" s="745">
        <v>71.31</v>
      </c>
      <c r="BQ12" s="745">
        <v>71.540000000000006</v>
      </c>
      <c r="BR12" s="745">
        <v>71.78</v>
      </c>
      <c r="BS12" s="745">
        <v>71.98</v>
      </c>
      <c r="BT12" s="857">
        <v>72.19</v>
      </c>
      <c r="BU12" s="745">
        <v>72.36</v>
      </c>
      <c r="BV12" s="745">
        <v>72.569999999999993</v>
      </c>
      <c r="BW12" s="745">
        <v>72.77</v>
      </c>
      <c r="BX12" s="745">
        <v>72.98</v>
      </c>
      <c r="BY12" s="745">
        <v>73.150000000000006</v>
      </c>
      <c r="BZ12" s="745">
        <v>73.319999999999993</v>
      </c>
      <c r="CA12" s="745">
        <v>73.510000000000005</v>
      </c>
      <c r="CB12" s="745">
        <v>73.67</v>
      </c>
      <c r="CC12" s="745">
        <v>73.87</v>
      </c>
      <c r="CD12" s="745">
        <v>74.069999999999993</v>
      </c>
      <c r="CE12" s="745">
        <v>74.27</v>
      </c>
      <c r="CF12" s="745">
        <v>74.47</v>
      </c>
      <c r="CG12" s="745">
        <v>74.67</v>
      </c>
      <c r="CH12" s="745">
        <v>74.849999999999994</v>
      </c>
      <c r="CI12" s="745">
        <v>75.069999999999993</v>
      </c>
      <c r="CJ12" s="745">
        <v>75.25</v>
      </c>
      <c r="CK12" s="745">
        <v>75.42</v>
      </c>
      <c r="CL12" s="745">
        <v>75.62</v>
      </c>
      <c r="CM12" s="745">
        <v>75.8</v>
      </c>
      <c r="CN12" s="745">
        <v>75.989999999999995</v>
      </c>
      <c r="CO12" s="745">
        <v>76.16</v>
      </c>
      <c r="CP12" s="745">
        <v>76.319999999999993</v>
      </c>
      <c r="CQ12" s="745">
        <v>76.5</v>
      </c>
      <c r="CR12" s="745">
        <v>76.66</v>
      </c>
      <c r="CS12" s="745">
        <v>76.83</v>
      </c>
      <c r="CT12" s="745">
        <v>77</v>
      </c>
      <c r="CU12" s="745">
        <v>77.150000000000006</v>
      </c>
      <c r="CV12" s="745">
        <v>77.31</v>
      </c>
      <c r="CW12" s="745">
        <v>77.47</v>
      </c>
      <c r="CX12" s="745">
        <v>77.63</v>
      </c>
      <c r="CY12" s="745">
        <v>77.790000000000006</v>
      </c>
      <c r="CZ12" s="745">
        <v>77.94</v>
      </c>
      <c r="DA12" s="745">
        <v>78.09</v>
      </c>
      <c r="DB12" s="745">
        <v>78.25</v>
      </c>
      <c r="DC12" s="745">
        <v>78.400000000000006</v>
      </c>
      <c r="DD12" s="745">
        <v>78.540000000000006</v>
      </c>
      <c r="DE12" s="745">
        <v>78.69</v>
      </c>
      <c r="DF12" s="745">
        <v>78.84</v>
      </c>
      <c r="DG12" s="745">
        <v>78.989999999999995</v>
      </c>
      <c r="DH12" s="745">
        <v>79.13</v>
      </c>
      <c r="DI12" s="745">
        <v>79.27</v>
      </c>
      <c r="DJ12" s="745">
        <v>79.42</v>
      </c>
      <c r="DK12" s="745">
        <v>79.56</v>
      </c>
      <c r="DL12" s="745">
        <v>79.7</v>
      </c>
      <c r="DM12" s="745">
        <v>79.84</v>
      </c>
      <c r="DN12" s="745">
        <v>79.97</v>
      </c>
      <c r="DO12" s="745">
        <v>80.11</v>
      </c>
      <c r="DP12" s="745">
        <v>80.239999999999995</v>
      </c>
      <c r="DQ12" s="745">
        <v>80.38</v>
      </c>
      <c r="DR12" s="745">
        <v>80.510000000000005</v>
      </c>
    </row>
    <row r="13" spans="1:122">
      <c r="A13" s="912">
        <v>11</v>
      </c>
      <c r="B13" s="92"/>
      <c r="C13" s="92"/>
      <c r="D13" s="92"/>
      <c r="E13" s="92"/>
      <c r="F13" s="92"/>
      <c r="G13" s="92"/>
      <c r="H13" s="92"/>
      <c r="I13" s="92"/>
      <c r="J13" s="92"/>
      <c r="K13" s="92"/>
      <c r="L13" s="92"/>
      <c r="M13" s="92"/>
      <c r="N13" s="92"/>
      <c r="O13" s="92"/>
      <c r="P13" s="92"/>
      <c r="Q13" s="92"/>
      <c r="R13" s="92"/>
      <c r="S13" s="92"/>
      <c r="T13" s="92"/>
      <c r="U13" s="92"/>
      <c r="V13" s="745"/>
      <c r="W13" s="745">
        <v>60.01</v>
      </c>
      <c r="X13" s="745">
        <v>60.26</v>
      </c>
      <c r="Y13" s="745">
        <v>60.34</v>
      </c>
      <c r="Z13" s="745">
        <v>60.58</v>
      </c>
      <c r="AA13" s="745">
        <v>60.86</v>
      </c>
      <c r="AB13" s="745">
        <v>61.1</v>
      </c>
      <c r="AC13" s="745">
        <v>61.2</v>
      </c>
      <c r="AD13" s="745">
        <v>61.29</v>
      </c>
      <c r="AE13" s="745">
        <v>61.53</v>
      </c>
      <c r="AF13" s="745">
        <v>61.85</v>
      </c>
      <c r="AG13" s="745">
        <v>62.2</v>
      </c>
      <c r="AH13" s="745">
        <v>62.59</v>
      </c>
      <c r="AI13" s="745">
        <v>62.94</v>
      </c>
      <c r="AJ13" s="745">
        <v>63.35</v>
      </c>
      <c r="AK13" s="745">
        <v>63.73</v>
      </c>
      <c r="AL13" s="745">
        <v>64.13</v>
      </c>
      <c r="AM13" s="745">
        <v>64.540000000000006</v>
      </c>
      <c r="AN13" s="745">
        <v>64.81</v>
      </c>
      <c r="AO13" s="745">
        <v>64.959999999999994</v>
      </c>
      <c r="AP13" s="745">
        <v>65.19</v>
      </c>
      <c r="AQ13" s="745">
        <v>65.39</v>
      </c>
      <c r="AR13" s="745">
        <v>65.7</v>
      </c>
      <c r="AS13" s="745">
        <v>65.760000000000005</v>
      </c>
      <c r="AT13" s="745">
        <v>65.92</v>
      </c>
      <c r="AU13" s="745">
        <v>66</v>
      </c>
      <c r="AV13" s="745">
        <v>66.11</v>
      </c>
      <c r="AW13" s="745">
        <v>66.459999999999994</v>
      </c>
      <c r="AX13" s="745">
        <v>66.64</v>
      </c>
      <c r="AY13" s="745">
        <v>66.75</v>
      </c>
      <c r="AZ13" s="745">
        <v>66.77</v>
      </c>
      <c r="BA13" s="745">
        <v>66.819999999999993</v>
      </c>
      <c r="BB13" s="745">
        <v>66.989999999999995</v>
      </c>
      <c r="BC13" s="745">
        <v>67.099999999999994</v>
      </c>
      <c r="BD13" s="745">
        <v>67.3</v>
      </c>
      <c r="BE13" s="745">
        <v>67.489999999999995</v>
      </c>
      <c r="BF13" s="745">
        <v>67.72</v>
      </c>
      <c r="BG13" s="745">
        <v>67.88</v>
      </c>
      <c r="BH13" s="745">
        <v>68.209999999999994</v>
      </c>
      <c r="BI13" s="745">
        <v>68.430000000000007</v>
      </c>
      <c r="BJ13" s="745">
        <v>68.709999999999994</v>
      </c>
      <c r="BK13" s="745">
        <v>68.95</v>
      </c>
      <c r="BL13" s="745">
        <v>69.260000000000005</v>
      </c>
      <c r="BM13" s="745">
        <v>69.56</v>
      </c>
      <c r="BN13" s="745">
        <v>69.819999999999993</v>
      </c>
      <c r="BO13" s="745">
        <v>70.09</v>
      </c>
      <c r="BP13" s="745">
        <v>70.33</v>
      </c>
      <c r="BQ13" s="745">
        <v>70.56</v>
      </c>
      <c r="BR13" s="745">
        <v>70.8</v>
      </c>
      <c r="BS13" s="745">
        <v>71.010000000000005</v>
      </c>
      <c r="BT13" s="857">
        <v>71.22</v>
      </c>
      <c r="BU13" s="745">
        <v>71.37</v>
      </c>
      <c r="BV13" s="745">
        <v>71.59</v>
      </c>
      <c r="BW13" s="745">
        <v>71.790000000000006</v>
      </c>
      <c r="BX13" s="745">
        <v>71.989999999999995</v>
      </c>
      <c r="BY13" s="745">
        <v>72.16</v>
      </c>
      <c r="BZ13" s="745">
        <v>72.34</v>
      </c>
      <c r="CA13" s="745">
        <v>72.52</v>
      </c>
      <c r="CB13" s="745">
        <v>72.69</v>
      </c>
      <c r="CC13" s="745">
        <v>72.89</v>
      </c>
      <c r="CD13" s="745">
        <v>73.09</v>
      </c>
      <c r="CE13" s="745">
        <v>73.290000000000006</v>
      </c>
      <c r="CF13" s="745">
        <v>73.48</v>
      </c>
      <c r="CG13" s="745">
        <v>73.69</v>
      </c>
      <c r="CH13" s="745">
        <v>73.86</v>
      </c>
      <c r="CI13" s="745">
        <v>74.08</v>
      </c>
      <c r="CJ13" s="745">
        <v>74.260000000000005</v>
      </c>
      <c r="CK13" s="745">
        <v>74.430000000000007</v>
      </c>
      <c r="CL13" s="745">
        <v>74.63</v>
      </c>
      <c r="CM13" s="745">
        <v>74.81</v>
      </c>
      <c r="CN13" s="745">
        <v>74.989999999999995</v>
      </c>
      <c r="CO13" s="745">
        <v>75.16</v>
      </c>
      <c r="CP13" s="745">
        <v>75.33</v>
      </c>
      <c r="CQ13" s="745">
        <v>75.5</v>
      </c>
      <c r="CR13" s="745">
        <v>75.66</v>
      </c>
      <c r="CS13" s="745">
        <v>75.84</v>
      </c>
      <c r="CT13" s="745">
        <v>76.010000000000005</v>
      </c>
      <c r="CU13" s="745">
        <v>76.16</v>
      </c>
      <c r="CV13" s="745">
        <v>76.31</v>
      </c>
      <c r="CW13" s="745">
        <v>76.48</v>
      </c>
      <c r="CX13" s="745">
        <v>76.63</v>
      </c>
      <c r="CY13" s="745">
        <v>76.8</v>
      </c>
      <c r="CZ13" s="745">
        <v>76.95</v>
      </c>
      <c r="DA13" s="745">
        <v>77.099999999999994</v>
      </c>
      <c r="DB13" s="745">
        <v>77.260000000000005</v>
      </c>
      <c r="DC13" s="745">
        <v>77.400000000000006</v>
      </c>
      <c r="DD13" s="745">
        <v>77.55</v>
      </c>
      <c r="DE13" s="745">
        <v>77.7</v>
      </c>
      <c r="DF13" s="745">
        <v>77.849999999999994</v>
      </c>
      <c r="DG13" s="745">
        <v>77.989999999999995</v>
      </c>
      <c r="DH13" s="745">
        <v>78.14</v>
      </c>
      <c r="DI13" s="745">
        <v>78.28</v>
      </c>
      <c r="DJ13" s="745">
        <v>78.42</v>
      </c>
      <c r="DK13" s="745">
        <v>78.56</v>
      </c>
      <c r="DL13" s="745">
        <v>78.7</v>
      </c>
      <c r="DM13" s="745">
        <v>78.84</v>
      </c>
      <c r="DN13" s="745">
        <v>78.98</v>
      </c>
      <c r="DO13" s="745">
        <v>79.11</v>
      </c>
      <c r="DP13" s="745">
        <v>79.25</v>
      </c>
      <c r="DQ13" s="745">
        <v>79.38</v>
      </c>
      <c r="DR13" s="745">
        <v>79.510000000000005</v>
      </c>
    </row>
    <row r="14" spans="1:122">
      <c r="A14" s="912">
        <v>12</v>
      </c>
      <c r="B14" s="92"/>
      <c r="C14" s="92"/>
      <c r="D14" s="92"/>
      <c r="E14" s="92"/>
      <c r="F14" s="92"/>
      <c r="G14" s="92"/>
      <c r="H14" s="92"/>
      <c r="I14" s="92"/>
      <c r="J14" s="92"/>
      <c r="K14" s="92"/>
      <c r="L14" s="92"/>
      <c r="M14" s="92"/>
      <c r="N14" s="92"/>
      <c r="O14" s="92"/>
      <c r="P14" s="92"/>
      <c r="Q14" s="92"/>
      <c r="R14" s="92"/>
      <c r="S14" s="92"/>
      <c r="T14" s="92"/>
      <c r="U14" s="92"/>
      <c r="V14" s="745"/>
      <c r="W14" s="745">
        <v>59.09</v>
      </c>
      <c r="X14" s="745">
        <v>59.33</v>
      </c>
      <c r="Y14" s="745">
        <v>59.41</v>
      </c>
      <c r="Z14" s="745">
        <v>59.67</v>
      </c>
      <c r="AA14" s="745">
        <v>59.94</v>
      </c>
      <c r="AB14" s="745">
        <v>60.17</v>
      </c>
      <c r="AC14" s="745">
        <v>60.27</v>
      </c>
      <c r="AD14" s="745">
        <v>60.37</v>
      </c>
      <c r="AE14" s="745">
        <v>60.61</v>
      </c>
      <c r="AF14" s="745">
        <v>60.93</v>
      </c>
      <c r="AG14" s="745">
        <v>61.28</v>
      </c>
      <c r="AH14" s="745">
        <v>61.68</v>
      </c>
      <c r="AI14" s="745">
        <v>62.04</v>
      </c>
      <c r="AJ14" s="745">
        <v>62.48</v>
      </c>
      <c r="AK14" s="745">
        <v>62.82</v>
      </c>
      <c r="AL14" s="745">
        <v>63.22</v>
      </c>
      <c r="AM14" s="745">
        <v>63.61</v>
      </c>
      <c r="AN14" s="745">
        <v>63.85</v>
      </c>
      <c r="AO14" s="745">
        <v>64.010000000000005</v>
      </c>
      <c r="AP14" s="745">
        <v>64.239999999999995</v>
      </c>
      <c r="AQ14" s="745">
        <v>64.430000000000007</v>
      </c>
      <c r="AR14" s="745">
        <v>64.73</v>
      </c>
      <c r="AS14" s="745">
        <v>64.8</v>
      </c>
      <c r="AT14" s="745">
        <v>64.95</v>
      </c>
      <c r="AU14" s="745">
        <v>65.040000000000006</v>
      </c>
      <c r="AV14" s="745">
        <v>65.14</v>
      </c>
      <c r="AW14" s="745">
        <v>65.489999999999995</v>
      </c>
      <c r="AX14" s="745">
        <v>65.67</v>
      </c>
      <c r="AY14" s="745">
        <v>65.78</v>
      </c>
      <c r="AZ14" s="745">
        <v>65.8</v>
      </c>
      <c r="BA14" s="745">
        <v>65.84</v>
      </c>
      <c r="BB14" s="745">
        <v>66.010000000000005</v>
      </c>
      <c r="BC14" s="745">
        <v>66.13</v>
      </c>
      <c r="BD14" s="745">
        <v>66.33</v>
      </c>
      <c r="BE14" s="745">
        <v>66.52</v>
      </c>
      <c r="BF14" s="745">
        <v>66.75</v>
      </c>
      <c r="BG14" s="745">
        <v>66.91</v>
      </c>
      <c r="BH14" s="745">
        <v>67.239999999999995</v>
      </c>
      <c r="BI14" s="745">
        <v>67.45</v>
      </c>
      <c r="BJ14" s="745">
        <v>67.739999999999995</v>
      </c>
      <c r="BK14" s="745">
        <v>67.98</v>
      </c>
      <c r="BL14" s="745">
        <v>68.290000000000006</v>
      </c>
      <c r="BM14" s="745">
        <v>68.59</v>
      </c>
      <c r="BN14" s="745">
        <v>68.849999999999994</v>
      </c>
      <c r="BO14" s="745">
        <v>69.11</v>
      </c>
      <c r="BP14" s="745">
        <v>69.36</v>
      </c>
      <c r="BQ14" s="745">
        <v>69.58</v>
      </c>
      <c r="BR14" s="745">
        <v>69.819999999999993</v>
      </c>
      <c r="BS14" s="745">
        <v>70.03</v>
      </c>
      <c r="BT14" s="857">
        <v>70.239999999999995</v>
      </c>
      <c r="BU14" s="745">
        <v>70.39</v>
      </c>
      <c r="BV14" s="745">
        <v>70.61</v>
      </c>
      <c r="BW14" s="745">
        <v>70.8</v>
      </c>
      <c r="BX14" s="745">
        <v>71.010000000000005</v>
      </c>
      <c r="BY14" s="745">
        <v>71.180000000000007</v>
      </c>
      <c r="BZ14" s="745">
        <v>71.36</v>
      </c>
      <c r="CA14" s="745">
        <v>71.540000000000006</v>
      </c>
      <c r="CB14" s="745">
        <v>71.7</v>
      </c>
      <c r="CC14" s="745">
        <v>71.900000000000006</v>
      </c>
      <c r="CD14" s="745">
        <v>72.099999999999994</v>
      </c>
      <c r="CE14" s="745">
        <v>72.3</v>
      </c>
      <c r="CF14" s="745">
        <v>72.5</v>
      </c>
      <c r="CG14" s="745">
        <v>72.7</v>
      </c>
      <c r="CH14" s="745">
        <v>72.87</v>
      </c>
      <c r="CI14" s="745">
        <v>73.09</v>
      </c>
      <c r="CJ14" s="745">
        <v>73.27</v>
      </c>
      <c r="CK14" s="745">
        <v>73.44</v>
      </c>
      <c r="CL14" s="745">
        <v>73.64</v>
      </c>
      <c r="CM14" s="745">
        <v>73.819999999999993</v>
      </c>
      <c r="CN14" s="745">
        <v>74.010000000000005</v>
      </c>
      <c r="CO14" s="745">
        <v>74.17</v>
      </c>
      <c r="CP14" s="745">
        <v>74.34</v>
      </c>
      <c r="CQ14" s="745">
        <v>74.510000000000005</v>
      </c>
      <c r="CR14" s="745">
        <v>74.67</v>
      </c>
      <c r="CS14" s="745">
        <v>74.849999999999994</v>
      </c>
      <c r="CT14" s="745">
        <v>75.02</v>
      </c>
      <c r="CU14" s="745">
        <v>75.17</v>
      </c>
      <c r="CV14" s="745">
        <v>75.319999999999993</v>
      </c>
      <c r="CW14" s="745">
        <v>75.48</v>
      </c>
      <c r="CX14" s="745">
        <v>75.64</v>
      </c>
      <c r="CY14" s="745">
        <v>75.8</v>
      </c>
      <c r="CZ14" s="745">
        <v>75.95</v>
      </c>
      <c r="DA14" s="745">
        <v>76.11</v>
      </c>
      <c r="DB14" s="745">
        <v>76.260000000000005</v>
      </c>
      <c r="DC14" s="745">
        <v>76.41</v>
      </c>
      <c r="DD14" s="745">
        <v>76.56</v>
      </c>
      <c r="DE14" s="745">
        <v>76.709999999999994</v>
      </c>
      <c r="DF14" s="745">
        <v>76.849999999999994</v>
      </c>
      <c r="DG14" s="745">
        <v>77</v>
      </c>
      <c r="DH14" s="745">
        <v>77.14</v>
      </c>
      <c r="DI14" s="745">
        <v>77.290000000000006</v>
      </c>
      <c r="DJ14" s="745">
        <v>77.430000000000007</v>
      </c>
      <c r="DK14" s="745">
        <v>77.569999999999993</v>
      </c>
      <c r="DL14" s="745">
        <v>77.709999999999994</v>
      </c>
      <c r="DM14" s="745">
        <v>77.849999999999994</v>
      </c>
      <c r="DN14" s="745">
        <v>77.98</v>
      </c>
      <c r="DO14" s="745">
        <v>78.12</v>
      </c>
      <c r="DP14" s="745">
        <v>78.25</v>
      </c>
      <c r="DQ14" s="745">
        <v>78.39</v>
      </c>
      <c r="DR14" s="745">
        <v>78.52</v>
      </c>
    </row>
    <row r="15" spans="1:122">
      <c r="A15" s="912">
        <v>13</v>
      </c>
      <c r="B15" s="92"/>
      <c r="C15" s="92"/>
      <c r="D15" s="92"/>
      <c r="E15" s="92"/>
      <c r="F15" s="92"/>
      <c r="G15" s="92"/>
      <c r="H15" s="92"/>
      <c r="I15" s="92"/>
      <c r="J15" s="92"/>
      <c r="K15" s="92"/>
      <c r="L15" s="92"/>
      <c r="M15" s="92"/>
      <c r="N15" s="92"/>
      <c r="O15" s="92"/>
      <c r="P15" s="92"/>
      <c r="Q15" s="92"/>
      <c r="R15" s="92"/>
      <c r="S15" s="92"/>
      <c r="T15" s="92"/>
      <c r="U15" s="92"/>
      <c r="V15" s="745"/>
      <c r="W15" s="745">
        <v>58.16</v>
      </c>
      <c r="X15" s="745">
        <v>58.4</v>
      </c>
      <c r="Y15" s="745">
        <v>58.5</v>
      </c>
      <c r="Z15" s="745">
        <v>58.76</v>
      </c>
      <c r="AA15" s="745">
        <v>59.02</v>
      </c>
      <c r="AB15" s="745">
        <v>59.25</v>
      </c>
      <c r="AC15" s="745">
        <v>59.36</v>
      </c>
      <c r="AD15" s="745">
        <v>59.45</v>
      </c>
      <c r="AE15" s="745">
        <v>59.69</v>
      </c>
      <c r="AF15" s="745">
        <v>60.02</v>
      </c>
      <c r="AG15" s="745">
        <v>60.38</v>
      </c>
      <c r="AH15" s="745">
        <v>60.78</v>
      </c>
      <c r="AI15" s="745">
        <v>61.17</v>
      </c>
      <c r="AJ15" s="745">
        <v>61.56</v>
      </c>
      <c r="AK15" s="745">
        <v>61.9</v>
      </c>
      <c r="AL15" s="745">
        <v>62.28</v>
      </c>
      <c r="AM15" s="745">
        <v>62.66</v>
      </c>
      <c r="AN15" s="745">
        <v>62.9</v>
      </c>
      <c r="AO15" s="745">
        <v>63.05</v>
      </c>
      <c r="AP15" s="745">
        <v>63.27</v>
      </c>
      <c r="AQ15" s="745">
        <v>63.47</v>
      </c>
      <c r="AR15" s="745">
        <v>63.76</v>
      </c>
      <c r="AS15" s="745">
        <v>63.83</v>
      </c>
      <c r="AT15" s="745">
        <v>63.99</v>
      </c>
      <c r="AU15" s="745">
        <v>64.069999999999993</v>
      </c>
      <c r="AV15" s="745">
        <v>64.17</v>
      </c>
      <c r="AW15" s="745">
        <v>64.52</v>
      </c>
      <c r="AX15" s="745">
        <v>64.69</v>
      </c>
      <c r="AY15" s="745">
        <v>64.8</v>
      </c>
      <c r="AZ15" s="745">
        <v>64.83</v>
      </c>
      <c r="BA15" s="745">
        <v>64.88</v>
      </c>
      <c r="BB15" s="745">
        <v>65.040000000000006</v>
      </c>
      <c r="BC15" s="745">
        <v>65.16</v>
      </c>
      <c r="BD15" s="745">
        <v>65.36</v>
      </c>
      <c r="BE15" s="745">
        <v>65.55</v>
      </c>
      <c r="BF15" s="745">
        <v>65.78</v>
      </c>
      <c r="BG15" s="745">
        <v>65.94</v>
      </c>
      <c r="BH15" s="745">
        <v>66.28</v>
      </c>
      <c r="BI15" s="745">
        <v>66.48</v>
      </c>
      <c r="BJ15" s="745">
        <v>66.77</v>
      </c>
      <c r="BK15" s="745">
        <v>67.010000000000005</v>
      </c>
      <c r="BL15" s="745">
        <v>67.319999999999993</v>
      </c>
      <c r="BM15" s="745">
        <v>67.61</v>
      </c>
      <c r="BN15" s="745">
        <v>67.87</v>
      </c>
      <c r="BO15" s="745">
        <v>68.14</v>
      </c>
      <c r="BP15" s="745">
        <v>68.38</v>
      </c>
      <c r="BQ15" s="745">
        <v>68.599999999999994</v>
      </c>
      <c r="BR15" s="745">
        <v>68.84</v>
      </c>
      <c r="BS15" s="745">
        <v>69.040000000000006</v>
      </c>
      <c r="BT15" s="857">
        <v>69.260000000000005</v>
      </c>
      <c r="BU15" s="745">
        <v>69.41</v>
      </c>
      <c r="BV15" s="745">
        <v>69.62</v>
      </c>
      <c r="BW15" s="745">
        <v>69.819999999999993</v>
      </c>
      <c r="BX15" s="745">
        <v>70.02</v>
      </c>
      <c r="BY15" s="745">
        <v>70.19</v>
      </c>
      <c r="BZ15" s="745">
        <v>70.38</v>
      </c>
      <c r="CA15" s="745">
        <v>70.55</v>
      </c>
      <c r="CB15" s="745">
        <v>70.72</v>
      </c>
      <c r="CC15" s="745">
        <v>70.92</v>
      </c>
      <c r="CD15" s="745">
        <v>71.11</v>
      </c>
      <c r="CE15" s="745">
        <v>71.31</v>
      </c>
      <c r="CF15" s="745">
        <v>71.510000000000005</v>
      </c>
      <c r="CG15" s="745">
        <v>71.709999999999994</v>
      </c>
      <c r="CH15" s="745">
        <v>71.88</v>
      </c>
      <c r="CI15" s="745">
        <v>72.099999999999994</v>
      </c>
      <c r="CJ15" s="745">
        <v>72.28</v>
      </c>
      <c r="CK15" s="745">
        <v>72.459999999999994</v>
      </c>
      <c r="CL15" s="745">
        <v>72.650000000000006</v>
      </c>
      <c r="CM15" s="745">
        <v>72.84</v>
      </c>
      <c r="CN15" s="745">
        <v>73.010000000000005</v>
      </c>
      <c r="CO15" s="745">
        <v>73.180000000000007</v>
      </c>
      <c r="CP15" s="745">
        <v>73.349999999999994</v>
      </c>
      <c r="CQ15" s="745">
        <v>73.52</v>
      </c>
      <c r="CR15" s="745">
        <v>73.680000000000007</v>
      </c>
      <c r="CS15" s="745">
        <v>73.849999999999994</v>
      </c>
      <c r="CT15" s="745">
        <v>74.02</v>
      </c>
      <c r="CU15" s="745">
        <v>74.17</v>
      </c>
      <c r="CV15" s="745">
        <v>74.33</v>
      </c>
      <c r="CW15" s="745">
        <v>74.489999999999995</v>
      </c>
      <c r="CX15" s="745">
        <v>74.650000000000006</v>
      </c>
      <c r="CY15" s="745">
        <v>74.81</v>
      </c>
      <c r="CZ15" s="745">
        <v>74.959999999999994</v>
      </c>
      <c r="DA15" s="745">
        <v>75.11</v>
      </c>
      <c r="DB15" s="745">
        <v>75.27</v>
      </c>
      <c r="DC15" s="745">
        <v>75.41</v>
      </c>
      <c r="DD15" s="745">
        <v>75.56</v>
      </c>
      <c r="DE15" s="745">
        <v>75.709999999999994</v>
      </c>
      <c r="DF15" s="745">
        <v>75.86</v>
      </c>
      <c r="DG15" s="745">
        <v>76.010000000000005</v>
      </c>
      <c r="DH15" s="745">
        <v>76.150000000000006</v>
      </c>
      <c r="DI15" s="745">
        <v>76.290000000000006</v>
      </c>
      <c r="DJ15" s="745">
        <v>76.44</v>
      </c>
      <c r="DK15" s="745">
        <v>76.58</v>
      </c>
      <c r="DL15" s="745">
        <v>76.72</v>
      </c>
      <c r="DM15" s="745">
        <v>76.849999999999994</v>
      </c>
      <c r="DN15" s="745">
        <v>76.989999999999995</v>
      </c>
      <c r="DO15" s="745">
        <v>77.13</v>
      </c>
      <c r="DP15" s="745">
        <v>77.260000000000005</v>
      </c>
      <c r="DQ15" s="745">
        <v>77.39</v>
      </c>
      <c r="DR15" s="745">
        <v>77.52</v>
      </c>
    </row>
    <row r="16" spans="1:122">
      <c r="A16" s="912">
        <v>14</v>
      </c>
      <c r="B16" s="92"/>
      <c r="C16" s="92"/>
      <c r="D16" s="92"/>
      <c r="E16" s="92"/>
      <c r="F16" s="92"/>
      <c r="G16" s="92"/>
      <c r="H16" s="92"/>
      <c r="I16" s="92"/>
      <c r="J16" s="92"/>
      <c r="K16" s="92"/>
      <c r="L16" s="92"/>
      <c r="M16" s="92"/>
      <c r="N16" s="92"/>
      <c r="O16" s="92"/>
      <c r="P16" s="92"/>
      <c r="Q16" s="92"/>
      <c r="R16" s="92"/>
      <c r="S16" s="92"/>
      <c r="T16" s="92"/>
      <c r="U16" s="92"/>
      <c r="V16" s="745"/>
      <c r="W16" s="745">
        <v>57.22</v>
      </c>
      <c r="X16" s="745">
        <v>57.5</v>
      </c>
      <c r="Y16" s="745">
        <v>57.6</v>
      </c>
      <c r="Z16" s="745">
        <v>57.84</v>
      </c>
      <c r="AA16" s="745">
        <v>58.1</v>
      </c>
      <c r="AB16" s="745">
        <v>58.34</v>
      </c>
      <c r="AC16" s="745">
        <v>58.44</v>
      </c>
      <c r="AD16" s="745">
        <v>58.53</v>
      </c>
      <c r="AE16" s="745">
        <v>58.78</v>
      </c>
      <c r="AF16" s="745">
        <v>59.11</v>
      </c>
      <c r="AG16" s="745">
        <v>59.48</v>
      </c>
      <c r="AH16" s="745">
        <v>59.91</v>
      </c>
      <c r="AI16" s="745">
        <v>60.25</v>
      </c>
      <c r="AJ16" s="745">
        <v>60.64</v>
      </c>
      <c r="AK16" s="745">
        <v>60.96</v>
      </c>
      <c r="AL16" s="745">
        <v>61.33</v>
      </c>
      <c r="AM16" s="745">
        <v>61.7</v>
      </c>
      <c r="AN16" s="745">
        <v>61.95</v>
      </c>
      <c r="AO16" s="745">
        <v>62.09</v>
      </c>
      <c r="AP16" s="745">
        <v>62.31</v>
      </c>
      <c r="AQ16" s="745">
        <v>62.5</v>
      </c>
      <c r="AR16" s="745">
        <v>62.8</v>
      </c>
      <c r="AS16" s="745">
        <v>62.87</v>
      </c>
      <c r="AT16" s="745">
        <v>63.02</v>
      </c>
      <c r="AU16" s="745">
        <v>63.1</v>
      </c>
      <c r="AV16" s="745">
        <v>63.2</v>
      </c>
      <c r="AW16" s="745">
        <v>63.55</v>
      </c>
      <c r="AX16" s="745">
        <v>63.73</v>
      </c>
      <c r="AY16" s="745">
        <v>63.83</v>
      </c>
      <c r="AZ16" s="745">
        <v>63.86</v>
      </c>
      <c r="BA16" s="745">
        <v>63.91</v>
      </c>
      <c r="BB16" s="745">
        <v>64.069999999999993</v>
      </c>
      <c r="BC16" s="745">
        <v>64.2</v>
      </c>
      <c r="BD16" s="745">
        <v>64.39</v>
      </c>
      <c r="BE16" s="745">
        <v>64.58</v>
      </c>
      <c r="BF16" s="745">
        <v>64.81</v>
      </c>
      <c r="BG16" s="745">
        <v>64.98</v>
      </c>
      <c r="BH16" s="745">
        <v>65.31</v>
      </c>
      <c r="BI16" s="745">
        <v>65.510000000000005</v>
      </c>
      <c r="BJ16" s="745">
        <v>65.8</v>
      </c>
      <c r="BK16" s="745">
        <v>66.03</v>
      </c>
      <c r="BL16" s="745">
        <v>66.34</v>
      </c>
      <c r="BM16" s="745">
        <v>66.64</v>
      </c>
      <c r="BN16" s="745">
        <v>66.900000000000006</v>
      </c>
      <c r="BO16" s="745">
        <v>67.16</v>
      </c>
      <c r="BP16" s="745">
        <v>67.400000000000006</v>
      </c>
      <c r="BQ16" s="745">
        <v>67.63</v>
      </c>
      <c r="BR16" s="745">
        <v>67.86</v>
      </c>
      <c r="BS16" s="745">
        <v>68.069999999999993</v>
      </c>
      <c r="BT16" s="857">
        <v>68.28</v>
      </c>
      <c r="BU16" s="745">
        <v>68.430000000000007</v>
      </c>
      <c r="BV16" s="745">
        <v>68.64</v>
      </c>
      <c r="BW16" s="745">
        <v>68.84</v>
      </c>
      <c r="BX16" s="745">
        <v>69.040000000000006</v>
      </c>
      <c r="BY16" s="745">
        <v>69.209999999999994</v>
      </c>
      <c r="BZ16" s="745">
        <v>69.39</v>
      </c>
      <c r="CA16" s="745">
        <v>69.569999999999993</v>
      </c>
      <c r="CB16" s="745">
        <v>69.73</v>
      </c>
      <c r="CC16" s="745">
        <v>69.930000000000007</v>
      </c>
      <c r="CD16" s="745">
        <v>70.13</v>
      </c>
      <c r="CE16" s="745">
        <v>70.33</v>
      </c>
      <c r="CF16" s="745">
        <v>70.52</v>
      </c>
      <c r="CG16" s="745">
        <v>70.72</v>
      </c>
      <c r="CH16" s="745">
        <v>70.900000000000006</v>
      </c>
      <c r="CI16" s="745">
        <v>71.11</v>
      </c>
      <c r="CJ16" s="745">
        <v>71.290000000000006</v>
      </c>
      <c r="CK16" s="745">
        <v>71.47</v>
      </c>
      <c r="CL16" s="745">
        <v>71.66</v>
      </c>
      <c r="CM16" s="745">
        <v>71.849999999999994</v>
      </c>
      <c r="CN16" s="745">
        <v>72.02</v>
      </c>
      <c r="CO16" s="745">
        <v>72.19</v>
      </c>
      <c r="CP16" s="745">
        <v>72.37</v>
      </c>
      <c r="CQ16" s="745">
        <v>72.53</v>
      </c>
      <c r="CR16" s="745">
        <v>72.680000000000007</v>
      </c>
      <c r="CS16" s="745">
        <v>72.86</v>
      </c>
      <c r="CT16" s="745">
        <v>73.03</v>
      </c>
      <c r="CU16" s="745">
        <v>73.180000000000007</v>
      </c>
      <c r="CV16" s="745">
        <v>73.34</v>
      </c>
      <c r="CW16" s="745">
        <v>73.5</v>
      </c>
      <c r="CX16" s="745">
        <v>73.650000000000006</v>
      </c>
      <c r="CY16" s="745">
        <v>73.81</v>
      </c>
      <c r="CZ16" s="745">
        <v>73.97</v>
      </c>
      <c r="DA16" s="745">
        <v>74.12</v>
      </c>
      <c r="DB16" s="745">
        <v>74.27</v>
      </c>
      <c r="DC16" s="745">
        <v>74.42</v>
      </c>
      <c r="DD16" s="745">
        <v>74.569999999999993</v>
      </c>
      <c r="DE16" s="745">
        <v>74.72</v>
      </c>
      <c r="DF16" s="745">
        <v>74.87</v>
      </c>
      <c r="DG16" s="745">
        <v>75.010000000000005</v>
      </c>
      <c r="DH16" s="745">
        <v>75.16</v>
      </c>
      <c r="DI16" s="745">
        <v>75.3</v>
      </c>
      <c r="DJ16" s="745">
        <v>75.44</v>
      </c>
      <c r="DK16" s="745">
        <v>75.58</v>
      </c>
      <c r="DL16" s="745">
        <v>75.72</v>
      </c>
      <c r="DM16" s="745">
        <v>75.86</v>
      </c>
      <c r="DN16" s="745">
        <v>76</v>
      </c>
      <c r="DO16" s="745">
        <v>76.13</v>
      </c>
      <c r="DP16" s="745">
        <v>76.260000000000005</v>
      </c>
      <c r="DQ16" s="745">
        <v>76.400000000000006</v>
      </c>
      <c r="DR16" s="745">
        <v>76.53</v>
      </c>
    </row>
    <row r="17" spans="1:122">
      <c r="A17" s="912">
        <v>15</v>
      </c>
      <c r="B17" s="92"/>
      <c r="C17" s="92"/>
      <c r="D17" s="92"/>
      <c r="E17" s="92"/>
      <c r="F17" s="92"/>
      <c r="G17" s="92"/>
      <c r="H17" s="92"/>
      <c r="I17" s="92"/>
      <c r="J17" s="92"/>
      <c r="K17" s="92"/>
      <c r="L17" s="92"/>
      <c r="M17" s="92"/>
      <c r="N17" s="92"/>
      <c r="O17" s="92"/>
      <c r="P17" s="92"/>
      <c r="Q17" s="92"/>
      <c r="R17" s="92"/>
      <c r="S17" s="92"/>
      <c r="T17" s="92"/>
      <c r="U17" s="92"/>
      <c r="V17" s="745"/>
      <c r="W17" s="745">
        <v>56.33</v>
      </c>
      <c r="X17" s="745">
        <v>56.6</v>
      </c>
      <c r="Y17" s="745">
        <v>56.69</v>
      </c>
      <c r="Z17" s="745">
        <v>56.93</v>
      </c>
      <c r="AA17" s="745">
        <v>57.19</v>
      </c>
      <c r="AB17" s="745">
        <v>57.43</v>
      </c>
      <c r="AC17" s="745">
        <v>57.53</v>
      </c>
      <c r="AD17" s="745">
        <v>57.63</v>
      </c>
      <c r="AE17" s="745">
        <v>57.88</v>
      </c>
      <c r="AF17" s="745">
        <v>58.23</v>
      </c>
      <c r="AG17" s="745">
        <v>58.62</v>
      </c>
      <c r="AH17" s="745">
        <v>59</v>
      </c>
      <c r="AI17" s="745">
        <v>59.34</v>
      </c>
      <c r="AJ17" s="745">
        <v>59.71</v>
      </c>
      <c r="AK17" s="745">
        <v>60.02</v>
      </c>
      <c r="AL17" s="745">
        <v>60.38</v>
      </c>
      <c r="AM17" s="745">
        <v>60.76</v>
      </c>
      <c r="AN17" s="745">
        <v>60.99</v>
      </c>
      <c r="AO17" s="745">
        <v>61.13</v>
      </c>
      <c r="AP17" s="745">
        <v>61.35</v>
      </c>
      <c r="AQ17" s="745">
        <v>61.54</v>
      </c>
      <c r="AR17" s="745">
        <v>61.84</v>
      </c>
      <c r="AS17" s="745">
        <v>61.91</v>
      </c>
      <c r="AT17" s="745">
        <v>62.06</v>
      </c>
      <c r="AU17" s="745">
        <v>62.14</v>
      </c>
      <c r="AV17" s="745">
        <v>62.24</v>
      </c>
      <c r="AW17" s="745">
        <v>62.58</v>
      </c>
      <c r="AX17" s="745">
        <v>62.77</v>
      </c>
      <c r="AY17" s="745">
        <v>62.87</v>
      </c>
      <c r="AZ17" s="745">
        <v>62.9</v>
      </c>
      <c r="BA17" s="745">
        <v>62.94</v>
      </c>
      <c r="BB17" s="745">
        <v>63.11</v>
      </c>
      <c r="BC17" s="745">
        <v>63.24</v>
      </c>
      <c r="BD17" s="745">
        <v>63.42</v>
      </c>
      <c r="BE17" s="745">
        <v>63.62</v>
      </c>
      <c r="BF17" s="745">
        <v>63.85</v>
      </c>
      <c r="BG17" s="745">
        <v>64.010000000000005</v>
      </c>
      <c r="BH17" s="745">
        <v>64.34</v>
      </c>
      <c r="BI17" s="745">
        <v>64.540000000000006</v>
      </c>
      <c r="BJ17" s="745">
        <v>64.83</v>
      </c>
      <c r="BK17" s="745">
        <v>65.069999999999993</v>
      </c>
      <c r="BL17" s="745">
        <v>65.37</v>
      </c>
      <c r="BM17" s="745">
        <v>65.67</v>
      </c>
      <c r="BN17" s="745">
        <v>65.930000000000007</v>
      </c>
      <c r="BO17" s="745">
        <v>66.19</v>
      </c>
      <c r="BP17" s="745">
        <v>66.430000000000007</v>
      </c>
      <c r="BQ17" s="745">
        <v>66.650000000000006</v>
      </c>
      <c r="BR17" s="745">
        <v>66.89</v>
      </c>
      <c r="BS17" s="745">
        <v>67.09</v>
      </c>
      <c r="BT17" s="857">
        <v>67.3</v>
      </c>
      <c r="BU17" s="745">
        <v>67.45</v>
      </c>
      <c r="BV17" s="745">
        <v>67.66</v>
      </c>
      <c r="BW17" s="745">
        <v>67.86</v>
      </c>
      <c r="BX17" s="745">
        <v>68.06</v>
      </c>
      <c r="BY17" s="745">
        <v>68.23</v>
      </c>
      <c r="BZ17" s="745">
        <v>68.41</v>
      </c>
      <c r="CA17" s="745">
        <v>68.58</v>
      </c>
      <c r="CB17" s="745">
        <v>68.75</v>
      </c>
      <c r="CC17" s="745">
        <v>68.95</v>
      </c>
      <c r="CD17" s="745">
        <v>69.14</v>
      </c>
      <c r="CE17" s="745">
        <v>69.34</v>
      </c>
      <c r="CF17" s="745">
        <v>69.540000000000006</v>
      </c>
      <c r="CG17" s="745">
        <v>69.739999999999995</v>
      </c>
      <c r="CH17" s="745">
        <v>69.91</v>
      </c>
      <c r="CI17" s="745">
        <v>70.13</v>
      </c>
      <c r="CJ17" s="745">
        <v>70.3</v>
      </c>
      <c r="CK17" s="745">
        <v>70.48</v>
      </c>
      <c r="CL17" s="745">
        <v>70.67</v>
      </c>
      <c r="CM17" s="745">
        <v>70.86</v>
      </c>
      <c r="CN17" s="745">
        <v>71.03</v>
      </c>
      <c r="CO17" s="745">
        <v>71.2</v>
      </c>
      <c r="CP17" s="745">
        <v>71.38</v>
      </c>
      <c r="CQ17" s="745">
        <v>71.540000000000006</v>
      </c>
      <c r="CR17" s="745">
        <v>71.7</v>
      </c>
      <c r="CS17" s="745">
        <v>71.87</v>
      </c>
      <c r="CT17" s="745">
        <v>72.040000000000006</v>
      </c>
      <c r="CU17" s="745">
        <v>72.19</v>
      </c>
      <c r="CV17" s="745">
        <v>72.349999999999994</v>
      </c>
      <c r="CW17" s="745">
        <v>72.5</v>
      </c>
      <c r="CX17" s="745">
        <v>72.66</v>
      </c>
      <c r="CY17" s="745">
        <v>72.819999999999993</v>
      </c>
      <c r="CZ17" s="745">
        <v>72.98</v>
      </c>
      <c r="DA17" s="745">
        <v>73.13</v>
      </c>
      <c r="DB17" s="745">
        <v>73.28</v>
      </c>
      <c r="DC17" s="745">
        <v>73.430000000000007</v>
      </c>
      <c r="DD17" s="745">
        <v>73.58</v>
      </c>
      <c r="DE17" s="745">
        <v>73.73</v>
      </c>
      <c r="DF17" s="745">
        <v>73.88</v>
      </c>
      <c r="DG17" s="745">
        <v>74.02</v>
      </c>
      <c r="DH17" s="745">
        <v>74.17</v>
      </c>
      <c r="DI17" s="745">
        <v>74.31</v>
      </c>
      <c r="DJ17" s="745">
        <v>74.45</v>
      </c>
      <c r="DK17" s="745">
        <v>74.59</v>
      </c>
      <c r="DL17" s="745">
        <v>74.73</v>
      </c>
      <c r="DM17" s="745">
        <v>74.87</v>
      </c>
      <c r="DN17" s="745">
        <v>75</v>
      </c>
      <c r="DO17" s="745">
        <v>75.14</v>
      </c>
      <c r="DP17" s="745">
        <v>75.27</v>
      </c>
      <c r="DQ17" s="745">
        <v>75.400000000000006</v>
      </c>
      <c r="DR17" s="745">
        <v>75.53</v>
      </c>
    </row>
    <row r="18" spans="1:122">
      <c r="A18" s="912">
        <v>16</v>
      </c>
      <c r="B18" s="92"/>
      <c r="C18" s="92"/>
      <c r="D18" s="92"/>
      <c r="E18" s="92"/>
      <c r="F18" s="92"/>
      <c r="G18" s="92"/>
      <c r="H18" s="92"/>
      <c r="I18" s="92"/>
      <c r="J18" s="92"/>
      <c r="K18" s="92"/>
      <c r="L18" s="92"/>
      <c r="M18" s="92"/>
      <c r="N18" s="92"/>
      <c r="O18" s="92"/>
      <c r="P18" s="92"/>
      <c r="Q18" s="92"/>
      <c r="R18" s="92"/>
      <c r="S18" s="92"/>
      <c r="T18" s="92"/>
      <c r="U18" s="92"/>
      <c r="V18" s="745"/>
      <c r="W18" s="745">
        <v>55.43</v>
      </c>
      <c r="X18" s="745">
        <v>55.7</v>
      </c>
      <c r="Y18" s="745">
        <v>55.79</v>
      </c>
      <c r="Z18" s="745">
        <v>56.03</v>
      </c>
      <c r="AA18" s="745">
        <v>56.3</v>
      </c>
      <c r="AB18" s="745">
        <v>56.53</v>
      </c>
      <c r="AC18" s="745">
        <v>56.64</v>
      </c>
      <c r="AD18" s="745">
        <v>56.75</v>
      </c>
      <c r="AE18" s="745">
        <v>57.01</v>
      </c>
      <c r="AF18" s="745">
        <v>57.39</v>
      </c>
      <c r="AG18" s="745">
        <v>57.73</v>
      </c>
      <c r="AH18" s="745">
        <v>58.1</v>
      </c>
      <c r="AI18" s="745">
        <v>58.42</v>
      </c>
      <c r="AJ18" s="745">
        <v>58.77</v>
      </c>
      <c r="AK18" s="745">
        <v>59.08</v>
      </c>
      <c r="AL18" s="745">
        <v>59.45</v>
      </c>
      <c r="AM18" s="745">
        <v>59.81</v>
      </c>
      <c r="AN18" s="745">
        <v>60.04</v>
      </c>
      <c r="AO18" s="745">
        <v>60.18</v>
      </c>
      <c r="AP18" s="745">
        <v>60.4</v>
      </c>
      <c r="AQ18" s="745">
        <v>60.59</v>
      </c>
      <c r="AR18" s="745">
        <v>60.89</v>
      </c>
      <c r="AS18" s="745">
        <v>60.96</v>
      </c>
      <c r="AT18" s="745">
        <v>61.1</v>
      </c>
      <c r="AU18" s="745">
        <v>61.18</v>
      </c>
      <c r="AV18" s="745">
        <v>61.28</v>
      </c>
      <c r="AW18" s="745">
        <v>61.63</v>
      </c>
      <c r="AX18" s="745">
        <v>61.81</v>
      </c>
      <c r="AY18" s="745">
        <v>61.91</v>
      </c>
      <c r="AZ18" s="745">
        <v>61.94</v>
      </c>
      <c r="BA18" s="745">
        <v>61.98</v>
      </c>
      <c r="BB18" s="745">
        <v>62.15</v>
      </c>
      <c r="BC18" s="745">
        <v>62.28</v>
      </c>
      <c r="BD18" s="745">
        <v>62.47</v>
      </c>
      <c r="BE18" s="745">
        <v>62.67</v>
      </c>
      <c r="BF18" s="745">
        <v>62.89</v>
      </c>
      <c r="BG18" s="745">
        <v>63.06</v>
      </c>
      <c r="BH18" s="745">
        <v>63.38</v>
      </c>
      <c r="BI18" s="745">
        <v>63.59</v>
      </c>
      <c r="BJ18" s="745">
        <v>63.87</v>
      </c>
      <c r="BK18" s="745">
        <v>64.11</v>
      </c>
      <c r="BL18" s="745">
        <v>64.41</v>
      </c>
      <c r="BM18" s="745">
        <v>64.709999999999994</v>
      </c>
      <c r="BN18" s="745">
        <v>64.959999999999994</v>
      </c>
      <c r="BO18" s="745">
        <v>65.22</v>
      </c>
      <c r="BP18" s="745">
        <v>65.47</v>
      </c>
      <c r="BQ18" s="745">
        <v>65.680000000000007</v>
      </c>
      <c r="BR18" s="745">
        <v>65.92</v>
      </c>
      <c r="BS18" s="745">
        <v>66.11</v>
      </c>
      <c r="BT18" s="857">
        <v>66.33</v>
      </c>
      <c r="BU18" s="745">
        <v>66.48</v>
      </c>
      <c r="BV18" s="745">
        <v>66.69</v>
      </c>
      <c r="BW18" s="745">
        <v>66.89</v>
      </c>
      <c r="BX18" s="745">
        <v>67.08</v>
      </c>
      <c r="BY18" s="745">
        <v>67.260000000000005</v>
      </c>
      <c r="BZ18" s="745">
        <v>67.44</v>
      </c>
      <c r="CA18" s="745">
        <v>67.61</v>
      </c>
      <c r="CB18" s="745">
        <v>67.78</v>
      </c>
      <c r="CC18" s="745">
        <v>67.97</v>
      </c>
      <c r="CD18" s="745">
        <v>68.17</v>
      </c>
      <c r="CE18" s="745">
        <v>68.36</v>
      </c>
      <c r="CF18" s="745">
        <v>68.55</v>
      </c>
      <c r="CG18" s="745">
        <v>68.760000000000005</v>
      </c>
      <c r="CH18" s="745">
        <v>68.930000000000007</v>
      </c>
      <c r="CI18" s="745">
        <v>69.14</v>
      </c>
      <c r="CJ18" s="745">
        <v>69.319999999999993</v>
      </c>
      <c r="CK18" s="745">
        <v>69.5</v>
      </c>
      <c r="CL18" s="745">
        <v>69.69</v>
      </c>
      <c r="CM18" s="745">
        <v>69.87</v>
      </c>
      <c r="CN18" s="745">
        <v>70.05</v>
      </c>
      <c r="CO18" s="745">
        <v>70.209999999999994</v>
      </c>
      <c r="CP18" s="745">
        <v>70.39</v>
      </c>
      <c r="CQ18" s="745">
        <v>70.56</v>
      </c>
      <c r="CR18" s="745">
        <v>70.709999999999994</v>
      </c>
      <c r="CS18" s="745">
        <v>70.88</v>
      </c>
      <c r="CT18" s="745">
        <v>71.05</v>
      </c>
      <c r="CU18" s="745">
        <v>71.2</v>
      </c>
      <c r="CV18" s="745">
        <v>71.36</v>
      </c>
      <c r="CW18" s="745">
        <v>71.510000000000005</v>
      </c>
      <c r="CX18" s="745">
        <v>71.67</v>
      </c>
      <c r="CY18" s="745">
        <v>71.83</v>
      </c>
      <c r="CZ18" s="745">
        <v>71.989999999999995</v>
      </c>
      <c r="DA18" s="745">
        <v>72.14</v>
      </c>
      <c r="DB18" s="745">
        <v>72.290000000000006</v>
      </c>
      <c r="DC18" s="745">
        <v>72.44</v>
      </c>
      <c r="DD18" s="745">
        <v>72.59</v>
      </c>
      <c r="DE18" s="745">
        <v>72.739999999999995</v>
      </c>
      <c r="DF18" s="745">
        <v>72.89</v>
      </c>
      <c r="DG18" s="745">
        <v>73.03</v>
      </c>
      <c r="DH18" s="745">
        <v>73.180000000000007</v>
      </c>
      <c r="DI18" s="745">
        <v>73.319999999999993</v>
      </c>
      <c r="DJ18" s="745">
        <v>73.459999999999994</v>
      </c>
      <c r="DK18" s="745">
        <v>73.599999999999994</v>
      </c>
      <c r="DL18" s="745">
        <v>73.739999999999995</v>
      </c>
      <c r="DM18" s="745">
        <v>73.88</v>
      </c>
      <c r="DN18" s="745">
        <v>74.010000000000005</v>
      </c>
      <c r="DO18" s="745">
        <v>74.150000000000006</v>
      </c>
      <c r="DP18" s="745">
        <v>74.28</v>
      </c>
      <c r="DQ18" s="745">
        <v>74.41</v>
      </c>
      <c r="DR18" s="745">
        <v>74.540000000000006</v>
      </c>
    </row>
    <row r="19" spans="1:122">
      <c r="A19" s="912">
        <v>17</v>
      </c>
      <c r="B19" s="92"/>
      <c r="C19" s="92"/>
      <c r="D19" s="92"/>
      <c r="E19" s="92"/>
      <c r="F19" s="92"/>
      <c r="G19" s="92"/>
      <c r="H19" s="92"/>
      <c r="I19" s="92"/>
      <c r="J19" s="92"/>
      <c r="K19" s="92"/>
      <c r="L19" s="92"/>
      <c r="M19" s="92"/>
      <c r="N19" s="92"/>
      <c r="O19" s="92"/>
      <c r="P19" s="92"/>
      <c r="Q19" s="92"/>
      <c r="R19" s="92"/>
      <c r="S19" s="92"/>
      <c r="T19" s="92"/>
      <c r="U19" s="92"/>
      <c r="V19" s="745"/>
      <c r="W19" s="745">
        <v>54.56</v>
      </c>
      <c r="X19" s="745">
        <v>54.82</v>
      </c>
      <c r="Y19" s="745">
        <v>54.91</v>
      </c>
      <c r="Z19" s="745">
        <v>55.16</v>
      </c>
      <c r="AA19" s="745">
        <v>55.43</v>
      </c>
      <c r="AB19" s="745">
        <v>55.66</v>
      </c>
      <c r="AC19" s="745">
        <v>55.78</v>
      </c>
      <c r="AD19" s="745">
        <v>55.91</v>
      </c>
      <c r="AE19" s="745">
        <v>56.21</v>
      </c>
      <c r="AF19" s="745">
        <v>56.51</v>
      </c>
      <c r="AG19" s="745">
        <v>56.85</v>
      </c>
      <c r="AH19" s="745">
        <v>57.2</v>
      </c>
      <c r="AI19" s="745">
        <v>57.49</v>
      </c>
      <c r="AJ19" s="745">
        <v>57.84</v>
      </c>
      <c r="AK19" s="745">
        <v>58.15</v>
      </c>
      <c r="AL19" s="745">
        <v>58.51</v>
      </c>
      <c r="AM19" s="745">
        <v>58.87</v>
      </c>
      <c r="AN19" s="745">
        <v>59.1</v>
      </c>
      <c r="AO19" s="745">
        <v>59.23</v>
      </c>
      <c r="AP19" s="745">
        <v>59.46</v>
      </c>
      <c r="AQ19" s="745">
        <v>59.65</v>
      </c>
      <c r="AR19" s="745">
        <v>59.94</v>
      </c>
      <c r="AS19" s="745">
        <v>60.02</v>
      </c>
      <c r="AT19" s="745">
        <v>60.16</v>
      </c>
      <c r="AU19" s="745">
        <v>60.23</v>
      </c>
      <c r="AV19" s="745">
        <v>60.34</v>
      </c>
      <c r="AW19" s="745">
        <v>60.68</v>
      </c>
      <c r="AX19" s="745">
        <v>60.88</v>
      </c>
      <c r="AY19" s="745">
        <v>60.97</v>
      </c>
      <c r="AZ19" s="745">
        <v>61.01</v>
      </c>
      <c r="BA19" s="745">
        <v>61.05</v>
      </c>
      <c r="BB19" s="745">
        <v>61.22</v>
      </c>
      <c r="BC19" s="745">
        <v>61.35</v>
      </c>
      <c r="BD19" s="745">
        <v>61.54</v>
      </c>
      <c r="BE19" s="745">
        <v>61.74</v>
      </c>
      <c r="BF19" s="745">
        <v>61.96</v>
      </c>
      <c r="BG19" s="745">
        <v>62.13</v>
      </c>
      <c r="BH19" s="745">
        <v>62.46</v>
      </c>
      <c r="BI19" s="745">
        <v>62.66</v>
      </c>
      <c r="BJ19" s="745">
        <v>62.94</v>
      </c>
      <c r="BK19" s="745">
        <v>63.18</v>
      </c>
      <c r="BL19" s="745">
        <v>63.47</v>
      </c>
      <c r="BM19" s="745">
        <v>63.77</v>
      </c>
      <c r="BN19" s="745">
        <v>64.02</v>
      </c>
      <c r="BO19" s="745">
        <v>64.28</v>
      </c>
      <c r="BP19" s="745">
        <v>64.52</v>
      </c>
      <c r="BQ19" s="745">
        <v>64.739999999999995</v>
      </c>
      <c r="BR19" s="745">
        <v>64.97</v>
      </c>
      <c r="BS19" s="745">
        <v>65.150000000000006</v>
      </c>
      <c r="BT19" s="857">
        <v>65.37</v>
      </c>
      <c r="BU19" s="745">
        <v>65.52</v>
      </c>
      <c r="BV19" s="745">
        <v>65.73</v>
      </c>
      <c r="BW19" s="745">
        <v>65.92</v>
      </c>
      <c r="BX19" s="745">
        <v>66.12</v>
      </c>
      <c r="BY19" s="745">
        <v>66.3</v>
      </c>
      <c r="BZ19" s="745">
        <v>66.47</v>
      </c>
      <c r="CA19" s="745">
        <v>66.64</v>
      </c>
      <c r="CB19" s="745">
        <v>66.81</v>
      </c>
      <c r="CC19" s="745">
        <v>67.010000000000005</v>
      </c>
      <c r="CD19" s="745">
        <v>67.2</v>
      </c>
      <c r="CE19" s="745">
        <v>67.39</v>
      </c>
      <c r="CF19" s="745">
        <v>67.58</v>
      </c>
      <c r="CG19" s="745">
        <v>67.790000000000006</v>
      </c>
      <c r="CH19" s="745">
        <v>67.959999999999994</v>
      </c>
      <c r="CI19" s="745">
        <v>68.17</v>
      </c>
      <c r="CJ19" s="745">
        <v>68.349999999999994</v>
      </c>
      <c r="CK19" s="745">
        <v>68.52</v>
      </c>
      <c r="CL19" s="745">
        <v>68.709999999999994</v>
      </c>
      <c r="CM19" s="745">
        <v>68.900000000000006</v>
      </c>
      <c r="CN19" s="745">
        <v>69.069999999999993</v>
      </c>
      <c r="CO19" s="745">
        <v>69.239999999999995</v>
      </c>
      <c r="CP19" s="745">
        <v>69.41</v>
      </c>
      <c r="CQ19" s="745">
        <v>69.58</v>
      </c>
      <c r="CR19" s="745">
        <v>69.73</v>
      </c>
      <c r="CS19" s="745">
        <v>69.900000000000006</v>
      </c>
      <c r="CT19" s="745">
        <v>70.069999999999993</v>
      </c>
      <c r="CU19" s="745">
        <v>70.22</v>
      </c>
      <c r="CV19" s="745">
        <v>70.38</v>
      </c>
      <c r="CW19" s="745">
        <v>70.53</v>
      </c>
      <c r="CX19" s="745">
        <v>70.69</v>
      </c>
      <c r="CY19" s="745">
        <v>70.849999999999994</v>
      </c>
      <c r="CZ19" s="745">
        <v>71</v>
      </c>
      <c r="DA19" s="745">
        <v>71.16</v>
      </c>
      <c r="DB19" s="745">
        <v>71.31</v>
      </c>
      <c r="DC19" s="745">
        <v>71.459999999999994</v>
      </c>
      <c r="DD19" s="745">
        <v>71.61</v>
      </c>
      <c r="DE19" s="745">
        <v>71.760000000000005</v>
      </c>
      <c r="DF19" s="745">
        <v>71.900000000000006</v>
      </c>
      <c r="DG19" s="745">
        <v>72.05</v>
      </c>
      <c r="DH19" s="745">
        <v>72.19</v>
      </c>
      <c r="DI19" s="745">
        <v>72.33</v>
      </c>
      <c r="DJ19" s="745">
        <v>72.47</v>
      </c>
      <c r="DK19" s="745">
        <v>72.61</v>
      </c>
      <c r="DL19" s="745">
        <v>72.75</v>
      </c>
      <c r="DM19" s="745">
        <v>72.89</v>
      </c>
      <c r="DN19" s="745">
        <v>73.02</v>
      </c>
      <c r="DO19" s="745">
        <v>73.16</v>
      </c>
      <c r="DP19" s="745">
        <v>73.290000000000006</v>
      </c>
      <c r="DQ19" s="745">
        <v>73.42</v>
      </c>
      <c r="DR19" s="745">
        <v>73.55</v>
      </c>
    </row>
    <row r="20" spans="1:122">
      <c r="A20" s="912">
        <v>18</v>
      </c>
      <c r="B20" s="92"/>
      <c r="C20" s="92"/>
      <c r="D20" s="92"/>
      <c r="E20" s="92"/>
      <c r="F20" s="92"/>
      <c r="G20" s="92"/>
      <c r="H20" s="92"/>
      <c r="I20" s="92"/>
      <c r="J20" s="92"/>
      <c r="K20" s="92"/>
      <c r="L20" s="92"/>
      <c r="M20" s="92"/>
      <c r="N20" s="92"/>
      <c r="O20" s="92"/>
      <c r="P20" s="92"/>
      <c r="Q20" s="92"/>
      <c r="R20" s="92"/>
      <c r="S20" s="92"/>
      <c r="T20" s="92"/>
      <c r="U20" s="92"/>
      <c r="V20" s="745"/>
      <c r="W20" s="745">
        <v>53.68</v>
      </c>
      <c r="X20" s="745">
        <v>53.94</v>
      </c>
      <c r="Y20" s="745">
        <v>54.04</v>
      </c>
      <c r="Z20" s="745">
        <v>54.29</v>
      </c>
      <c r="AA20" s="745">
        <v>54.55</v>
      </c>
      <c r="AB20" s="745">
        <v>54.8</v>
      </c>
      <c r="AC20" s="745">
        <v>54.94</v>
      </c>
      <c r="AD20" s="745">
        <v>55.14</v>
      </c>
      <c r="AE20" s="745">
        <v>55.35</v>
      </c>
      <c r="AF20" s="745">
        <v>55.65</v>
      </c>
      <c r="AG20" s="745">
        <v>55.96</v>
      </c>
      <c r="AH20" s="745">
        <v>56.27</v>
      </c>
      <c r="AI20" s="745">
        <v>56.56</v>
      </c>
      <c r="AJ20" s="745">
        <v>56.92</v>
      </c>
      <c r="AK20" s="745">
        <v>57.22</v>
      </c>
      <c r="AL20" s="745">
        <v>57.58</v>
      </c>
      <c r="AM20" s="745">
        <v>57.93</v>
      </c>
      <c r="AN20" s="745">
        <v>58.16</v>
      </c>
      <c r="AO20" s="745">
        <v>58.3</v>
      </c>
      <c r="AP20" s="745">
        <v>58.52</v>
      </c>
      <c r="AQ20" s="745">
        <v>58.72</v>
      </c>
      <c r="AR20" s="745">
        <v>59.01</v>
      </c>
      <c r="AS20" s="745">
        <v>59.09</v>
      </c>
      <c r="AT20" s="745">
        <v>59.23</v>
      </c>
      <c r="AU20" s="745">
        <v>59.3</v>
      </c>
      <c r="AV20" s="745">
        <v>59.42</v>
      </c>
      <c r="AW20" s="745">
        <v>59.75</v>
      </c>
      <c r="AX20" s="745">
        <v>59.95</v>
      </c>
      <c r="AY20" s="745">
        <v>60.05</v>
      </c>
      <c r="AZ20" s="745">
        <v>60.08</v>
      </c>
      <c r="BA20" s="745">
        <v>60.14</v>
      </c>
      <c r="BB20" s="745">
        <v>60.3</v>
      </c>
      <c r="BC20" s="745">
        <v>60.44</v>
      </c>
      <c r="BD20" s="745">
        <v>60.63</v>
      </c>
      <c r="BE20" s="745">
        <v>60.82</v>
      </c>
      <c r="BF20" s="745">
        <v>61.04</v>
      </c>
      <c r="BG20" s="745">
        <v>61.21</v>
      </c>
      <c r="BH20" s="745">
        <v>61.54</v>
      </c>
      <c r="BI20" s="745">
        <v>61.74</v>
      </c>
      <c r="BJ20" s="745">
        <v>62.02</v>
      </c>
      <c r="BK20" s="745">
        <v>62.25</v>
      </c>
      <c r="BL20" s="745">
        <v>62.55</v>
      </c>
      <c r="BM20" s="745">
        <v>62.85</v>
      </c>
      <c r="BN20" s="745">
        <v>63.09</v>
      </c>
      <c r="BO20" s="745">
        <v>63.34</v>
      </c>
      <c r="BP20" s="745">
        <v>63.58</v>
      </c>
      <c r="BQ20" s="745">
        <v>63.79</v>
      </c>
      <c r="BR20" s="745">
        <v>64.02</v>
      </c>
      <c r="BS20" s="745">
        <v>64.2</v>
      </c>
      <c r="BT20" s="857">
        <v>64.42</v>
      </c>
      <c r="BU20" s="745">
        <v>64.56</v>
      </c>
      <c r="BV20" s="745">
        <v>64.78</v>
      </c>
      <c r="BW20" s="745">
        <v>64.97</v>
      </c>
      <c r="BX20" s="745">
        <v>65.17</v>
      </c>
      <c r="BY20" s="745">
        <v>65.34</v>
      </c>
      <c r="BZ20" s="745">
        <v>65.510000000000005</v>
      </c>
      <c r="CA20" s="745">
        <v>65.69</v>
      </c>
      <c r="CB20" s="745">
        <v>65.86</v>
      </c>
      <c r="CC20" s="745">
        <v>66.05</v>
      </c>
      <c r="CD20" s="745">
        <v>66.239999999999995</v>
      </c>
      <c r="CE20" s="745">
        <v>66.44</v>
      </c>
      <c r="CF20" s="745">
        <v>66.62</v>
      </c>
      <c r="CG20" s="745">
        <v>66.819999999999993</v>
      </c>
      <c r="CH20" s="745">
        <v>66.989999999999995</v>
      </c>
      <c r="CI20" s="745">
        <v>67.209999999999994</v>
      </c>
      <c r="CJ20" s="745">
        <v>67.38</v>
      </c>
      <c r="CK20" s="745">
        <v>67.55</v>
      </c>
      <c r="CL20" s="745">
        <v>67.739999999999995</v>
      </c>
      <c r="CM20" s="745">
        <v>67.92</v>
      </c>
      <c r="CN20" s="745">
        <v>68.09</v>
      </c>
      <c r="CO20" s="745">
        <v>68.260000000000005</v>
      </c>
      <c r="CP20" s="745">
        <v>68.430000000000007</v>
      </c>
      <c r="CQ20" s="745">
        <v>68.599999999999994</v>
      </c>
      <c r="CR20" s="745">
        <v>68.760000000000005</v>
      </c>
      <c r="CS20" s="745">
        <v>68.92</v>
      </c>
      <c r="CT20" s="745">
        <v>69.09</v>
      </c>
      <c r="CU20" s="745">
        <v>69.239999999999995</v>
      </c>
      <c r="CV20" s="745">
        <v>69.400000000000006</v>
      </c>
      <c r="CW20" s="745">
        <v>69.55</v>
      </c>
      <c r="CX20" s="745">
        <v>69.709999999999994</v>
      </c>
      <c r="CY20" s="745">
        <v>69.87</v>
      </c>
      <c r="CZ20" s="745">
        <v>70.02</v>
      </c>
      <c r="DA20" s="745">
        <v>70.180000000000007</v>
      </c>
      <c r="DB20" s="745">
        <v>70.33</v>
      </c>
      <c r="DC20" s="745">
        <v>70.48</v>
      </c>
      <c r="DD20" s="745">
        <v>70.62</v>
      </c>
      <c r="DE20" s="745">
        <v>70.77</v>
      </c>
      <c r="DF20" s="745">
        <v>70.92</v>
      </c>
      <c r="DG20" s="745">
        <v>71.06</v>
      </c>
      <c r="DH20" s="745">
        <v>71.2</v>
      </c>
      <c r="DI20" s="745">
        <v>71.34</v>
      </c>
      <c r="DJ20" s="745">
        <v>71.48</v>
      </c>
      <c r="DK20" s="745">
        <v>71.62</v>
      </c>
      <c r="DL20" s="745">
        <v>71.760000000000005</v>
      </c>
      <c r="DM20" s="745">
        <v>71.900000000000006</v>
      </c>
      <c r="DN20" s="745">
        <v>72.03</v>
      </c>
      <c r="DO20" s="745">
        <v>72.17</v>
      </c>
      <c r="DP20" s="745">
        <v>72.3</v>
      </c>
      <c r="DQ20" s="745">
        <v>72.430000000000007</v>
      </c>
      <c r="DR20" s="745">
        <v>72.56</v>
      </c>
    </row>
    <row r="21" spans="1:122">
      <c r="A21" s="912">
        <v>19</v>
      </c>
      <c r="B21" s="92"/>
      <c r="C21" s="92"/>
      <c r="D21" s="92"/>
      <c r="E21" s="92"/>
      <c r="F21" s="92"/>
      <c r="G21" s="92"/>
      <c r="H21" s="92"/>
      <c r="I21" s="92"/>
      <c r="J21" s="92"/>
      <c r="K21" s="92"/>
      <c r="L21" s="92"/>
      <c r="M21" s="92"/>
      <c r="N21" s="92"/>
      <c r="O21" s="92"/>
      <c r="P21" s="92"/>
      <c r="Q21" s="92"/>
      <c r="R21" s="92"/>
      <c r="S21" s="92"/>
      <c r="T21" s="92"/>
      <c r="U21" s="92"/>
      <c r="V21" s="745"/>
      <c r="W21" s="745">
        <v>52.81</v>
      </c>
      <c r="X21" s="745">
        <v>53.08</v>
      </c>
      <c r="Y21" s="745">
        <v>53.18</v>
      </c>
      <c r="Z21" s="745">
        <v>53.42</v>
      </c>
      <c r="AA21" s="745">
        <v>53.71</v>
      </c>
      <c r="AB21" s="745">
        <v>53.98</v>
      </c>
      <c r="AC21" s="745">
        <v>54.19</v>
      </c>
      <c r="AD21" s="745">
        <v>54.3</v>
      </c>
      <c r="AE21" s="745">
        <v>54.51</v>
      </c>
      <c r="AF21" s="745">
        <v>54.78</v>
      </c>
      <c r="AG21" s="745">
        <v>55.04</v>
      </c>
      <c r="AH21" s="745">
        <v>55.36</v>
      </c>
      <c r="AI21" s="745">
        <v>55.65</v>
      </c>
      <c r="AJ21" s="745">
        <v>56</v>
      </c>
      <c r="AK21" s="745">
        <v>56.3</v>
      </c>
      <c r="AL21" s="745">
        <v>56.66</v>
      </c>
      <c r="AM21" s="745">
        <v>57.01</v>
      </c>
      <c r="AN21" s="745">
        <v>57.25</v>
      </c>
      <c r="AO21" s="745">
        <v>57.39</v>
      </c>
      <c r="AP21" s="745">
        <v>57.61</v>
      </c>
      <c r="AQ21" s="745">
        <v>57.81</v>
      </c>
      <c r="AR21" s="745">
        <v>58.09</v>
      </c>
      <c r="AS21" s="745">
        <v>58.18</v>
      </c>
      <c r="AT21" s="745">
        <v>58.32</v>
      </c>
      <c r="AU21" s="745">
        <v>58.38</v>
      </c>
      <c r="AV21" s="745">
        <v>58.51</v>
      </c>
      <c r="AW21" s="745">
        <v>58.84</v>
      </c>
      <c r="AX21" s="745">
        <v>59.05</v>
      </c>
      <c r="AY21" s="745">
        <v>59.14</v>
      </c>
      <c r="AZ21" s="745">
        <v>59.17</v>
      </c>
      <c r="BA21" s="745">
        <v>59.25</v>
      </c>
      <c r="BB21" s="745">
        <v>59.41</v>
      </c>
      <c r="BC21" s="745">
        <v>59.55</v>
      </c>
      <c r="BD21" s="745">
        <v>59.74</v>
      </c>
      <c r="BE21" s="745">
        <v>59.93</v>
      </c>
      <c r="BF21" s="745">
        <v>60.15</v>
      </c>
      <c r="BG21" s="745">
        <v>60.32</v>
      </c>
      <c r="BH21" s="745">
        <v>60.65</v>
      </c>
      <c r="BI21" s="745">
        <v>60.85</v>
      </c>
      <c r="BJ21" s="745">
        <v>61.13</v>
      </c>
      <c r="BK21" s="745">
        <v>61.35</v>
      </c>
      <c r="BL21" s="745">
        <v>61.64</v>
      </c>
      <c r="BM21" s="745">
        <v>61.93</v>
      </c>
      <c r="BN21" s="745">
        <v>62.18</v>
      </c>
      <c r="BO21" s="745">
        <v>62.43</v>
      </c>
      <c r="BP21" s="745">
        <v>62.65</v>
      </c>
      <c r="BQ21" s="745">
        <v>62.86</v>
      </c>
      <c r="BR21" s="745">
        <v>63.08</v>
      </c>
      <c r="BS21" s="745">
        <v>63.27</v>
      </c>
      <c r="BT21" s="857">
        <v>63.48</v>
      </c>
      <c r="BU21" s="745">
        <v>63.63</v>
      </c>
      <c r="BV21" s="745">
        <v>63.85</v>
      </c>
      <c r="BW21" s="745">
        <v>64.040000000000006</v>
      </c>
      <c r="BX21" s="745">
        <v>64.239999999999995</v>
      </c>
      <c r="BY21" s="745">
        <v>64.41</v>
      </c>
      <c r="BZ21" s="745">
        <v>64.58</v>
      </c>
      <c r="CA21" s="745">
        <v>64.760000000000005</v>
      </c>
      <c r="CB21" s="745">
        <v>64.930000000000007</v>
      </c>
      <c r="CC21" s="745">
        <v>65.12</v>
      </c>
      <c r="CD21" s="745">
        <v>65.31</v>
      </c>
      <c r="CE21" s="745">
        <v>65.5</v>
      </c>
      <c r="CF21" s="745">
        <v>65.680000000000007</v>
      </c>
      <c r="CG21" s="745">
        <v>65.88</v>
      </c>
      <c r="CH21" s="745">
        <v>66.05</v>
      </c>
      <c r="CI21" s="745">
        <v>66.260000000000005</v>
      </c>
      <c r="CJ21" s="745">
        <v>66.430000000000007</v>
      </c>
      <c r="CK21" s="745">
        <v>66.599999999999994</v>
      </c>
      <c r="CL21" s="745">
        <v>66.78</v>
      </c>
      <c r="CM21" s="745">
        <v>66.959999999999994</v>
      </c>
      <c r="CN21" s="745">
        <v>67.13</v>
      </c>
      <c r="CO21" s="745">
        <v>67.290000000000006</v>
      </c>
      <c r="CP21" s="745">
        <v>67.47</v>
      </c>
      <c r="CQ21" s="745">
        <v>67.63</v>
      </c>
      <c r="CR21" s="745">
        <v>67.790000000000006</v>
      </c>
      <c r="CS21" s="745">
        <v>67.95</v>
      </c>
      <c r="CT21" s="745">
        <v>68.11</v>
      </c>
      <c r="CU21" s="745">
        <v>68.27</v>
      </c>
      <c r="CV21" s="745">
        <v>68.42</v>
      </c>
      <c r="CW21" s="745">
        <v>68.58</v>
      </c>
      <c r="CX21" s="745">
        <v>68.739999999999995</v>
      </c>
      <c r="CY21" s="745">
        <v>68.89</v>
      </c>
      <c r="CZ21" s="745">
        <v>69.040000000000006</v>
      </c>
      <c r="DA21" s="745">
        <v>69.2</v>
      </c>
      <c r="DB21" s="745">
        <v>69.349999999999994</v>
      </c>
      <c r="DC21" s="745">
        <v>69.5</v>
      </c>
      <c r="DD21" s="745">
        <v>69.64</v>
      </c>
      <c r="DE21" s="745">
        <v>69.790000000000006</v>
      </c>
      <c r="DF21" s="745">
        <v>69.930000000000007</v>
      </c>
      <c r="DG21" s="745">
        <v>70.08</v>
      </c>
      <c r="DH21" s="745">
        <v>70.22</v>
      </c>
      <c r="DI21" s="745">
        <v>70.36</v>
      </c>
      <c r="DJ21" s="745">
        <v>70.5</v>
      </c>
      <c r="DK21" s="745">
        <v>70.64</v>
      </c>
      <c r="DL21" s="745">
        <v>70.78</v>
      </c>
      <c r="DM21" s="745">
        <v>70.91</v>
      </c>
      <c r="DN21" s="745">
        <v>71.05</v>
      </c>
      <c r="DO21" s="745">
        <v>71.180000000000007</v>
      </c>
      <c r="DP21" s="745">
        <v>71.31</v>
      </c>
      <c r="DQ21" s="745">
        <v>71.44</v>
      </c>
      <c r="DR21" s="745">
        <v>71.569999999999993</v>
      </c>
    </row>
    <row r="22" spans="1:122">
      <c r="A22" s="912">
        <v>20</v>
      </c>
      <c r="B22" s="92"/>
      <c r="C22" s="92"/>
      <c r="D22" s="92"/>
      <c r="E22" s="92"/>
      <c r="F22" s="92"/>
      <c r="G22" s="92"/>
      <c r="H22" s="92"/>
      <c r="I22" s="92"/>
      <c r="J22" s="92"/>
      <c r="K22" s="92"/>
      <c r="L22" s="92"/>
      <c r="M22" s="92"/>
      <c r="N22" s="92"/>
      <c r="O22" s="92"/>
      <c r="P22" s="92"/>
      <c r="Q22" s="92"/>
      <c r="R22" s="92"/>
      <c r="S22" s="92"/>
      <c r="T22" s="92"/>
      <c r="U22" s="92"/>
      <c r="V22" s="745"/>
      <c r="W22" s="745">
        <v>51.96</v>
      </c>
      <c r="X22" s="745">
        <v>52.23</v>
      </c>
      <c r="Y22" s="745">
        <v>52.32</v>
      </c>
      <c r="Z22" s="745">
        <v>52.59</v>
      </c>
      <c r="AA22" s="745">
        <v>52.89</v>
      </c>
      <c r="AB22" s="745">
        <v>53.25</v>
      </c>
      <c r="AC22" s="745">
        <v>53.39</v>
      </c>
      <c r="AD22" s="745">
        <v>53.5</v>
      </c>
      <c r="AE22" s="745">
        <v>53.66</v>
      </c>
      <c r="AF22" s="745">
        <v>53.87</v>
      </c>
      <c r="AG22" s="745">
        <v>54.14</v>
      </c>
      <c r="AH22" s="745">
        <v>54.45</v>
      </c>
      <c r="AI22" s="745">
        <v>54.75</v>
      </c>
      <c r="AJ22" s="745">
        <v>55.09</v>
      </c>
      <c r="AK22" s="745">
        <v>55.38</v>
      </c>
      <c r="AL22" s="745">
        <v>55.75</v>
      </c>
      <c r="AM22" s="745">
        <v>56.11</v>
      </c>
      <c r="AN22" s="745">
        <v>56.35</v>
      </c>
      <c r="AO22" s="745">
        <v>56.49</v>
      </c>
      <c r="AP22" s="745">
        <v>56.71</v>
      </c>
      <c r="AQ22" s="745">
        <v>56.92</v>
      </c>
      <c r="AR22" s="745">
        <v>57.19</v>
      </c>
      <c r="AS22" s="745">
        <v>57.27</v>
      </c>
      <c r="AT22" s="745">
        <v>57.42</v>
      </c>
      <c r="AU22" s="745">
        <v>57.49</v>
      </c>
      <c r="AV22" s="745">
        <v>57.62</v>
      </c>
      <c r="AW22" s="745">
        <v>57.94</v>
      </c>
      <c r="AX22" s="745">
        <v>58.14</v>
      </c>
      <c r="AY22" s="745">
        <v>58.24</v>
      </c>
      <c r="AZ22" s="745">
        <v>58.28</v>
      </c>
      <c r="BA22" s="745">
        <v>58.36</v>
      </c>
      <c r="BB22" s="745">
        <v>58.52</v>
      </c>
      <c r="BC22" s="745">
        <v>58.67</v>
      </c>
      <c r="BD22" s="745">
        <v>58.84</v>
      </c>
      <c r="BE22" s="745">
        <v>59.04</v>
      </c>
      <c r="BF22" s="745">
        <v>59.26</v>
      </c>
      <c r="BG22" s="745">
        <v>59.43</v>
      </c>
      <c r="BH22" s="745">
        <v>59.76</v>
      </c>
      <c r="BI22" s="745">
        <v>59.96</v>
      </c>
      <c r="BJ22" s="745">
        <v>60.23</v>
      </c>
      <c r="BK22" s="745">
        <v>60.45</v>
      </c>
      <c r="BL22" s="745">
        <v>60.74</v>
      </c>
      <c r="BM22" s="745">
        <v>61.02</v>
      </c>
      <c r="BN22" s="745">
        <v>61.27</v>
      </c>
      <c r="BO22" s="745">
        <v>61.5</v>
      </c>
      <c r="BP22" s="745">
        <v>61.72</v>
      </c>
      <c r="BQ22" s="745">
        <v>61.94</v>
      </c>
      <c r="BR22" s="745">
        <v>62.15</v>
      </c>
      <c r="BS22" s="745">
        <v>62.33</v>
      </c>
      <c r="BT22" s="857">
        <v>62.55</v>
      </c>
      <c r="BU22" s="745">
        <v>62.71</v>
      </c>
      <c r="BV22" s="745">
        <v>62.92</v>
      </c>
      <c r="BW22" s="745">
        <v>63.11</v>
      </c>
      <c r="BX22" s="745">
        <v>63.31</v>
      </c>
      <c r="BY22" s="745">
        <v>63.48</v>
      </c>
      <c r="BZ22" s="745">
        <v>63.65</v>
      </c>
      <c r="CA22" s="745">
        <v>63.84</v>
      </c>
      <c r="CB22" s="745">
        <v>64</v>
      </c>
      <c r="CC22" s="745">
        <v>64.180000000000007</v>
      </c>
      <c r="CD22" s="745">
        <v>64.37</v>
      </c>
      <c r="CE22" s="745">
        <v>64.56</v>
      </c>
      <c r="CF22" s="745">
        <v>64.739999999999995</v>
      </c>
      <c r="CG22" s="745">
        <v>64.930000000000007</v>
      </c>
      <c r="CH22" s="745">
        <v>65.099999999999994</v>
      </c>
      <c r="CI22" s="745">
        <v>65.3</v>
      </c>
      <c r="CJ22" s="745">
        <v>65.459999999999994</v>
      </c>
      <c r="CK22" s="745">
        <v>65.64</v>
      </c>
      <c r="CL22" s="745">
        <v>65.819999999999993</v>
      </c>
      <c r="CM22" s="745">
        <v>65.989999999999995</v>
      </c>
      <c r="CN22" s="745">
        <v>66.16</v>
      </c>
      <c r="CO22" s="745">
        <v>66.33</v>
      </c>
      <c r="CP22" s="745">
        <v>66.5</v>
      </c>
      <c r="CQ22" s="745">
        <v>66.66</v>
      </c>
      <c r="CR22" s="745">
        <v>66.81</v>
      </c>
      <c r="CS22" s="745">
        <v>66.98</v>
      </c>
      <c r="CT22" s="745">
        <v>67.14</v>
      </c>
      <c r="CU22" s="745">
        <v>67.290000000000006</v>
      </c>
      <c r="CV22" s="745">
        <v>67.45</v>
      </c>
      <c r="CW22" s="745">
        <v>67.61</v>
      </c>
      <c r="CX22" s="745">
        <v>67.760000000000005</v>
      </c>
      <c r="CY22" s="745">
        <v>67.92</v>
      </c>
      <c r="CZ22" s="745">
        <v>68.069999999999993</v>
      </c>
      <c r="DA22" s="745">
        <v>68.22</v>
      </c>
      <c r="DB22" s="745">
        <v>68.37</v>
      </c>
      <c r="DC22" s="745">
        <v>68.52</v>
      </c>
      <c r="DD22" s="745">
        <v>68.66</v>
      </c>
      <c r="DE22" s="745">
        <v>68.81</v>
      </c>
      <c r="DF22" s="745">
        <v>68.95</v>
      </c>
      <c r="DG22" s="745">
        <v>69.099999999999994</v>
      </c>
      <c r="DH22" s="745">
        <v>69.239999999999995</v>
      </c>
      <c r="DI22" s="745">
        <v>69.38</v>
      </c>
      <c r="DJ22" s="745">
        <v>69.52</v>
      </c>
      <c r="DK22" s="745">
        <v>69.66</v>
      </c>
      <c r="DL22" s="745">
        <v>69.790000000000006</v>
      </c>
      <c r="DM22" s="745">
        <v>69.930000000000007</v>
      </c>
      <c r="DN22" s="745">
        <v>70.06</v>
      </c>
      <c r="DO22" s="745">
        <v>70.19</v>
      </c>
      <c r="DP22" s="745">
        <v>70.33</v>
      </c>
      <c r="DQ22" s="745">
        <v>70.459999999999994</v>
      </c>
      <c r="DR22" s="745">
        <v>70.59</v>
      </c>
    </row>
    <row r="23" spans="1:122">
      <c r="A23" s="912">
        <v>21</v>
      </c>
      <c r="B23" s="92"/>
      <c r="C23" s="92"/>
      <c r="D23" s="92"/>
      <c r="E23" s="92"/>
      <c r="F23" s="92"/>
      <c r="G23" s="92"/>
      <c r="H23" s="92"/>
      <c r="I23" s="92"/>
      <c r="J23" s="92"/>
      <c r="K23" s="92"/>
      <c r="L23" s="92"/>
      <c r="M23" s="92"/>
      <c r="N23" s="92"/>
      <c r="O23" s="92"/>
      <c r="P23" s="92"/>
      <c r="Q23" s="92"/>
      <c r="R23" s="92"/>
      <c r="S23" s="92"/>
      <c r="T23" s="92"/>
      <c r="U23" s="92"/>
      <c r="V23" s="745"/>
      <c r="W23" s="745">
        <v>51.11</v>
      </c>
      <c r="X23" s="745">
        <v>51.38</v>
      </c>
      <c r="Y23" s="745">
        <v>51.49</v>
      </c>
      <c r="Z23" s="745">
        <v>51.78</v>
      </c>
      <c r="AA23" s="745">
        <v>52.17</v>
      </c>
      <c r="AB23" s="745">
        <v>52.48</v>
      </c>
      <c r="AC23" s="745">
        <v>52.62</v>
      </c>
      <c r="AD23" s="745">
        <v>52.68</v>
      </c>
      <c r="AE23" s="745">
        <v>52.76</v>
      </c>
      <c r="AF23" s="745">
        <v>52.97</v>
      </c>
      <c r="AG23" s="745">
        <v>53.24</v>
      </c>
      <c r="AH23" s="745">
        <v>53.55</v>
      </c>
      <c r="AI23" s="745">
        <v>53.84</v>
      </c>
      <c r="AJ23" s="745">
        <v>54.19</v>
      </c>
      <c r="AK23" s="745">
        <v>54.48</v>
      </c>
      <c r="AL23" s="745">
        <v>54.86</v>
      </c>
      <c r="AM23" s="745">
        <v>55.22</v>
      </c>
      <c r="AN23" s="745">
        <v>55.46</v>
      </c>
      <c r="AO23" s="745">
        <v>55.59</v>
      </c>
      <c r="AP23" s="745">
        <v>55.81</v>
      </c>
      <c r="AQ23" s="745">
        <v>56.02</v>
      </c>
      <c r="AR23" s="745">
        <v>56.29</v>
      </c>
      <c r="AS23" s="745">
        <v>56.37</v>
      </c>
      <c r="AT23" s="745">
        <v>56.51</v>
      </c>
      <c r="AU23" s="745">
        <v>56.59</v>
      </c>
      <c r="AV23" s="745">
        <v>56.72</v>
      </c>
      <c r="AW23" s="745">
        <v>57.03</v>
      </c>
      <c r="AX23" s="745">
        <v>57.22</v>
      </c>
      <c r="AY23" s="745">
        <v>57.34</v>
      </c>
      <c r="AZ23" s="745">
        <v>57.38</v>
      </c>
      <c r="BA23" s="745">
        <v>57.48</v>
      </c>
      <c r="BB23" s="745">
        <v>57.63</v>
      </c>
      <c r="BC23" s="745">
        <v>57.76</v>
      </c>
      <c r="BD23" s="745">
        <v>57.94</v>
      </c>
      <c r="BE23" s="745">
        <v>58.14</v>
      </c>
      <c r="BF23" s="745">
        <v>58.37</v>
      </c>
      <c r="BG23" s="745">
        <v>58.54</v>
      </c>
      <c r="BH23" s="745">
        <v>58.86</v>
      </c>
      <c r="BI23" s="745">
        <v>59.05</v>
      </c>
      <c r="BJ23" s="745">
        <v>59.32</v>
      </c>
      <c r="BK23" s="745">
        <v>59.54</v>
      </c>
      <c r="BL23" s="745">
        <v>59.83</v>
      </c>
      <c r="BM23" s="745">
        <v>60.1</v>
      </c>
      <c r="BN23" s="745">
        <v>60.34</v>
      </c>
      <c r="BO23" s="745">
        <v>60.57</v>
      </c>
      <c r="BP23" s="745">
        <v>60.79</v>
      </c>
      <c r="BQ23" s="745">
        <v>61.01</v>
      </c>
      <c r="BR23" s="745">
        <v>61.21</v>
      </c>
      <c r="BS23" s="745">
        <v>61.4</v>
      </c>
      <c r="BT23" s="857">
        <v>61.62</v>
      </c>
      <c r="BU23" s="745">
        <v>61.77</v>
      </c>
      <c r="BV23" s="745">
        <v>61.99</v>
      </c>
      <c r="BW23" s="745">
        <v>62.18</v>
      </c>
      <c r="BX23" s="745">
        <v>62.38</v>
      </c>
      <c r="BY23" s="745">
        <v>62.55</v>
      </c>
      <c r="BZ23" s="745">
        <v>62.72</v>
      </c>
      <c r="CA23" s="745">
        <v>62.9</v>
      </c>
      <c r="CB23" s="745">
        <v>63.06</v>
      </c>
      <c r="CC23" s="745">
        <v>63.24</v>
      </c>
      <c r="CD23" s="745">
        <v>63.43</v>
      </c>
      <c r="CE23" s="745">
        <v>63.62</v>
      </c>
      <c r="CF23" s="745">
        <v>63.79</v>
      </c>
      <c r="CG23" s="745">
        <v>63.98</v>
      </c>
      <c r="CH23" s="745">
        <v>64.14</v>
      </c>
      <c r="CI23" s="745">
        <v>64.34</v>
      </c>
      <c r="CJ23" s="745">
        <v>64.510000000000005</v>
      </c>
      <c r="CK23" s="745">
        <v>64.680000000000007</v>
      </c>
      <c r="CL23" s="745">
        <v>64.849999999999994</v>
      </c>
      <c r="CM23" s="745">
        <v>65.02</v>
      </c>
      <c r="CN23" s="745">
        <v>65.19</v>
      </c>
      <c r="CO23" s="745">
        <v>65.37</v>
      </c>
      <c r="CP23" s="745">
        <v>65.53</v>
      </c>
      <c r="CQ23" s="745">
        <v>65.69</v>
      </c>
      <c r="CR23" s="745">
        <v>65.849999999999994</v>
      </c>
      <c r="CS23" s="745">
        <v>66.010000000000005</v>
      </c>
      <c r="CT23" s="745">
        <v>66.17</v>
      </c>
      <c r="CU23" s="745">
        <v>66.319999999999993</v>
      </c>
      <c r="CV23" s="745">
        <v>66.48</v>
      </c>
      <c r="CW23" s="745">
        <v>66.63</v>
      </c>
      <c r="CX23" s="745">
        <v>66.790000000000006</v>
      </c>
      <c r="CY23" s="745">
        <v>66.94</v>
      </c>
      <c r="CZ23" s="745">
        <v>67.09</v>
      </c>
      <c r="DA23" s="745">
        <v>67.239999999999995</v>
      </c>
      <c r="DB23" s="745">
        <v>67.39</v>
      </c>
      <c r="DC23" s="745">
        <v>67.540000000000006</v>
      </c>
      <c r="DD23" s="745">
        <v>67.69</v>
      </c>
      <c r="DE23" s="745">
        <v>67.83</v>
      </c>
      <c r="DF23" s="745">
        <v>67.97</v>
      </c>
      <c r="DG23" s="745">
        <v>68.12</v>
      </c>
      <c r="DH23" s="745">
        <v>68.260000000000005</v>
      </c>
      <c r="DI23" s="745">
        <v>68.400000000000006</v>
      </c>
      <c r="DJ23" s="745">
        <v>68.540000000000006</v>
      </c>
      <c r="DK23" s="745">
        <v>68.67</v>
      </c>
      <c r="DL23" s="745">
        <v>68.81</v>
      </c>
      <c r="DM23" s="745">
        <v>68.94</v>
      </c>
      <c r="DN23" s="745">
        <v>69.08</v>
      </c>
      <c r="DO23" s="745">
        <v>69.209999999999994</v>
      </c>
      <c r="DP23" s="745">
        <v>69.34</v>
      </c>
      <c r="DQ23" s="745">
        <v>69.47</v>
      </c>
      <c r="DR23" s="745">
        <v>69.599999999999994</v>
      </c>
    </row>
    <row r="24" spans="1:122">
      <c r="A24" s="912">
        <v>22</v>
      </c>
      <c r="B24" s="92"/>
      <c r="C24" s="92"/>
      <c r="D24" s="92"/>
      <c r="E24" s="92"/>
      <c r="F24" s="92"/>
      <c r="G24" s="92"/>
      <c r="H24" s="92"/>
      <c r="I24" s="92"/>
      <c r="J24" s="92"/>
      <c r="K24" s="92"/>
      <c r="L24" s="92"/>
      <c r="M24" s="92"/>
      <c r="N24" s="92"/>
      <c r="O24" s="92"/>
      <c r="P24" s="92"/>
      <c r="Q24" s="92"/>
      <c r="R24" s="92"/>
      <c r="S24" s="92"/>
      <c r="T24" s="92"/>
      <c r="U24" s="92"/>
      <c r="V24" s="745"/>
      <c r="W24" s="745">
        <v>50.27</v>
      </c>
      <c r="X24" s="745">
        <v>50.56</v>
      </c>
      <c r="Y24" s="745">
        <v>50.69</v>
      </c>
      <c r="Z24" s="745">
        <v>51.07</v>
      </c>
      <c r="AA24" s="745">
        <v>51.42</v>
      </c>
      <c r="AB24" s="745">
        <v>51.73</v>
      </c>
      <c r="AC24" s="745">
        <v>51.81</v>
      </c>
      <c r="AD24" s="745">
        <v>51.78</v>
      </c>
      <c r="AE24" s="745">
        <v>51.87</v>
      </c>
      <c r="AF24" s="745">
        <v>52.08</v>
      </c>
      <c r="AG24" s="745">
        <v>52.34</v>
      </c>
      <c r="AH24" s="745">
        <v>52.65</v>
      </c>
      <c r="AI24" s="745">
        <v>52.94</v>
      </c>
      <c r="AJ24" s="745">
        <v>53.29</v>
      </c>
      <c r="AK24" s="745">
        <v>53.59</v>
      </c>
      <c r="AL24" s="745">
        <v>53.97</v>
      </c>
      <c r="AM24" s="745">
        <v>54.32</v>
      </c>
      <c r="AN24" s="745">
        <v>54.55</v>
      </c>
      <c r="AO24" s="745">
        <v>54.69</v>
      </c>
      <c r="AP24" s="745">
        <v>54.92</v>
      </c>
      <c r="AQ24" s="745">
        <v>55.12</v>
      </c>
      <c r="AR24" s="745">
        <v>55.39</v>
      </c>
      <c r="AS24" s="745">
        <v>55.47</v>
      </c>
      <c r="AT24" s="745">
        <v>55.6</v>
      </c>
      <c r="AU24" s="745">
        <v>55.68</v>
      </c>
      <c r="AV24" s="745">
        <v>55.81</v>
      </c>
      <c r="AW24" s="745">
        <v>56.12</v>
      </c>
      <c r="AX24" s="745">
        <v>56.32</v>
      </c>
      <c r="AY24" s="745">
        <v>56.44</v>
      </c>
      <c r="AZ24" s="745">
        <v>56.49</v>
      </c>
      <c r="BA24" s="745">
        <v>56.58</v>
      </c>
      <c r="BB24" s="745">
        <v>56.72</v>
      </c>
      <c r="BC24" s="745">
        <v>56.86</v>
      </c>
      <c r="BD24" s="745">
        <v>57.04</v>
      </c>
      <c r="BE24" s="745">
        <v>57.24</v>
      </c>
      <c r="BF24" s="745">
        <v>57.46</v>
      </c>
      <c r="BG24" s="745">
        <v>57.64</v>
      </c>
      <c r="BH24" s="745">
        <v>57.95</v>
      </c>
      <c r="BI24" s="745">
        <v>58.14</v>
      </c>
      <c r="BJ24" s="745">
        <v>58.41</v>
      </c>
      <c r="BK24" s="745">
        <v>58.63</v>
      </c>
      <c r="BL24" s="745">
        <v>58.91</v>
      </c>
      <c r="BM24" s="745">
        <v>59.17</v>
      </c>
      <c r="BN24" s="745">
        <v>59.41</v>
      </c>
      <c r="BO24" s="745">
        <v>59.63</v>
      </c>
      <c r="BP24" s="745">
        <v>59.85</v>
      </c>
      <c r="BQ24" s="745">
        <v>60.07</v>
      </c>
      <c r="BR24" s="745">
        <v>60.28</v>
      </c>
      <c r="BS24" s="745">
        <v>60.47</v>
      </c>
      <c r="BT24" s="857">
        <v>60.69</v>
      </c>
      <c r="BU24" s="745">
        <v>60.85</v>
      </c>
      <c r="BV24" s="745">
        <v>61.06</v>
      </c>
      <c r="BW24" s="745">
        <v>61.24</v>
      </c>
      <c r="BX24" s="745">
        <v>61.44</v>
      </c>
      <c r="BY24" s="745">
        <v>61.6</v>
      </c>
      <c r="BZ24" s="745">
        <v>61.78</v>
      </c>
      <c r="CA24" s="745">
        <v>61.96</v>
      </c>
      <c r="CB24" s="745">
        <v>62.12</v>
      </c>
      <c r="CC24" s="745">
        <v>62.3</v>
      </c>
      <c r="CD24" s="745">
        <v>62.48</v>
      </c>
      <c r="CE24" s="745">
        <v>62.67</v>
      </c>
      <c r="CF24" s="745">
        <v>62.84</v>
      </c>
      <c r="CG24" s="745">
        <v>63.02</v>
      </c>
      <c r="CH24" s="745">
        <v>63.18</v>
      </c>
      <c r="CI24" s="745">
        <v>63.38</v>
      </c>
      <c r="CJ24" s="745">
        <v>63.55</v>
      </c>
      <c r="CK24" s="745">
        <v>63.71</v>
      </c>
      <c r="CL24" s="745">
        <v>63.89</v>
      </c>
      <c r="CM24" s="745">
        <v>64.06</v>
      </c>
      <c r="CN24" s="745">
        <v>64.23</v>
      </c>
      <c r="CO24" s="745">
        <v>64.39</v>
      </c>
      <c r="CP24" s="745">
        <v>64.56</v>
      </c>
      <c r="CQ24" s="745">
        <v>64.72</v>
      </c>
      <c r="CR24" s="745">
        <v>64.87</v>
      </c>
      <c r="CS24" s="745">
        <v>65.040000000000006</v>
      </c>
      <c r="CT24" s="745">
        <v>65.2</v>
      </c>
      <c r="CU24" s="745">
        <v>65.349999999999994</v>
      </c>
      <c r="CV24" s="745">
        <v>65.510000000000005</v>
      </c>
      <c r="CW24" s="745">
        <v>65.66</v>
      </c>
      <c r="CX24" s="745">
        <v>65.81</v>
      </c>
      <c r="CY24" s="745">
        <v>65.97</v>
      </c>
      <c r="CZ24" s="745">
        <v>66.12</v>
      </c>
      <c r="DA24" s="745">
        <v>66.27</v>
      </c>
      <c r="DB24" s="745">
        <v>66.42</v>
      </c>
      <c r="DC24" s="745">
        <v>66.56</v>
      </c>
      <c r="DD24" s="745">
        <v>66.709999999999994</v>
      </c>
      <c r="DE24" s="745">
        <v>66.849999999999994</v>
      </c>
      <c r="DF24" s="745">
        <v>66.989999999999995</v>
      </c>
      <c r="DG24" s="745">
        <v>67.14</v>
      </c>
      <c r="DH24" s="745">
        <v>67.28</v>
      </c>
      <c r="DI24" s="745">
        <v>67.42</v>
      </c>
      <c r="DJ24" s="745">
        <v>67.55</v>
      </c>
      <c r="DK24" s="745">
        <v>67.69</v>
      </c>
      <c r="DL24" s="745">
        <v>67.83</v>
      </c>
      <c r="DM24" s="745">
        <v>67.959999999999994</v>
      </c>
      <c r="DN24" s="745">
        <v>68.09</v>
      </c>
      <c r="DO24" s="745">
        <v>68.23</v>
      </c>
      <c r="DP24" s="745">
        <v>68.36</v>
      </c>
      <c r="DQ24" s="745">
        <v>68.489999999999995</v>
      </c>
      <c r="DR24" s="745">
        <v>68.62</v>
      </c>
    </row>
    <row r="25" spans="1:122">
      <c r="A25" s="912">
        <v>23</v>
      </c>
      <c r="B25" s="92"/>
      <c r="C25" s="92"/>
      <c r="D25" s="92"/>
      <c r="E25" s="92"/>
      <c r="F25" s="92"/>
      <c r="G25" s="92"/>
      <c r="H25" s="92"/>
      <c r="I25" s="92"/>
      <c r="J25" s="92"/>
      <c r="K25" s="92"/>
      <c r="L25" s="92"/>
      <c r="M25" s="92"/>
      <c r="N25" s="92"/>
      <c r="O25" s="92"/>
      <c r="P25" s="92"/>
      <c r="Q25" s="92"/>
      <c r="R25" s="92"/>
      <c r="S25" s="92"/>
      <c r="T25" s="92"/>
      <c r="U25" s="92"/>
      <c r="V25" s="745"/>
      <c r="W25" s="745">
        <v>49.43</v>
      </c>
      <c r="X25" s="745">
        <v>49.74</v>
      </c>
      <c r="Y25" s="745">
        <v>49.96</v>
      </c>
      <c r="Z25" s="745">
        <v>50.32</v>
      </c>
      <c r="AA25" s="745">
        <v>50.68</v>
      </c>
      <c r="AB25" s="745">
        <v>50.9</v>
      </c>
      <c r="AC25" s="745">
        <v>50.92</v>
      </c>
      <c r="AD25" s="745">
        <v>50.89</v>
      </c>
      <c r="AE25" s="745">
        <v>50.97</v>
      </c>
      <c r="AF25" s="745">
        <v>51.18</v>
      </c>
      <c r="AG25" s="745">
        <v>51.44</v>
      </c>
      <c r="AH25" s="745">
        <v>51.75</v>
      </c>
      <c r="AI25" s="745">
        <v>52.04</v>
      </c>
      <c r="AJ25" s="745">
        <v>52.39</v>
      </c>
      <c r="AK25" s="745">
        <v>52.69</v>
      </c>
      <c r="AL25" s="745">
        <v>53.07</v>
      </c>
      <c r="AM25" s="745">
        <v>53.42</v>
      </c>
      <c r="AN25" s="745">
        <v>53.65</v>
      </c>
      <c r="AO25" s="745">
        <v>53.79</v>
      </c>
      <c r="AP25" s="745">
        <v>54.01</v>
      </c>
      <c r="AQ25" s="745">
        <v>54.21</v>
      </c>
      <c r="AR25" s="745">
        <v>54.48</v>
      </c>
      <c r="AS25" s="745">
        <v>54.55</v>
      </c>
      <c r="AT25" s="745">
        <v>54.69</v>
      </c>
      <c r="AU25" s="745">
        <v>54.78</v>
      </c>
      <c r="AV25" s="745">
        <v>54.9</v>
      </c>
      <c r="AW25" s="745">
        <v>55.21</v>
      </c>
      <c r="AX25" s="745">
        <v>55.42</v>
      </c>
      <c r="AY25" s="745">
        <v>55.53</v>
      </c>
      <c r="AZ25" s="745">
        <v>55.59</v>
      </c>
      <c r="BA25" s="745">
        <v>55.67</v>
      </c>
      <c r="BB25" s="745">
        <v>55.8</v>
      </c>
      <c r="BC25" s="745">
        <v>55.95</v>
      </c>
      <c r="BD25" s="745">
        <v>56.13</v>
      </c>
      <c r="BE25" s="745">
        <v>56.33</v>
      </c>
      <c r="BF25" s="745">
        <v>56.56</v>
      </c>
      <c r="BG25" s="745">
        <v>56.73</v>
      </c>
      <c r="BH25" s="745">
        <v>57.02</v>
      </c>
      <c r="BI25" s="745">
        <v>57.21</v>
      </c>
      <c r="BJ25" s="745">
        <v>57.49</v>
      </c>
      <c r="BK25" s="745">
        <v>57.7</v>
      </c>
      <c r="BL25" s="745">
        <v>57.98</v>
      </c>
      <c r="BM25" s="745">
        <v>58.24</v>
      </c>
      <c r="BN25" s="745">
        <v>58.47</v>
      </c>
      <c r="BO25" s="745">
        <v>58.69</v>
      </c>
      <c r="BP25" s="745">
        <v>58.91</v>
      </c>
      <c r="BQ25" s="745">
        <v>59.13</v>
      </c>
      <c r="BR25" s="745">
        <v>59.34</v>
      </c>
      <c r="BS25" s="745">
        <v>59.54</v>
      </c>
      <c r="BT25" s="857">
        <v>59.75</v>
      </c>
      <c r="BU25" s="745">
        <v>59.91</v>
      </c>
      <c r="BV25" s="745">
        <v>60.12</v>
      </c>
      <c r="BW25" s="745">
        <v>60.3</v>
      </c>
      <c r="BX25" s="745">
        <v>60.5</v>
      </c>
      <c r="BY25" s="745">
        <v>60.65</v>
      </c>
      <c r="BZ25" s="745">
        <v>60.84</v>
      </c>
      <c r="CA25" s="745">
        <v>61.02</v>
      </c>
      <c r="CB25" s="745">
        <v>61.17</v>
      </c>
      <c r="CC25" s="745">
        <v>61.35</v>
      </c>
      <c r="CD25" s="745">
        <v>61.53</v>
      </c>
      <c r="CE25" s="745">
        <v>61.72</v>
      </c>
      <c r="CF25" s="745">
        <v>61.88</v>
      </c>
      <c r="CG25" s="745">
        <v>62.06</v>
      </c>
      <c r="CH25" s="745">
        <v>62.23</v>
      </c>
      <c r="CI25" s="745">
        <v>62.41</v>
      </c>
      <c r="CJ25" s="745">
        <v>62.58</v>
      </c>
      <c r="CK25" s="745">
        <v>62.75</v>
      </c>
      <c r="CL25" s="745">
        <v>62.92</v>
      </c>
      <c r="CM25" s="745">
        <v>63.1</v>
      </c>
      <c r="CN25" s="745">
        <v>63.26</v>
      </c>
      <c r="CO25" s="745">
        <v>63.42</v>
      </c>
      <c r="CP25" s="745">
        <v>63.59</v>
      </c>
      <c r="CQ25" s="745">
        <v>63.75</v>
      </c>
      <c r="CR25" s="745">
        <v>63.9</v>
      </c>
      <c r="CS25" s="745">
        <v>64.069999999999993</v>
      </c>
      <c r="CT25" s="745">
        <v>64.22</v>
      </c>
      <c r="CU25" s="745">
        <v>64.38</v>
      </c>
      <c r="CV25" s="745">
        <v>64.53</v>
      </c>
      <c r="CW25" s="745">
        <v>64.69</v>
      </c>
      <c r="CX25" s="745">
        <v>64.84</v>
      </c>
      <c r="CY25" s="745">
        <v>64.989999999999995</v>
      </c>
      <c r="CZ25" s="745">
        <v>65.14</v>
      </c>
      <c r="DA25" s="745">
        <v>65.290000000000006</v>
      </c>
      <c r="DB25" s="745">
        <v>65.44</v>
      </c>
      <c r="DC25" s="745">
        <v>65.58</v>
      </c>
      <c r="DD25" s="745">
        <v>65.73</v>
      </c>
      <c r="DE25" s="745">
        <v>65.87</v>
      </c>
      <c r="DF25" s="745">
        <v>66.02</v>
      </c>
      <c r="DG25" s="745">
        <v>66.16</v>
      </c>
      <c r="DH25" s="745">
        <v>66.3</v>
      </c>
      <c r="DI25" s="745">
        <v>66.44</v>
      </c>
      <c r="DJ25" s="745">
        <v>66.569999999999993</v>
      </c>
      <c r="DK25" s="745">
        <v>66.709999999999994</v>
      </c>
      <c r="DL25" s="745">
        <v>66.84</v>
      </c>
      <c r="DM25" s="745">
        <v>66.98</v>
      </c>
      <c r="DN25" s="745">
        <v>67.11</v>
      </c>
      <c r="DO25" s="745">
        <v>67.239999999999995</v>
      </c>
      <c r="DP25" s="745">
        <v>67.37</v>
      </c>
      <c r="DQ25" s="745">
        <v>67.5</v>
      </c>
      <c r="DR25" s="745">
        <v>67.63</v>
      </c>
    </row>
    <row r="26" spans="1:122">
      <c r="A26" s="912">
        <v>24</v>
      </c>
      <c r="B26" s="92"/>
      <c r="C26" s="92"/>
      <c r="D26" s="92"/>
      <c r="E26" s="92"/>
      <c r="F26" s="92"/>
      <c r="G26" s="92"/>
      <c r="H26" s="92"/>
      <c r="I26" s="92"/>
      <c r="J26" s="92"/>
      <c r="K26" s="92"/>
      <c r="L26" s="92"/>
      <c r="M26" s="92"/>
      <c r="N26" s="92"/>
      <c r="O26" s="92"/>
      <c r="P26" s="92"/>
      <c r="Q26" s="92"/>
      <c r="R26" s="92"/>
      <c r="S26" s="92"/>
      <c r="T26" s="92"/>
      <c r="U26" s="92"/>
      <c r="V26" s="745"/>
      <c r="W26" s="745">
        <v>48.62</v>
      </c>
      <c r="X26" s="745">
        <v>49.01</v>
      </c>
      <c r="Y26" s="745">
        <v>49.2</v>
      </c>
      <c r="Z26" s="745">
        <v>49.56</v>
      </c>
      <c r="AA26" s="745">
        <v>49.83</v>
      </c>
      <c r="AB26" s="745">
        <v>50</v>
      </c>
      <c r="AC26" s="745">
        <v>50.03</v>
      </c>
      <c r="AD26" s="745">
        <v>49.99</v>
      </c>
      <c r="AE26" s="745">
        <v>50.07</v>
      </c>
      <c r="AF26" s="745">
        <v>50.29</v>
      </c>
      <c r="AG26" s="745">
        <v>50.54</v>
      </c>
      <c r="AH26" s="745">
        <v>50.85</v>
      </c>
      <c r="AI26" s="745">
        <v>51.14</v>
      </c>
      <c r="AJ26" s="745">
        <v>51.48</v>
      </c>
      <c r="AK26" s="745">
        <v>51.78</v>
      </c>
      <c r="AL26" s="745">
        <v>52.16</v>
      </c>
      <c r="AM26" s="745">
        <v>52.51</v>
      </c>
      <c r="AN26" s="745">
        <v>52.74</v>
      </c>
      <c r="AO26" s="745">
        <v>52.88</v>
      </c>
      <c r="AP26" s="745">
        <v>53.1</v>
      </c>
      <c r="AQ26" s="745">
        <v>53.3</v>
      </c>
      <c r="AR26" s="745">
        <v>53.57</v>
      </c>
      <c r="AS26" s="745">
        <v>53.64</v>
      </c>
      <c r="AT26" s="745">
        <v>53.77</v>
      </c>
      <c r="AU26" s="745">
        <v>53.86</v>
      </c>
      <c r="AV26" s="745">
        <v>53.99</v>
      </c>
      <c r="AW26" s="745">
        <v>54.3</v>
      </c>
      <c r="AX26" s="745">
        <v>54.51</v>
      </c>
      <c r="AY26" s="745">
        <v>54.61</v>
      </c>
      <c r="AZ26" s="745">
        <v>54.67</v>
      </c>
      <c r="BA26" s="745">
        <v>54.74</v>
      </c>
      <c r="BB26" s="745">
        <v>54.88</v>
      </c>
      <c r="BC26" s="745">
        <v>55.03</v>
      </c>
      <c r="BD26" s="745">
        <v>55.21</v>
      </c>
      <c r="BE26" s="745">
        <v>55.41</v>
      </c>
      <c r="BF26" s="745">
        <v>55.64</v>
      </c>
      <c r="BG26" s="745">
        <v>55.81</v>
      </c>
      <c r="BH26" s="745">
        <v>56.1</v>
      </c>
      <c r="BI26" s="745">
        <v>56.29</v>
      </c>
      <c r="BJ26" s="745">
        <v>56.56</v>
      </c>
      <c r="BK26" s="745">
        <v>56.76</v>
      </c>
      <c r="BL26" s="745">
        <v>57.04</v>
      </c>
      <c r="BM26" s="745">
        <v>57.29</v>
      </c>
      <c r="BN26" s="745">
        <v>57.53</v>
      </c>
      <c r="BO26" s="745">
        <v>57.75</v>
      </c>
      <c r="BP26" s="745">
        <v>57.97</v>
      </c>
      <c r="BQ26" s="745">
        <v>58.2</v>
      </c>
      <c r="BR26" s="745">
        <v>58.41</v>
      </c>
      <c r="BS26" s="745">
        <v>58.6</v>
      </c>
      <c r="BT26" s="857">
        <v>58.81</v>
      </c>
      <c r="BU26" s="745">
        <v>58.96</v>
      </c>
      <c r="BV26" s="745">
        <v>59.18</v>
      </c>
      <c r="BW26" s="745">
        <v>59.37</v>
      </c>
      <c r="BX26" s="745">
        <v>59.56</v>
      </c>
      <c r="BY26" s="745">
        <v>59.71</v>
      </c>
      <c r="BZ26" s="745">
        <v>59.9</v>
      </c>
      <c r="CA26" s="745">
        <v>60.07</v>
      </c>
      <c r="CB26" s="745">
        <v>60.22</v>
      </c>
      <c r="CC26" s="745">
        <v>60.4</v>
      </c>
      <c r="CD26" s="745">
        <v>60.57</v>
      </c>
      <c r="CE26" s="745">
        <v>60.76</v>
      </c>
      <c r="CF26" s="745">
        <v>60.92</v>
      </c>
      <c r="CG26" s="745">
        <v>61.1</v>
      </c>
      <c r="CH26" s="745">
        <v>61.26</v>
      </c>
      <c r="CI26" s="745">
        <v>61.45</v>
      </c>
      <c r="CJ26" s="745">
        <v>61.61</v>
      </c>
      <c r="CK26" s="745">
        <v>61.78</v>
      </c>
      <c r="CL26" s="745">
        <v>61.96</v>
      </c>
      <c r="CM26" s="745">
        <v>62.13</v>
      </c>
      <c r="CN26" s="745">
        <v>62.29</v>
      </c>
      <c r="CO26" s="745">
        <v>62.45</v>
      </c>
      <c r="CP26" s="745">
        <v>62.61</v>
      </c>
      <c r="CQ26" s="745">
        <v>62.78</v>
      </c>
      <c r="CR26" s="745">
        <v>62.93</v>
      </c>
      <c r="CS26" s="745">
        <v>63.09</v>
      </c>
      <c r="CT26" s="745">
        <v>63.25</v>
      </c>
      <c r="CU26" s="745">
        <v>63.41</v>
      </c>
      <c r="CV26" s="745">
        <v>63.56</v>
      </c>
      <c r="CW26" s="745">
        <v>63.71</v>
      </c>
      <c r="CX26" s="745">
        <v>63.87</v>
      </c>
      <c r="CY26" s="745">
        <v>64.02</v>
      </c>
      <c r="CZ26" s="745">
        <v>64.17</v>
      </c>
      <c r="DA26" s="745">
        <v>64.31</v>
      </c>
      <c r="DB26" s="745">
        <v>64.459999999999994</v>
      </c>
      <c r="DC26" s="745">
        <v>64.61</v>
      </c>
      <c r="DD26" s="745">
        <v>64.75</v>
      </c>
      <c r="DE26" s="745">
        <v>64.89</v>
      </c>
      <c r="DF26" s="745">
        <v>65.03</v>
      </c>
      <c r="DG26" s="745">
        <v>65.180000000000007</v>
      </c>
      <c r="DH26" s="745">
        <v>65.31</v>
      </c>
      <c r="DI26" s="745">
        <v>65.45</v>
      </c>
      <c r="DJ26" s="745">
        <v>65.59</v>
      </c>
      <c r="DK26" s="745">
        <v>65.73</v>
      </c>
      <c r="DL26" s="745">
        <v>65.86</v>
      </c>
      <c r="DM26" s="745">
        <v>65.989999999999995</v>
      </c>
      <c r="DN26" s="745">
        <v>66.13</v>
      </c>
      <c r="DO26" s="745">
        <v>66.260000000000005</v>
      </c>
      <c r="DP26" s="745">
        <v>66.39</v>
      </c>
      <c r="DQ26" s="745">
        <v>66.52</v>
      </c>
      <c r="DR26" s="745">
        <v>66.64</v>
      </c>
    </row>
    <row r="27" spans="1:122">
      <c r="A27" s="912">
        <v>25</v>
      </c>
      <c r="B27" s="92"/>
      <c r="C27" s="92"/>
      <c r="D27" s="92"/>
      <c r="E27" s="92"/>
      <c r="F27" s="92"/>
      <c r="G27" s="92"/>
      <c r="H27" s="92"/>
      <c r="I27" s="92"/>
      <c r="J27" s="92"/>
      <c r="K27" s="92"/>
      <c r="L27" s="92"/>
      <c r="M27" s="92"/>
      <c r="N27" s="92"/>
      <c r="O27" s="92"/>
      <c r="P27" s="92"/>
      <c r="Q27" s="92"/>
      <c r="R27" s="92"/>
      <c r="S27" s="92"/>
      <c r="T27" s="92"/>
      <c r="U27" s="92"/>
      <c r="V27" s="745"/>
      <c r="W27" s="745">
        <v>47.87</v>
      </c>
      <c r="X27" s="745">
        <v>48.24</v>
      </c>
      <c r="Y27" s="745">
        <v>48.43</v>
      </c>
      <c r="Z27" s="745">
        <v>48.71</v>
      </c>
      <c r="AA27" s="745">
        <v>48.94</v>
      </c>
      <c r="AB27" s="745">
        <v>49.11</v>
      </c>
      <c r="AC27" s="745">
        <v>49.14</v>
      </c>
      <c r="AD27" s="745">
        <v>49.08</v>
      </c>
      <c r="AE27" s="745">
        <v>49.17</v>
      </c>
      <c r="AF27" s="745">
        <v>49.38</v>
      </c>
      <c r="AG27" s="745">
        <v>49.63</v>
      </c>
      <c r="AH27" s="745">
        <v>49.95</v>
      </c>
      <c r="AI27" s="745">
        <v>50.23</v>
      </c>
      <c r="AJ27" s="745">
        <v>50.57</v>
      </c>
      <c r="AK27" s="745">
        <v>50.87</v>
      </c>
      <c r="AL27" s="745">
        <v>51.24</v>
      </c>
      <c r="AM27" s="745">
        <v>51.59</v>
      </c>
      <c r="AN27" s="745">
        <v>51.82</v>
      </c>
      <c r="AO27" s="745">
        <v>51.97</v>
      </c>
      <c r="AP27" s="745">
        <v>52.19</v>
      </c>
      <c r="AQ27" s="745">
        <v>52.38</v>
      </c>
      <c r="AR27" s="745">
        <v>52.66</v>
      </c>
      <c r="AS27" s="745">
        <v>52.71</v>
      </c>
      <c r="AT27" s="745">
        <v>52.85</v>
      </c>
      <c r="AU27" s="745">
        <v>52.95</v>
      </c>
      <c r="AV27" s="745">
        <v>53.08</v>
      </c>
      <c r="AW27" s="745">
        <v>53.39</v>
      </c>
      <c r="AX27" s="745">
        <v>53.59</v>
      </c>
      <c r="AY27" s="745">
        <v>53.69</v>
      </c>
      <c r="AZ27" s="745">
        <v>53.74</v>
      </c>
      <c r="BA27" s="745">
        <v>53.82</v>
      </c>
      <c r="BB27" s="745">
        <v>53.96</v>
      </c>
      <c r="BC27" s="745">
        <v>54.11</v>
      </c>
      <c r="BD27" s="745">
        <v>54.28</v>
      </c>
      <c r="BE27" s="745">
        <v>54.49</v>
      </c>
      <c r="BF27" s="745">
        <v>54.71</v>
      </c>
      <c r="BG27" s="745">
        <v>54.88</v>
      </c>
      <c r="BH27" s="745">
        <v>55.17</v>
      </c>
      <c r="BI27" s="745">
        <v>55.35</v>
      </c>
      <c r="BJ27" s="745">
        <v>55.62</v>
      </c>
      <c r="BK27" s="745">
        <v>55.82</v>
      </c>
      <c r="BL27" s="745">
        <v>56.1</v>
      </c>
      <c r="BM27" s="745">
        <v>56.35</v>
      </c>
      <c r="BN27" s="745">
        <v>56.59</v>
      </c>
      <c r="BO27" s="745">
        <v>56.81</v>
      </c>
      <c r="BP27" s="745">
        <v>57.03</v>
      </c>
      <c r="BQ27" s="745">
        <v>57.25</v>
      </c>
      <c r="BR27" s="745">
        <v>57.47</v>
      </c>
      <c r="BS27" s="745">
        <v>57.66</v>
      </c>
      <c r="BT27" s="857">
        <v>57.87</v>
      </c>
      <c r="BU27" s="745">
        <v>58.02</v>
      </c>
      <c r="BV27" s="745">
        <v>58.23</v>
      </c>
      <c r="BW27" s="745">
        <v>58.42</v>
      </c>
      <c r="BX27" s="745">
        <v>58.61</v>
      </c>
      <c r="BY27" s="745">
        <v>58.76</v>
      </c>
      <c r="BZ27" s="745">
        <v>58.94</v>
      </c>
      <c r="CA27" s="745">
        <v>59.11</v>
      </c>
      <c r="CB27" s="745">
        <v>59.26</v>
      </c>
      <c r="CC27" s="745">
        <v>59.45</v>
      </c>
      <c r="CD27" s="745">
        <v>59.61</v>
      </c>
      <c r="CE27" s="745">
        <v>59.79</v>
      </c>
      <c r="CF27" s="745">
        <v>59.95</v>
      </c>
      <c r="CG27" s="745">
        <v>60.13</v>
      </c>
      <c r="CH27" s="745">
        <v>60.3</v>
      </c>
      <c r="CI27" s="745">
        <v>60.48</v>
      </c>
      <c r="CJ27" s="745">
        <v>60.65</v>
      </c>
      <c r="CK27" s="745">
        <v>60.82</v>
      </c>
      <c r="CL27" s="745">
        <v>60.99</v>
      </c>
      <c r="CM27" s="745">
        <v>61.16</v>
      </c>
      <c r="CN27" s="745">
        <v>61.32</v>
      </c>
      <c r="CO27" s="745">
        <v>61.48</v>
      </c>
      <c r="CP27" s="745">
        <v>61.64</v>
      </c>
      <c r="CQ27" s="745">
        <v>61.8</v>
      </c>
      <c r="CR27" s="745">
        <v>61.96</v>
      </c>
      <c r="CS27" s="745">
        <v>62.12</v>
      </c>
      <c r="CT27" s="745">
        <v>62.28</v>
      </c>
      <c r="CU27" s="745">
        <v>62.43</v>
      </c>
      <c r="CV27" s="745">
        <v>62.58</v>
      </c>
      <c r="CW27" s="745">
        <v>62.74</v>
      </c>
      <c r="CX27" s="745">
        <v>62.89</v>
      </c>
      <c r="CY27" s="745">
        <v>63.04</v>
      </c>
      <c r="CZ27" s="745">
        <v>63.19</v>
      </c>
      <c r="DA27" s="745">
        <v>63.33</v>
      </c>
      <c r="DB27" s="745">
        <v>63.48</v>
      </c>
      <c r="DC27" s="745">
        <v>63.63</v>
      </c>
      <c r="DD27" s="745">
        <v>63.77</v>
      </c>
      <c r="DE27" s="745">
        <v>63.91</v>
      </c>
      <c r="DF27" s="745">
        <v>64.05</v>
      </c>
      <c r="DG27" s="745">
        <v>64.19</v>
      </c>
      <c r="DH27" s="745">
        <v>64.33</v>
      </c>
      <c r="DI27" s="745">
        <v>64.47</v>
      </c>
      <c r="DJ27" s="745">
        <v>64.61</v>
      </c>
      <c r="DK27" s="745">
        <v>64.739999999999995</v>
      </c>
      <c r="DL27" s="745">
        <v>64.88</v>
      </c>
      <c r="DM27" s="745">
        <v>65.010000000000005</v>
      </c>
      <c r="DN27" s="745">
        <v>65.14</v>
      </c>
      <c r="DO27" s="745">
        <v>65.27</v>
      </c>
      <c r="DP27" s="745">
        <v>65.400000000000006</v>
      </c>
      <c r="DQ27" s="745">
        <v>65.53</v>
      </c>
      <c r="DR27" s="745">
        <v>65.66</v>
      </c>
    </row>
    <row r="28" spans="1:122">
      <c r="A28" s="912">
        <v>26</v>
      </c>
      <c r="B28" s="92"/>
      <c r="C28" s="92"/>
      <c r="D28" s="92"/>
      <c r="E28" s="92"/>
      <c r="F28" s="92"/>
      <c r="G28" s="92"/>
      <c r="H28" s="92"/>
      <c r="I28" s="92"/>
      <c r="J28" s="92"/>
      <c r="K28" s="92"/>
      <c r="L28" s="92"/>
      <c r="M28" s="92"/>
      <c r="N28" s="92"/>
      <c r="O28" s="92"/>
      <c r="P28" s="92"/>
      <c r="Q28" s="92"/>
      <c r="R28" s="92"/>
      <c r="S28" s="92"/>
      <c r="T28" s="92"/>
      <c r="U28" s="92"/>
      <c r="V28" s="745"/>
      <c r="W28" s="745">
        <v>47.09</v>
      </c>
      <c r="X28" s="745">
        <v>47.45</v>
      </c>
      <c r="Y28" s="745">
        <v>47.57</v>
      </c>
      <c r="Z28" s="745">
        <v>47.82</v>
      </c>
      <c r="AA28" s="745">
        <v>48.05</v>
      </c>
      <c r="AB28" s="745">
        <v>48.22</v>
      </c>
      <c r="AC28" s="745">
        <v>48.23</v>
      </c>
      <c r="AD28" s="745">
        <v>48.17</v>
      </c>
      <c r="AE28" s="745">
        <v>48.25</v>
      </c>
      <c r="AF28" s="745">
        <v>48.47</v>
      </c>
      <c r="AG28" s="745">
        <v>48.72</v>
      </c>
      <c r="AH28" s="745">
        <v>49.03</v>
      </c>
      <c r="AI28" s="745">
        <v>49.32</v>
      </c>
      <c r="AJ28" s="745">
        <v>49.65</v>
      </c>
      <c r="AK28" s="745">
        <v>49.95</v>
      </c>
      <c r="AL28" s="745">
        <v>50.33</v>
      </c>
      <c r="AM28" s="745">
        <v>50.67</v>
      </c>
      <c r="AN28" s="745">
        <v>50.9</v>
      </c>
      <c r="AO28" s="745">
        <v>51.05</v>
      </c>
      <c r="AP28" s="745">
        <v>51.27</v>
      </c>
      <c r="AQ28" s="745">
        <v>51.46</v>
      </c>
      <c r="AR28" s="745">
        <v>51.74</v>
      </c>
      <c r="AS28" s="745">
        <v>51.79</v>
      </c>
      <c r="AT28" s="745">
        <v>51.92</v>
      </c>
      <c r="AU28" s="745">
        <v>52.03</v>
      </c>
      <c r="AV28" s="745">
        <v>52.16</v>
      </c>
      <c r="AW28" s="745">
        <v>52.48</v>
      </c>
      <c r="AX28" s="745">
        <v>52.66</v>
      </c>
      <c r="AY28" s="745">
        <v>52.76</v>
      </c>
      <c r="AZ28" s="745">
        <v>52.8</v>
      </c>
      <c r="BA28" s="745">
        <v>52.9</v>
      </c>
      <c r="BB28" s="745">
        <v>53.03</v>
      </c>
      <c r="BC28" s="745">
        <v>53.19</v>
      </c>
      <c r="BD28" s="745">
        <v>53.36</v>
      </c>
      <c r="BE28" s="745">
        <v>53.56</v>
      </c>
      <c r="BF28" s="745">
        <v>53.78</v>
      </c>
      <c r="BG28" s="745">
        <v>53.95</v>
      </c>
      <c r="BH28" s="745">
        <v>54.23</v>
      </c>
      <c r="BI28" s="745">
        <v>54.41</v>
      </c>
      <c r="BJ28" s="745">
        <v>54.68</v>
      </c>
      <c r="BK28" s="745">
        <v>54.88</v>
      </c>
      <c r="BL28" s="745">
        <v>55.16</v>
      </c>
      <c r="BM28" s="745">
        <v>55.41</v>
      </c>
      <c r="BN28" s="745">
        <v>55.65</v>
      </c>
      <c r="BO28" s="745">
        <v>55.87</v>
      </c>
      <c r="BP28" s="745">
        <v>56.1</v>
      </c>
      <c r="BQ28" s="745">
        <v>56.32</v>
      </c>
      <c r="BR28" s="745">
        <v>56.53</v>
      </c>
      <c r="BS28" s="745">
        <v>56.72</v>
      </c>
      <c r="BT28" s="857">
        <v>56.92</v>
      </c>
      <c r="BU28" s="745">
        <v>57.07</v>
      </c>
      <c r="BV28" s="745">
        <v>57.28</v>
      </c>
      <c r="BW28" s="745">
        <v>57.47</v>
      </c>
      <c r="BX28" s="745">
        <v>57.66</v>
      </c>
      <c r="BY28" s="745">
        <v>57.81</v>
      </c>
      <c r="BZ28" s="745">
        <v>57.99</v>
      </c>
      <c r="CA28" s="745">
        <v>58.16</v>
      </c>
      <c r="CB28" s="745">
        <v>58.31</v>
      </c>
      <c r="CC28" s="745">
        <v>58.48</v>
      </c>
      <c r="CD28" s="745">
        <v>58.65</v>
      </c>
      <c r="CE28" s="745">
        <v>58.83</v>
      </c>
      <c r="CF28" s="745">
        <v>58.99</v>
      </c>
      <c r="CG28" s="745">
        <v>59.16</v>
      </c>
      <c r="CH28" s="745">
        <v>59.33</v>
      </c>
      <c r="CI28" s="745">
        <v>59.51</v>
      </c>
      <c r="CJ28" s="745">
        <v>59.68</v>
      </c>
      <c r="CK28" s="745">
        <v>59.85</v>
      </c>
      <c r="CL28" s="745">
        <v>60.02</v>
      </c>
      <c r="CM28" s="745">
        <v>60.19</v>
      </c>
      <c r="CN28" s="745">
        <v>60.35</v>
      </c>
      <c r="CO28" s="745">
        <v>60.51</v>
      </c>
      <c r="CP28" s="745">
        <v>60.67</v>
      </c>
      <c r="CQ28" s="745">
        <v>60.83</v>
      </c>
      <c r="CR28" s="745">
        <v>60.99</v>
      </c>
      <c r="CS28" s="745">
        <v>61.14</v>
      </c>
      <c r="CT28" s="745">
        <v>61.3</v>
      </c>
      <c r="CU28" s="745">
        <v>61.45</v>
      </c>
      <c r="CV28" s="745">
        <v>61.61</v>
      </c>
      <c r="CW28" s="745">
        <v>61.76</v>
      </c>
      <c r="CX28" s="745">
        <v>61.91</v>
      </c>
      <c r="CY28" s="745">
        <v>62.06</v>
      </c>
      <c r="CZ28" s="745">
        <v>62.21</v>
      </c>
      <c r="DA28" s="745">
        <v>62.35</v>
      </c>
      <c r="DB28" s="745">
        <v>62.5</v>
      </c>
      <c r="DC28" s="745">
        <v>62.64</v>
      </c>
      <c r="DD28" s="745">
        <v>62.79</v>
      </c>
      <c r="DE28" s="745">
        <v>62.93</v>
      </c>
      <c r="DF28" s="745">
        <v>63.07</v>
      </c>
      <c r="DG28" s="745">
        <v>63.21</v>
      </c>
      <c r="DH28" s="745">
        <v>63.35</v>
      </c>
      <c r="DI28" s="745">
        <v>63.49</v>
      </c>
      <c r="DJ28" s="745">
        <v>63.62</v>
      </c>
      <c r="DK28" s="745">
        <v>63.76</v>
      </c>
      <c r="DL28" s="745">
        <v>63.89</v>
      </c>
      <c r="DM28" s="745">
        <v>64.02</v>
      </c>
      <c r="DN28" s="745">
        <v>64.16</v>
      </c>
      <c r="DO28" s="745">
        <v>64.290000000000006</v>
      </c>
      <c r="DP28" s="745">
        <v>64.42</v>
      </c>
      <c r="DQ28" s="745">
        <v>64.540000000000006</v>
      </c>
      <c r="DR28" s="745">
        <v>64.67</v>
      </c>
    </row>
    <row r="29" spans="1:122">
      <c r="A29" s="912">
        <v>27</v>
      </c>
      <c r="B29" s="92"/>
      <c r="C29" s="92"/>
      <c r="D29" s="92"/>
      <c r="E29" s="92"/>
      <c r="F29" s="92"/>
      <c r="G29" s="92"/>
      <c r="H29" s="92"/>
      <c r="I29" s="92"/>
      <c r="J29" s="92"/>
      <c r="K29" s="92"/>
      <c r="L29" s="92"/>
      <c r="M29" s="92"/>
      <c r="N29" s="92"/>
      <c r="O29" s="92"/>
      <c r="P29" s="92"/>
      <c r="Q29" s="92"/>
      <c r="R29" s="92"/>
      <c r="S29" s="92"/>
      <c r="T29" s="92"/>
      <c r="U29" s="92"/>
      <c r="V29" s="745"/>
      <c r="W29" s="745">
        <v>46.29</v>
      </c>
      <c r="X29" s="745">
        <v>46.59</v>
      </c>
      <c r="Y29" s="745">
        <v>46.68</v>
      </c>
      <c r="Z29" s="745">
        <v>46.92</v>
      </c>
      <c r="AA29" s="745">
        <v>47.16</v>
      </c>
      <c r="AB29" s="745">
        <v>47.31</v>
      </c>
      <c r="AC29" s="745">
        <v>47.32</v>
      </c>
      <c r="AD29" s="745">
        <v>47.26</v>
      </c>
      <c r="AE29" s="745">
        <v>47.34</v>
      </c>
      <c r="AF29" s="745">
        <v>47.56</v>
      </c>
      <c r="AG29" s="745">
        <v>47.81</v>
      </c>
      <c r="AH29" s="745">
        <v>48.11</v>
      </c>
      <c r="AI29" s="745">
        <v>48.4</v>
      </c>
      <c r="AJ29" s="745">
        <v>48.73</v>
      </c>
      <c r="AK29" s="745">
        <v>49.03</v>
      </c>
      <c r="AL29" s="745">
        <v>49.4</v>
      </c>
      <c r="AM29" s="745">
        <v>49.75</v>
      </c>
      <c r="AN29" s="745">
        <v>49.98</v>
      </c>
      <c r="AO29" s="745">
        <v>50.13</v>
      </c>
      <c r="AP29" s="745">
        <v>50.35</v>
      </c>
      <c r="AQ29" s="745">
        <v>50.53</v>
      </c>
      <c r="AR29" s="745">
        <v>50.81</v>
      </c>
      <c r="AS29" s="745">
        <v>50.87</v>
      </c>
      <c r="AT29" s="745">
        <v>51</v>
      </c>
      <c r="AU29" s="745">
        <v>51.12</v>
      </c>
      <c r="AV29" s="745">
        <v>51.24</v>
      </c>
      <c r="AW29" s="745">
        <v>51.54</v>
      </c>
      <c r="AX29" s="745">
        <v>51.73</v>
      </c>
      <c r="AY29" s="745">
        <v>51.82</v>
      </c>
      <c r="AZ29" s="745">
        <v>51.88</v>
      </c>
      <c r="BA29" s="745">
        <v>51.97</v>
      </c>
      <c r="BB29" s="745">
        <v>52.1</v>
      </c>
      <c r="BC29" s="745">
        <v>52.25</v>
      </c>
      <c r="BD29" s="745">
        <v>52.43</v>
      </c>
      <c r="BE29" s="745">
        <v>52.62</v>
      </c>
      <c r="BF29" s="745">
        <v>52.85</v>
      </c>
      <c r="BG29" s="745">
        <v>53</v>
      </c>
      <c r="BH29" s="745">
        <v>53.29</v>
      </c>
      <c r="BI29" s="745">
        <v>53.47</v>
      </c>
      <c r="BJ29" s="745">
        <v>53.74</v>
      </c>
      <c r="BK29" s="745">
        <v>53.94</v>
      </c>
      <c r="BL29" s="745">
        <v>54.21</v>
      </c>
      <c r="BM29" s="745">
        <v>54.46</v>
      </c>
      <c r="BN29" s="745">
        <v>54.71</v>
      </c>
      <c r="BO29" s="745">
        <v>54.93</v>
      </c>
      <c r="BP29" s="745">
        <v>55.15</v>
      </c>
      <c r="BQ29" s="745">
        <v>55.37</v>
      </c>
      <c r="BR29" s="745">
        <v>55.58</v>
      </c>
      <c r="BS29" s="745">
        <v>55.77</v>
      </c>
      <c r="BT29" s="857">
        <v>55.97</v>
      </c>
      <c r="BU29" s="745">
        <v>56.12</v>
      </c>
      <c r="BV29" s="745">
        <v>56.33</v>
      </c>
      <c r="BW29" s="745">
        <v>56.51</v>
      </c>
      <c r="BX29" s="745">
        <v>56.7</v>
      </c>
      <c r="BY29" s="745">
        <v>56.85</v>
      </c>
      <c r="BZ29" s="745">
        <v>57.03</v>
      </c>
      <c r="CA29" s="745">
        <v>57.2</v>
      </c>
      <c r="CB29" s="745">
        <v>57.35</v>
      </c>
      <c r="CC29" s="745">
        <v>57.52</v>
      </c>
      <c r="CD29" s="745">
        <v>57.69</v>
      </c>
      <c r="CE29" s="745">
        <v>57.87</v>
      </c>
      <c r="CF29" s="745">
        <v>58.02</v>
      </c>
      <c r="CG29" s="745">
        <v>58.2</v>
      </c>
      <c r="CH29" s="745">
        <v>58.36</v>
      </c>
      <c r="CI29" s="745">
        <v>58.55</v>
      </c>
      <c r="CJ29" s="745">
        <v>58.71</v>
      </c>
      <c r="CK29" s="745">
        <v>58.88</v>
      </c>
      <c r="CL29" s="745">
        <v>59.05</v>
      </c>
      <c r="CM29" s="745">
        <v>59.21</v>
      </c>
      <c r="CN29" s="745">
        <v>59.37</v>
      </c>
      <c r="CO29" s="745">
        <v>59.54</v>
      </c>
      <c r="CP29" s="745">
        <v>59.7</v>
      </c>
      <c r="CQ29" s="745">
        <v>59.85</v>
      </c>
      <c r="CR29" s="745">
        <v>60.01</v>
      </c>
      <c r="CS29" s="745">
        <v>60.17</v>
      </c>
      <c r="CT29" s="745">
        <v>60.32</v>
      </c>
      <c r="CU29" s="745">
        <v>60.48</v>
      </c>
      <c r="CV29" s="745">
        <v>60.63</v>
      </c>
      <c r="CW29" s="745">
        <v>60.78</v>
      </c>
      <c r="CX29" s="745">
        <v>60.93</v>
      </c>
      <c r="CY29" s="745">
        <v>61.08</v>
      </c>
      <c r="CZ29" s="745">
        <v>61.23</v>
      </c>
      <c r="DA29" s="745">
        <v>61.37</v>
      </c>
      <c r="DB29" s="745">
        <v>61.52</v>
      </c>
      <c r="DC29" s="745">
        <v>61.66</v>
      </c>
      <c r="DD29" s="745">
        <v>61.81</v>
      </c>
      <c r="DE29" s="745">
        <v>61.95</v>
      </c>
      <c r="DF29" s="745">
        <v>62.09</v>
      </c>
      <c r="DG29" s="745">
        <v>62.23</v>
      </c>
      <c r="DH29" s="745">
        <v>62.37</v>
      </c>
      <c r="DI29" s="745">
        <v>62.5</v>
      </c>
      <c r="DJ29" s="745">
        <v>62.64</v>
      </c>
      <c r="DK29" s="745">
        <v>62.77</v>
      </c>
      <c r="DL29" s="745">
        <v>62.91</v>
      </c>
      <c r="DM29" s="745">
        <v>63.04</v>
      </c>
      <c r="DN29" s="745">
        <v>63.17</v>
      </c>
      <c r="DO29" s="745">
        <v>63.3</v>
      </c>
      <c r="DP29" s="745">
        <v>63.43</v>
      </c>
      <c r="DQ29" s="745">
        <v>63.56</v>
      </c>
      <c r="DR29" s="745">
        <v>63.68</v>
      </c>
    </row>
    <row r="30" spans="1:122">
      <c r="A30" s="912">
        <v>28</v>
      </c>
      <c r="B30" s="92"/>
      <c r="C30" s="92"/>
      <c r="D30" s="92"/>
      <c r="E30" s="92"/>
      <c r="F30" s="92"/>
      <c r="G30" s="92"/>
      <c r="H30" s="92"/>
      <c r="I30" s="92"/>
      <c r="J30" s="92"/>
      <c r="K30" s="92"/>
      <c r="L30" s="92"/>
      <c r="M30" s="92"/>
      <c r="N30" s="92"/>
      <c r="O30" s="92"/>
      <c r="P30" s="92"/>
      <c r="Q30" s="92"/>
      <c r="R30" s="92"/>
      <c r="S30" s="92"/>
      <c r="T30" s="92"/>
      <c r="U30" s="92"/>
      <c r="V30" s="745"/>
      <c r="W30" s="745">
        <v>45.44</v>
      </c>
      <c r="X30" s="745">
        <v>45.69</v>
      </c>
      <c r="Y30" s="745">
        <v>45.78</v>
      </c>
      <c r="Z30" s="745">
        <v>46.03</v>
      </c>
      <c r="AA30" s="745">
        <v>46.24</v>
      </c>
      <c r="AB30" s="745">
        <v>46.39</v>
      </c>
      <c r="AC30" s="745">
        <v>46.4</v>
      </c>
      <c r="AD30" s="745">
        <v>46.34</v>
      </c>
      <c r="AE30" s="745">
        <v>46.43</v>
      </c>
      <c r="AF30" s="745">
        <v>46.64</v>
      </c>
      <c r="AG30" s="745">
        <v>46.89</v>
      </c>
      <c r="AH30" s="745">
        <v>47.2</v>
      </c>
      <c r="AI30" s="745">
        <v>47.48</v>
      </c>
      <c r="AJ30" s="745">
        <v>47.81</v>
      </c>
      <c r="AK30" s="745">
        <v>48.11</v>
      </c>
      <c r="AL30" s="745">
        <v>48.48</v>
      </c>
      <c r="AM30" s="745">
        <v>48.83</v>
      </c>
      <c r="AN30" s="745">
        <v>49.05</v>
      </c>
      <c r="AO30" s="745">
        <v>49.21</v>
      </c>
      <c r="AP30" s="745">
        <v>49.42</v>
      </c>
      <c r="AQ30" s="745">
        <v>49.61</v>
      </c>
      <c r="AR30" s="745">
        <v>49.89</v>
      </c>
      <c r="AS30" s="745">
        <v>49.95</v>
      </c>
      <c r="AT30" s="745">
        <v>50.08</v>
      </c>
      <c r="AU30" s="745">
        <v>50.19</v>
      </c>
      <c r="AV30" s="745">
        <v>50.31</v>
      </c>
      <c r="AW30" s="745">
        <v>50.61</v>
      </c>
      <c r="AX30" s="745">
        <v>50.79</v>
      </c>
      <c r="AY30" s="745">
        <v>50.89</v>
      </c>
      <c r="AZ30" s="745">
        <v>50.95</v>
      </c>
      <c r="BA30" s="745">
        <v>51.04</v>
      </c>
      <c r="BB30" s="745">
        <v>51.17</v>
      </c>
      <c r="BC30" s="745">
        <v>51.31</v>
      </c>
      <c r="BD30" s="745">
        <v>51.49</v>
      </c>
      <c r="BE30" s="745">
        <v>51.69</v>
      </c>
      <c r="BF30" s="745">
        <v>51.91</v>
      </c>
      <c r="BG30" s="745">
        <v>52.06</v>
      </c>
      <c r="BH30" s="745">
        <v>52.34</v>
      </c>
      <c r="BI30" s="745">
        <v>52.53</v>
      </c>
      <c r="BJ30" s="745">
        <v>52.79</v>
      </c>
      <c r="BK30" s="745">
        <v>52.99</v>
      </c>
      <c r="BL30" s="745">
        <v>53.27</v>
      </c>
      <c r="BM30" s="745">
        <v>53.53</v>
      </c>
      <c r="BN30" s="745">
        <v>53.77</v>
      </c>
      <c r="BO30" s="745">
        <v>53.99</v>
      </c>
      <c r="BP30" s="745">
        <v>54.21</v>
      </c>
      <c r="BQ30" s="745">
        <v>54.42</v>
      </c>
      <c r="BR30" s="745">
        <v>54.63</v>
      </c>
      <c r="BS30" s="745">
        <v>54.82</v>
      </c>
      <c r="BT30" s="857">
        <v>55.02</v>
      </c>
      <c r="BU30" s="745">
        <v>55.16</v>
      </c>
      <c r="BV30" s="745">
        <v>55.38</v>
      </c>
      <c r="BW30" s="745">
        <v>55.56</v>
      </c>
      <c r="BX30" s="745">
        <v>55.74</v>
      </c>
      <c r="BY30" s="745">
        <v>55.89</v>
      </c>
      <c r="BZ30" s="745">
        <v>56.07</v>
      </c>
      <c r="CA30" s="745">
        <v>56.24</v>
      </c>
      <c r="CB30" s="745">
        <v>56.38</v>
      </c>
      <c r="CC30" s="745">
        <v>56.55</v>
      </c>
      <c r="CD30" s="745">
        <v>56.72</v>
      </c>
      <c r="CE30" s="745">
        <v>56.9</v>
      </c>
      <c r="CF30" s="745">
        <v>57.06</v>
      </c>
      <c r="CG30" s="745">
        <v>57.24</v>
      </c>
      <c r="CH30" s="745">
        <v>57.4</v>
      </c>
      <c r="CI30" s="745">
        <v>57.57</v>
      </c>
      <c r="CJ30" s="745">
        <v>57.74</v>
      </c>
      <c r="CK30" s="745">
        <v>57.91</v>
      </c>
      <c r="CL30" s="745">
        <v>58.08</v>
      </c>
      <c r="CM30" s="745">
        <v>58.24</v>
      </c>
      <c r="CN30" s="745">
        <v>58.4</v>
      </c>
      <c r="CO30" s="745">
        <v>58.56</v>
      </c>
      <c r="CP30" s="745">
        <v>58.72</v>
      </c>
      <c r="CQ30" s="745">
        <v>58.88</v>
      </c>
      <c r="CR30" s="745">
        <v>59.04</v>
      </c>
      <c r="CS30" s="745">
        <v>59.19</v>
      </c>
      <c r="CT30" s="745">
        <v>59.35</v>
      </c>
      <c r="CU30" s="745">
        <v>59.5</v>
      </c>
      <c r="CV30" s="745">
        <v>59.65</v>
      </c>
      <c r="CW30" s="745">
        <v>59.8</v>
      </c>
      <c r="CX30" s="745">
        <v>59.95</v>
      </c>
      <c r="CY30" s="745">
        <v>60.1</v>
      </c>
      <c r="CZ30" s="745">
        <v>60.25</v>
      </c>
      <c r="DA30" s="745">
        <v>60.39</v>
      </c>
      <c r="DB30" s="745">
        <v>60.54</v>
      </c>
      <c r="DC30" s="745">
        <v>60.68</v>
      </c>
      <c r="DD30" s="745">
        <v>60.82</v>
      </c>
      <c r="DE30" s="745">
        <v>60.97</v>
      </c>
      <c r="DF30" s="745">
        <v>61.11</v>
      </c>
      <c r="DG30" s="745">
        <v>61.24</v>
      </c>
      <c r="DH30" s="745">
        <v>61.38</v>
      </c>
      <c r="DI30" s="745">
        <v>61.52</v>
      </c>
      <c r="DJ30" s="745">
        <v>61.65</v>
      </c>
      <c r="DK30" s="745">
        <v>61.79</v>
      </c>
      <c r="DL30" s="745">
        <v>61.92</v>
      </c>
      <c r="DM30" s="745">
        <v>62.05</v>
      </c>
      <c r="DN30" s="745">
        <v>62.18</v>
      </c>
      <c r="DO30" s="745">
        <v>62.31</v>
      </c>
      <c r="DP30" s="745">
        <v>62.44</v>
      </c>
      <c r="DQ30" s="745">
        <v>62.57</v>
      </c>
      <c r="DR30" s="745">
        <v>62.7</v>
      </c>
    </row>
    <row r="31" spans="1:122">
      <c r="A31" s="912">
        <v>29</v>
      </c>
      <c r="B31" s="92"/>
      <c r="C31" s="92"/>
      <c r="D31" s="92"/>
      <c r="E31" s="92"/>
      <c r="F31" s="92"/>
      <c r="G31" s="92"/>
      <c r="H31" s="92"/>
      <c r="I31" s="92"/>
      <c r="J31" s="92"/>
      <c r="K31" s="92"/>
      <c r="L31" s="92"/>
      <c r="M31" s="92"/>
      <c r="N31" s="92"/>
      <c r="O31" s="92"/>
      <c r="P31" s="92"/>
      <c r="Q31" s="92"/>
      <c r="R31" s="92"/>
      <c r="S31" s="92"/>
      <c r="T31" s="92"/>
      <c r="U31" s="92"/>
      <c r="V31" s="745"/>
      <c r="W31" s="745">
        <v>44.54</v>
      </c>
      <c r="X31" s="745">
        <v>44.79</v>
      </c>
      <c r="Y31" s="745">
        <v>44.88</v>
      </c>
      <c r="Z31" s="745">
        <v>45.11</v>
      </c>
      <c r="AA31" s="745">
        <v>45.32</v>
      </c>
      <c r="AB31" s="745">
        <v>45.47</v>
      </c>
      <c r="AC31" s="745">
        <v>45.48</v>
      </c>
      <c r="AD31" s="745">
        <v>45.42</v>
      </c>
      <c r="AE31" s="745">
        <v>45.51</v>
      </c>
      <c r="AF31" s="745">
        <v>45.72</v>
      </c>
      <c r="AG31" s="745">
        <v>45.97</v>
      </c>
      <c r="AH31" s="745">
        <v>46.28</v>
      </c>
      <c r="AI31" s="745">
        <v>46.56</v>
      </c>
      <c r="AJ31" s="745">
        <v>46.88</v>
      </c>
      <c r="AK31" s="745">
        <v>47.18</v>
      </c>
      <c r="AL31" s="745">
        <v>47.55</v>
      </c>
      <c r="AM31" s="745">
        <v>47.9</v>
      </c>
      <c r="AN31" s="745">
        <v>48.13</v>
      </c>
      <c r="AO31" s="745">
        <v>48.29</v>
      </c>
      <c r="AP31" s="745">
        <v>48.49</v>
      </c>
      <c r="AQ31" s="745">
        <v>48.68</v>
      </c>
      <c r="AR31" s="745">
        <v>48.97</v>
      </c>
      <c r="AS31" s="745">
        <v>49.02</v>
      </c>
      <c r="AT31" s="745">
        <v>49.15</v>
      </c>
      <c r="AU31" s="745">
        <v>49.27</v>
      </c>
      <c r="AV31" s="745">
        <v>49.38</v>
      </c>
      <c r="AW31" s="745">
        <v>49.68</v>
      </c>
      <c r="AX31" s="745">
        <v>49.86</v>
      </c>
      <c r="AY31" s="745">
        <v>49.96</v>
      </c>
      <c r="AZ31" s="745">
        <v>50.02</v>
      </c>
      <c r="BA31" s="745">
        <v>50.11</v>
      </c>
      <c r="BB31" s="745">
        <v>50.24</v>
      </c>
      <c r="BC31" s="745">
        <v>50.38</v>
      </c>
      <c r="BD31" s="745">
        <v>50.56</v>
      </c>
      <c r="BE31" s="745">
        <v>50.75</v>
      </c>
      <c r="BF31" s="745">
        <v>50.97</v>
      </c>
      <c r="BG31" s="745">
        <v>51.12</v>
      </c>
      <c r="BH31" s="745">
        <v>51.4</v>
      </c>
      <c r="BI31" s="745">
        <v>51.58</v>
      </c>
      <c r="BJ31" s="745">
        <v>51.85</v>
      </c>
      <c r="BK31" s="745">
        <v>52.05</v>
      </c>
      <c r="BL31" s="745">
        <v>52.33</v>
      </c>
      <c r="BM31" s="745">
        <v>52.59</v>
      </c>
      <c r="BN31" s="745">
        <v>52.83</v>
      </c>
      <c r="BO31" s="745">
        <v>53.04</v>
      </c>
      <c r="BP31" s="745">
        <v>53.27</v>
      </c>
      <c r="BQ31" s="745">
        <v>53.48</v>
      </c>
      <c r="BR31" s="745">
        <v>53.69</v>
      </c>
      <c r="BS31" s="745">
        <v>53.87</v>
      </c>
      <c r="BT31" s="857">
        <v>54.07</v>
      </c>
      <c r="BU31" s="745">
        <v>54.21</v>
      </c>
      <c r="BV31" s="745">
        <v>54.42</v>
      </c>
      <c r="BW31" s="745">
        <v>54.6</v>
      </c>
      <c r="BX31" s="745">
        <v>54.78</v>
      </c>
      <c r="BY31" s="745">
        <v>54.94</v>
      </c>
      <c r="BZ31" s="745">
        <v>55.11</v>
      </c>
      <c r="CA31" s="745">
        <v>55.27</v>
      </c>
      <c r="CB31" s="745">
        <v>55.42</v>
      </c>
      <c r="CC31" s="745">
        <v>55.59</v>
      </c>
      <c r="CD31" s="745">
        <v>55.76</v>
      </c>
      <c r="CE31" s="745">
        <v>55.94</v>
      </c>
      <c r="CF31" s="745">
        <v>56.1</v>
      </c>
      <c r="CG31" s="745">
        <v>56.27</v>
      </c>
      <c r="CH31" s="745">
        <v>56.43</v>
      </c>
      <c r="CI31" s="745">
        <v>56.61</v>
      </c>
      <c r="CJ31" s="745">
        <v>56.77</v>
      </c>
      <c r="CK31" s="745">
        <v>56.94</v>
      </c>
      <c r="CL31" s="745">
        <v>57.1</v>
      </c>
      <c r="CM31" s="745">
        <v>57.27</v>
      </c>
      <c r="CN31" s="745">
        <v>57.43</v>
      </c>
      <c r="CO31" s="745">
        <v>57.59</v>
      </c>
      <c r="CP31" s="745">
        <v>57.75</v>
      </c>
      <c r="CQ31" s="745">
        <v>57.9</v>
      </c>
      <c r="CR31" s="745">
        <v>58.06</v>
      </c>
      <c r="CS31" s="745">
        <v>58.22</v>
      </c>
      <c r="CT31" s="745">
        <v>58.37</v>
      </c>
      <c r="CU31" s="745">
        <v>58.52</v>
      </c>
      <c r="CV31" s="745">
        <v>58.67</v>
      </c>
      <c r="CW31" s="745">
        <v>58.82</v>
      </c>
      <c r="CX31" s="745">
        <v>58.97</v>
      </c>
      <c r="CY31" s="745">
        <v>59.12</v>
      </c>
      <c r="CZ31" s="745">
        <v>59.27</v>
      </c>
      <c r="DA31" s="745">
        <v>59.41</v>
      </c>
      <c r="DB31" s="745">
        <v>59.56</v>
      </c>
      <c r="DC31" s="745">
        <v>59.7</v>
      </c>
      <c r="DD31" s="745">
        <v>59.84</v>
      </c>
      <c r="DE31" s="745">
        <v>59.98</v>
      </c>
      <c r="DF31" s="745">
        <v>60.12</v>
      </c>
      <c r="DG31" s="745">
        <v>60.26</v>
      </c>
      <c r="DH31" s="745">
        <v>60.4</v>
      </c>
      <c r="DI31" s="745">
        <v>60.53</v>
      </c>
      <c r="DJ31" s="745">
        <v>60.67</v>
      </c>
      <c r="DK31" s="745">
        <v>60.8</v>
      </c>
      <c r="DL31" s="745">
        <v>60.94</v>
      </c>
      <c r="DM31" s="745">
        <v>61.07</v>
      </c>
      <c r="DN31" s="745">
        <v>61.2</v>
      </c>
      <c r="DO31" s="745">
        <v>61.33</v>
      </c>
      <c r="DP31" s="745">
        <v>61.46</v>
      </c>
      <c r="DQ31" s="745">
        <v>61.58</v>
      </c>
      <c r="DR31" s="745">
        <v>61.71</v>
      </c>
    </row>
    <row r="32" spans="1:122">
      <c r="A32" s="912">
        <v>30</v>
      </c>
      <c r="B32" s="92"/>
      <c r="C32" s="92"/>
      <c r="D32" s="92"/>
      <c r="E32" s="92"/>
      <c r="F32" s="92"/>
      <c r="G32" s="92"/>
      <c r="H32" s="92"/>
      <c r="I32" s="92"/>
      <c r="J32" s="92"/>
      <c r="K32" s="92"/>
      <c r="L32" s="92"/>
      <c r="M32" s="92"/>
      <c r="N32" s="92"/>
      <c r="O32" s="92"/>
      <c r="P32" s="92"/>
      <c r="Q32" s="92"/>
      <c r="R32" s="92"/>
      <c r="S32" s="92"/>
      <c r="T32" s="92"/>
      <c r="U32" s="92"/>
      <c r="V32" s="745"/>
      <c r="W32" s="745">
        <v>43.64</v>
      </c>
      <c r="X32" s="745">
        <v>43.89</v>
      </c>
      <c r="Y32" s="745">
        <v>43.96</v>
      </c>
      <c r="Z32" s="745">
        <v>44.19</v>
      </c>
      <c r="AA32" s="745">
        <v>44.4</v>
      </c>
      <c r="AB32" s="745">
        <v>44.56</v>
      </c>
      <c r="AC32" s="745">
        <v>44.56</v>
      </c>
      <c r="AD32" s="745">
        <v>44.5</v>
      </c>
      <c r="AE32" s="745">
        <v>44.58</v>
      </c>
      <c r="AF32" s="745">
        <v>44.79</v>
      </c>
      <c r="AG32" s="745">
        <v>45.05</v>
      </c>
      <c r="AH32" s="745">
        <v>45.36</v>
      </c>
      <c r="AI32" s="745">
        <v>45.63</v>
      </c>
      <c r="AJ32" s="745">
        <v>45.95</v>
      </c>
      <c r="AK32" s="745">
        <v>46.25</v>
      </c>
      <c r="AL32" s="745">
        <v>46.62</v>
      </c>
      <c r="AM32" s="745">
        <v>46.97</v>
      </c>
      <c r="AN32" s="745">
        <v>47.21</v>
      </c>
      <c r="AO32" s="745">
        <v>47.36</v>
      </c>
      <c r="AP32" s="745">
        <v>47.57</v>
      </c>
      <c r="AQ32" s="745">
        <v>47.76</v>
      </c>
      <c r="AR32" s="745">
        <v>48.05</v>
      </c>
      <c r="AS32" s="745">
        <v>48.09</v>
      </c>
      <c r="AT32" s="745">
        <v>48.22</v>
      </c>
      <c r="AU32" s="745">
        <v>48.34</v>
      </c>
      <c r="AV32" s="745">
        <v>48.45</v>
      </c>
      <c r="AW32" s="745">
        <v>48.74</v>
      </c>
      <c r="AX32" s="745">
        <v>48.93</v>
      </c>
      <c r="AY32" s="745">
        <v>49.03</v>
      </c>
      <c r="AZ32" s="745">
        <v>49.09</v>
      </c>
      <c r="BA32" s="745">
        <v>49.18</v>
      </c>
      <c r="BB32" s="745">
        <v>49.3</v>
      </c>
      <c r="BC32" s="745">
        <v>49.45</v>
      </c>
      <c r="BD32" s="745">
        <v>49.62</v>
      </c>
      <c r="BE32" s="745">
        <v>49.81</v>
      </c>
      <c r="BF32" s="745">
        <v>50.03</v>
      </c>
      <c r="BG32" s="745">
        <v>50.18</v>
      </c>
      <c r="BH32" s="745">
        <v>50.46</v>
      </c>
      <c r="BI32" s="745">
        <v>50.64</v>
      </c>
      <c r="BJ32" s="745">
        <v>50.91</v>
      </c>
      <c r="BK32" s="745">
        <v>51.12</v>
      </c>
      <c r="BL32" s="745">
        <v>51.39</v>
      </c>
      <c r="BM32" s="745">
        <v>51.65</v>
      </c>
      <c r="BN32" s="745">
        <v>51.89</v>
      </c>
      <c r="BO32" s="745">
        <v>52.1</v>
      </c>
      <c r="BP32" s="745">
        <v>52.32</v>
      </c>
      <c r="BQ32" s="745">
        <v>52.53</v>
      </c>
      <c r="BR32" s="745">
        <v>52.74</v>
      </c>
      <c r="BS32" s="745">
        <v>52.91</v>
      </c>
      <c r="BT32" s="857">
        <v>53.11</v>
      </c>
      <c r="BU32" s="745">
        <v>53.25</v>
      </c>
      <c r="BV32" s="745">
        <v>53.46</v>
      </c>
      <c r="BW32" s="745">
        <v>53.64</v>
      </c>
      <c r="BX32" s="745">
        <v>53.82</v>
      </c>
      <c r="BY32" s="745">
        <v>53.97</v>
      </c>
      <c r="BZ32" s="745">
        <v>54.14</v>
      </c>
      <c r="CA32" s="745">
        <v>54.3</v>
      </c>
      <c r="CB32" s="745">
        <v>54.46</v>
      </c>
      <c r="CC32" s="745">
        <v>54.62</v>
      </c>
      <c r="CD32" s="745">
        <v>54.8</v>
      </c>
      <c r="CE32" s="745">
        <v>54.97</v>
      </c>
      <c r="CF32" s="745">
        <v>55.13</v>
      </c>
      <c r="CG32" s="745">
        <v>55.3</v>
      </c>
      <c r="CH32" s="745">
        <v>55.46</v>
      </c>
      <c r="CI32" s="745">
        <v>55.64</v>
      </c>
      <c r="CJ32" s="745">
        <v>55.81</v>
      </c>
      <c r="CK32" s="745">
        <v>55.97</v>
      </c>
      <c r="CL32" s="745">
        <v>56.13</v>
      </c>
      <c r="CM32" s="745">
        <v>56.3</v>
      </c>
      <c r="CN32" s="745">
        <v>56.46</v>
      </c>
      <c r="CO32" s="745">
        <v>56.61</v>
      </c>
      <c r="CP32" s="745">
        <v>56.77</v>
      </c>
      <c r="CQ32" s="745">
        <v>56.93</v>
      </c>
      <c r="CR32" s="745">
        <v>57.09</v>
      </c>
      <c r="CS32" s="745">
        <v>57.24</v>
      </c>
      <c r="CT32" s="745">
        <v>57.39</v>
      </c>
      <c r="CU32" s="745">
        <v>57.55</v>
      </c>
      <c r="CV32" s="745">
        <v>57.7</v>
      </c>
      <c r="CW32" s="745">
        <v>57.85</v>
      </c>
      <c r="CX32" s="745">
        <v>57.99</v>
      </c>
      <c r="CY32" s="745">
        <v>58.14</v>
      </c>
      <c r="CZ32" s="745">
        <v>58.29</v>
      </c>
      <c r="DA32" s="745">
        <v>58.43</v>
      </c>
      <c r="DB32" s="745">
        <v>58.58</v>
      </c>
      <c r="DC32" s="745">
        <v>58.72</v>
      </c>
      <c r="DD32" s="745">
        <v>58.86</v>
      </c>
      <c r="DE32" s="745">
        <v>59</v>
      </c>
      <c r="DF32" s="745">
        <v>59.14</v>
      </c>
      <c r="DG32" s="745">
        <v>59.28</v>
      </c>
      <c r="DH32" s="745">
        <v>59.41</v>
      </c>
      <c r="DI32" s="745">
        <v>59.55</v>
      </c>
      <c r="DJ32" s="745">
        <v>59.68</v>
      </c>
      <c r="DK32" s="745">
        <v>59.82</v>
      </c>
      <c r="DL32" s="745">
        <v>59.95</v>
      </c>
      <c r="DM32" s="745">
        <v>60.08</v>
      </c>
      <c r="DN32" s="745">
        <v>60.21</v>
      </c>
      <c r="DO32" s="745">
        <v>60.34</v>
      </c>
      <c r="DP32" s="745">
        <v>60.47</v>
      </c>
      <c r="DQ32" s="745">
        <v>60.6</v>
      </c>
      <c r="DR32" s="745">
        <v>60.72</v>
      </c>
    </row>
    <row r="33" spans="1:122">
      <c r="A33" s="912">
        <v>31</v>
      </c>
      <c r="B33" s="92"/>
      <c r="C33" s="92"/>
      <c r="D33" s="92"/>
      <c r="E33" s="92"/>
      <c r="F33" s="92"/>
      <c r="G33" s="92"/>
      <c r="H33" s="92"/>
      <c r="I33" s="92"/>
      <c r="J33" s="92"/>
      <c r="K33" s="92"/>
      <c r="L33" s="92"/>
      <c r="M33" s="92"/>
      <c r="N33" s="92"/>
      <c r="O33" s="92"/>
      <c r="P33" s="92"/>
      <c r="Q33" s="92"/>
      <c r="R33" s="92"/>
      <c r="S33" s="92"/>
      <c r="T33" s="92"/>
      <c r="U33" s="92"/>
      <c r="V33" s="745"/>
      <c r="W33" s="745">
        <v>42.74</v>
      </c>
      <c r="X33" s="745">
        <v>42.97</v>
      </c>
      <c r="Y33" s="745">
        <v>43.04</v>
      </c>
      <c r="Z33" s="745">
        <v>43.27</v>
      </c>
      <c r="AA33" s="745">
        <v>43.47</v>
      </c>
      <c r="AB33" s="745">
        <v>43.64</v>
      </c>
      <c r="AC33" s="745">
        <v>43.64</v>
      </c>
      <c r="AD33" s="745">
        <v>43.58</v>
      </c>
      <c r="AE33" s="745">
        <v>43.66</v>
      </c>
      <c r="AF33" s="745">
        <v>43.87</v>
      </c>
      <c r="AG33" s="745">
        <v>44.13</v>
      </c>
      <c r="AH33" s="745">
        <v>44.43</v>
      </c>
      <c r="AI33" s="745">
        <v>44.71</v>
      </c>
      <c r="AJ33" s="745">
        <v>45.02</v>
      </c>
      <c r="AK33" s="745">
        <v>45.33</v>
      </c>
      <c r="AL33" s="745">
        <v>45.69</v>
      </c>
      <c r="AM33" s="745">
        <v>46.05</v>
      </c>
      <c r="AN33" s="745">
        <v>46.28</v>
      </c>
      <c r="AO33" s="745">
        <v>46.44</v>
      </c>
      <c r="AP33" s="745">
        <v>46.65</v>
      </c>
      <c r="AQ33" s="745">
        <v>46.84</v>
      </c>
      <c r="AR33" s="745">
        <v>47.12</v>
      </c>
      <c r="AS33" s="745">
        <v>47.16</v>
      </c>
      <c r="AT33" s="745">
        <v>47.29</v>
      </c>
      <c r="AU33" s="745">
        <v>47.41</v>
      </c>
      <c r="AV33" s="745">
        <v>47.52</v>
      </c>
      <c r="AW33" s="745">
        <v>47.82</v>
      </c>
      <c r="AX33" s="745">
        <v>47.99</v>
      </c>
      <c r="AY33" s="745">
        <v>48.09</v>
      </c>
      <c r="AZ33" s="745">
        <v>48.15</v>
      </c>
      <c r="BA33" s="745">
        <v>48.24</v>
      </c>
      <c r="BB33" s="745">
        <v>48.37</v>
      </c>
      <c r="BC33" s="745">
        <v>48.51</v>
      </c>
      <c r="BD33" s="745">
        <v>48.68</v>
      </c>
      <c r="BE33" s="745">
        <v>48.87</v>
      </c>
      <c r="BF33" s="745">
        <v>49.09</v>
      </c>
      <c r="BG33" s="745">
        <v>49.24</v>
      </c>
      <c r="BH33" s="745">
        <v>49.52</v>
      </c>
      <c r="BI33" s="745">
        <v>49.71</v>
      </c>
      <c r="BJ33" s="745">
        <v>49.98</v>
      </c>
      <c r="BK33" s="745">
        <v>50.19</v>
      </c>
      <c r="BL33" s="745">
        <v>50.46</v>
      </c>
      <c r="BM33" s="745">
        <v>50.71</v>
      </c>
      <c r="BN33" s="745">
        <v>50.95</v>
      </c>
      <c r="BO33" s="745">
        <v>51.16</v>
      </c>
      <c r="BP33" s="745">
        <v>51.38</v>
      </c>
      <c r="BQ33" s="745">
        <v>51.58</v>
      </c>
      <c r="BR33" s="745">
        <v>51.78</v>
      </c>
      <c r="BS33" s="745">
        <v>51.96</v>
      </c>
      <c r="BT33" s="857">
        <v>52.16</v>
      </c>
      <c r="BU33" s="745">
        <v>52.3</v>
      </c>
      <c r="BV33" s="745">
        <v>52.5</v>
      </c>
      <c r="BW33" s="745">
        <v>52.67</v>
      </c>
      <c r="BX33" s="745">
        <v>52.85</v>
      </c>
      <c r="BY33" s="745">
        <v>53.01</v>
      </c>
      <c r="BZ33" s="745">
        <v>53.18</v>
      </c>
      <c r="CA33" s="745">
        <v>53.34</v>
      </c>
      <c r="CB33" s="745">
        <v>53.49</v>
      </c>
      <c r="CC33" s="745">
        <v>53.66</v>
      </c>
      <c r="CD33" s="745">
        <v>53.83</v>
      </c>
      <c r="CE33" s="745">
        <v>54.01</v>
      </c>
      <c r="CF33" s="745">
        <v>54.17</v>
      </c>
      <c r="CG33" s="745">
        <v>54.33</v>
      </c>
      <c r="CH33" s="745">
        <v>54.5</v>
      </c>
      <c r="CI33" s="745">
        <v>54.67</v>
      </c>
      <c r="CJ33" s="745">
        <v>54.84</v>
      </c>
      <c r="CK33" s="745">
        <v>55</v>
      </c>
      <c r="CL33" s="745">
        <v>55.16</v>
      </c>
      <c r="CM33" s="745">
        <v>55.32</v>
      </c>
      <c r="CN33" s="745">
        <v>55.48</v>
      </c>
      <c r="CO33" s="745">
        <v>55.64</v>
      </c>
      <c r="CP33" s="745">
        <v>55.8</v>
      </c>
      <c r="CQ33" s="745">
        <v>55.96</v>
      </c>
      <c r="CR33" s="745">
        <v>56.11</v>
      </c>
      <c r="CS33" s="745">
        <v>56.26</v>
      </c>
      <c r="CT33" s="745">
        <v>56.42</v>
      </c>
      <c r="CU33" s="745">
        <v>56.57</v>
      </c>
      <c r="CV33" s="745">
        <v>56.72</v>
      </c>
      <c r="CW33" s="745">
        <v>56.87</v>
      </c>
      <c r="CX33" s="745">
        <v>57.02</v>
      </c>
      <c r="CY33" s="745">
        <v>57.16</v>
      </c>
      <c r="CZ33" s="745">
        <v>57.31</v>
      </c>
      <c r="DA33" s="745">
        <v>57.45</v>
      </c>
      <c r="DB33" s="745">
        <v>57.6</v>
      </c>
      <c r="DC33" s="745">
        <v>57.74</v>
      </c>
      <c r="DD33" s="745">
        <v>57.88</v>
      </c>
      <c r="DE33" s="745">
        <v>58.02</v>
      </c>
      <c r="DF33" s="745">
        <v>58.16</v>
      </c>
      <c r="DG33" s="745">
        <v>58.3</v>
      </c>
      <c r="DH33" s="745">
        <v>58.43</v>
      </c>
      <c r="DI33" s="745">
        <v>58.57</v>
      </c>
      <c r="DJ33" s="745">
        <v>58.7</v>
      </c>
      <c r="DK33" s="745">
        <v>58.83</v>
      </c>
      <c r="DL33" s="745">
        <v>58.97</v>
      </c>
      <c r="DM33" s="745">
        <v>59.1</v>
      </c>
      <c r="DN33" s="745">
        <v>59.23</v>
      </c>
      <c r="DO33" s="745">
        <v>59.36</v>
      </c>
      <c r="DP33" s="745">
        <v>59.48</v>
      </c>
      <c r="DQ33" s="745">
        <v>59.61</v>
      </c>
      <c r="DR33" s="745">
        <v>59.73</v>
      </c>
    </row>
    <row r="34" spans="1:122">
      <c r="A34" s="912">
        <v>32</v>
      </c>
      <c r="B34" s="92"/>
      <c r="C34" s="92"/>
      <c r="D34" s="92"/>
      <c r="E34" s="92"/>
      <c r="F34" s="92"/>
      <c r="G34" s="92"/>
      <c r="H34" s="92"/>
      <c r="I34" s="92"/>
      <c r="J34" s="92"/>
      <c r="K34" s="92"/>
      <c r="L34" s="92"/>
      <c r="M34" s="92"/>
      <c r="N34" s="92"/>
      <c r="O34" s="92"/>
      <c r="P34" s="92"/>
      <c r="Q34" s="92"/>
      <c r="R34" s="92"/>
      <c r="S34" s="92"/>
      <c r="T34" s="92"/>
      <c r="U34" s="92"/>
      <c r="V34" s="745"/>
      <c r="W34" s="745">
        <v>41.82</v>
      </c>
      <c r="X34" s="745">
        <v>42.05</v>
      </c>
      <c r="Y34" s="745">
        <v>42.12</v>
      </c>
      <c r="Z34" s="745">
        <v>42.35</v>
      </c>
      <c r="AA34" s="745">
        <v>42.55</v>
      </c>
      <c r="AB34" s="745">
        <v>42.72</v>
      </c>
      <c r="AC34" s="745">
        <v>42.72</v>
      </c>
      <c r="AD34" s="745">
        <v>42.66</v>
      </c>
      <c r="AE34" s="745">
        <v>42.74</v>
      </c>
      <c r="AF34" s="745">
        <v>42.94</v>
      </c>
      <c r="AG34" s="745">
        <v>43.21</v>
      </c>
      <c r="AH34" s="745">
        <v>43.51</v>
      </c>
      <c r="AI34" s="745">
        <v>43.78</v>
      </c>
      <c r="AJ34" s="745">
        <v>44.1</v>
      </c>
      <c r="AK34" s="745">
        <v>44.4</v>
      </c>
      <c r="AL34" s="745">
        <v>44.77</v>
      </c>
      <c r="AM34" s="745">
        <v>45.12</v>
      </c>
      <c r="AN34" s="745">
        <v>45.35</v>
      </c>
      <c r="AO34" s="745">
        <v>45.51</v>
      </c>
      <c r="AP34" s="745">
        <v>45.73</v>
      </c>
      <c r="AQ34" s="745">
        <v>45.92</v>
      </c>
      <c r="AR34" s="745">
        <v>46.2</v>
      </c>
      <c r="AS34" s="745">
        <v>46.24</v>
      </c>
      <c r="AT34" s="745">
        <v>46.36</v>
      </c>
      <c r="AU34" s="745">
        <v>46.48</v>
      </c>
      <c r="AV34" s="745">
        <v>46.6</v>
      </c>
      <c r="AW34" s="745">
        <v>46.89</v>
      </c>
      <c r="AX34" s="745">
        <v>47.06</v>
      </c>
      <c r="AY34" s="745">
        <v>47.15</v>
      </c>
      <c r="AZ34" s="745">
        <v>47.22</v>
      </c>
      <c r="BA34" s="745">
        <v>47.31</v>
      </c>
      <c r="BB34" s="745">
        <v>47.44</v>
      </c>
      <c r="BC34" s="745">
        <v>47.57</v>
      </c>
      <c r="BD34" s="745">
        <v>47.74</v>
      </c>
      <c r="BE34" s="745">
        <v>47.93</v>
      </c>
      <c r="BF34" s="745">
        <v>48.15</v>
      </c>
      <c r="BG34" s="745">
        <v>48.3</v>
      </c>
      <c r="BH34" s="745">
        <v>48.58</v>
      </c>
      <c r="BI34" s="745">
        <v>48.78</v>
      </c>
      <c r="BJ34" s="745">
        <v>49.05</v>
      </c>
      <c r="BK34" s="745">
        <v>49.25</v>
      </c>
      <c r="BL34" s="745">
        <v>49.52</v>
      </c>
      <c r="BM34" s="745">
        <v>49.77</v>
      </c>
      <c r="BN34" s="745">
        <v>50.01</v>
      </c>
      <c r="BO34" s="745">
        <v>50.21</v>
      </c>
      <c r="BP34" s="745">
        <v>50.43</v>
      </c>
      <c r="BQ34" s="745">
        <v>50.63</v>
      </c>
      <c r="BR34" s="745">
        <v>50.83</v>
      </c>
      <c r="BS34" s="745">
        <v>51.01</v>
      </c>
      <c r="BT34" s="857">
        <v>51.2</v>
      </c>
      <c r="BU34" s="745">
        <v>51.34</v>
      </c>
      <c r="BV34" s="745">
        <v>51.54</v>
      </c>
      <c r="BW34" s="745">
        <v>51.72</v>
      </c>
      <c r="BX34" s="745">
        <v>51.89</v>
      </c>
      <c r="BY34" s="745">
        <v>52.05</v>
      </c>
      <c r="BZ34" s="745">
        <v>52.21</v>
      </c>
      <c r="CA34" s="745">
        <v>52.38</v>
      </c>
      <c r="CB34" s="745">
        <v>52.53</v>
      </c>
      <c r="CC34" s="745">
        <v>52.7</v>
      </c>
      <c r="CD34" s="745">
        <v>52.87</v>
      </c>
      <c r="CE34" s="745">
        <v>53.04</v>
      </c>
      <c r="CF34" s="745">
        <v>53.2</v>
      </c>
      <c r="CG34" s="745">
        <v>53.37</v>
      </c>
      <c r="CH34" s="745">
        <v>53.54</v>
      </c>
      <c r="CI34" s="745">
        <v>53.71</v>
      </c>
      <c r="CJ34" s="745">
        <v>53.87</v>
      </c>
      <c r="CK34" s="745">
        <v>54.03</v>
      </c>
      <c r="CL34" s="745">
        <v>54.19</v>
      </c>
      <c r="CM34" s="745">
        <v>54.35</v>
      </c>
      <c r="CN34" s="745">
        <v>54.51</v>
      </c>
      <c r="CO34" s="745">
        <v>54.67</v>
      </c>
      <c r="CP34" s="745">
        <v>54.83</v>
      </c>
      <c r="CQ34" s="745">
        <v>54.98</v>
      </c>
      <c r="CR34" s="745">
        <v>55.14</v>
      </c>
      <c r="CS34" s="745">
        <v>55.29</v>
      </c>
      <c r="CT34" s="745">
        <v>55.44</v>
      </c>
      <c r="CU34" s="745">
        <v>55.59</v>
      </c>
      <c r="CV34" s="745">
        <v>55.74</v>
      </c>
      <c r="CW34" s="745">
        <v>55.89</v>
      </c>
      <c r="CX34" s="745">
        <v>56.04</v>
      </c>
      <c r="CY34" s="745">
        <v>56.19</v>
      </c>
      <c r="CZ34" s="745">
        <v>56.33</v>
      </c>
      <c r="DA34" s="745">
        <v>56.47</v>
      </c>
      <c r="DB34" s="745">
        <v>56.62</v>
      </c>
      <c r="DC34" s="745">
        <v>56.76</v>
      </c>
      <c r="DD34" s="745">
        <v>56.9</v>
      </c>
      <c r="DE34" s="745">
        <v>57.04</v>
      </c>
      <c r="DF34" s="745">
        <v>57.18</v>
      </c>
      <c r="DG34" s="745">
        <v>57.31</v>
      </c>
      <c r="DH34" s="745">
        <v>57.45</v>
      </c>
      <c r="DI34" s="745">
        <v>57.58</v>
      </c>
      <c r="DJ34" s="745">
        <v>57.72</v>
      </c>
      <c r="DK34" s="745">
        <v>57.85</v>
      </c>
      <c r="DL34" s="745">
        <v>57.98</v>
      </c>
      <c r="DM34" s="745">
        <v>58.11</v>
      </c>
      <c r="DN34" s="745">
        <v>58.24</v>
      </c>
      <c r="DO34" s="745">
        <v>58.37</v>
      </c>
      <c r="DP34" s="745">
        <v>58.5</v>
      </c>
      <c r="DQ34" s="745">
        <v>58.62</v>
      </c>
      <c r="DR34" s="745">
        <v>58.75</v>
      </c>
    </row>
    <row r="35" spans="1:122">
      <c r="A35" s="912">
        <v>33</v>
      </c>
      <c r="B35" s="92"/>
      <c r="C35" s="92"/>
      <c r="D35" s="92"/>
      <c r="E35" s="92"/>
      <c r="F35" s="92"/>
      <c r="G35" s="92"/>
      <c r="H35" s="92"/>
      <c r="I35" s="92"/>
      <c r="J35" s="92"/>
      <c r="K35" s="92"/>
      <c r="L35" s="92"/>
      <c r="M35" s="92"/>
      <c r="N35" s="92"/>
      <c r="O35" s="92"/>
      <c r="P35" s="92"/>
      <c r="Q35" s="92"/>
      <c r="R35" s="92"/>
      <c r="S35" s="92"/>
      <c r="T35" s="92"/>
      <c r="U35" s="92"/>
      <c r="V35" s="745"/>
      <c r="W35" s="745">
        <v>40.89</v>
      </c>
      <c r="X35" s="745">
        <v>41.13</v>
      </c>
      <c r="Y35" s="745">
        <v>41.2</v>
      </c>
      <c r="Z35" s="745">
        <v>41.43</v>
      </c>
      <c r="AA35" s="745">
        <v>41.63</v>
      </c>
      <c r="AB35" s="745">
        <v>41.79</v>
      </c>
      <c r="AC35" s="745">
        <v>41.8</v>
      </c>
      <c r="AD35" s="745">
        <v>41.73</v>
      </c>
      <c r="AE35" s="745">
        <v>41.82</v>
      </c>
      <c r="AF35" s="745">
        <v>42.02</v>
      </c>
      <c r="AG35" s="745">
        <v>42.29</v>
      </c>
      <c r="AH35" s="745">
        <v>42.59</v>
      </c>
      <c r="AI35" s="745">
        <v>42.86</v>
      </c>
      <c r="AJ35" s="745">
        <v>43.18</v>
      </c>
      <c r="AK35" s="745">
        <v>43.47</v>
      </c>
      <c r="AL35" s="745">
        <v>43.84</v>
      </c>
      <c r="AM35" s="745">
        <v>44.19</v>
      </c>
      <c r="AN35" s="745">
        <v>44.44</v>
      </c>
      <c r="AO35" s="745">
        <v>44.59</v>
      </c>
      <c r="AP35" s="745">
        <v>44.81</v>
      </c>
      <c r="AQ35" s="745">
        <v>45</v>
      </c>
      <c r="AR35" s="745">
        <v>45.27</v>
      </c>
      <c r="AS35" s="745">
        <v>45.32</v>
      </c>
      <c r="AT35" s="745">
        <v>45.44</v>
      </c>
      <c r="AU35" s="745">
        <v>45.56</v>
      </c>
      <c r="AV35" s="745">
        <v>45.67</v>
      </c>
      <c r="AW35" s="745">
        <v>45.96</v>
      </c>
      <c r="AX35" s="745">
        <v>46.13</v>
      </c>
      <c r="AY35" s="745">
        <v>46.22</v>
      </c>
      <c r="AZ35" s="745">
        <v>46.29</v>
      </c>
      <c r="BA35" s="745">
        <v>46.38</v>
      </c>
      <c r="BB35" s="745">
        <v>46.5</v>
      </c>
      <c r="BC35" s="745">
        <v>46.63</v>
      </c>
      <c r="BD35" s="745">
        <v>46.8</v>
      </c>
      <c r="BE35" s="745">
        <v>47</v>
      </c>
      <c r="BF35" s="745">
        <v>47.22</v>
      </c>
      <c r="BG35" s="745">
        <v>47.37</v>
      </c>
      <c r="BH35" s="745">
        <v>47.65</v>
      </c>
      <c r="BI35" s="745">
        <v>47.85</v>
      </c>
      <c r="BJ35" s="745">
        <v>48.11</v>
      </c>
      <c r="BK35" s="745">
        <v>48.32</v>
      </c>
      <c r="BL35" s="745">
        <v>48.58</v>
      </c>
      <c r="BM35" s="745">
        <v>48.83</v>
      </c>
      <c r="BN35" s="745">
        <v>49.07</v>
      </c>
      <c r="BO35" s="745">
        <v>49.27</v>
      </c>
      <c r="BP35" s="745">
        <v>49.48</v>
      </c>
      <c r="BQ35" s="745">
        <v>49.67</v>
      </c>
      <c r="BR35" s="745">
        <v>49.87</v>
      </c>
      <c r="BS35" s="745">
        <v>50.05</v>
      </c>
      <c r="BT35" s="857">
        <v>50.24</v>
      </c>
      <c r="BU35" s="745">
        <v>50.38</v>
      </c>
      <c r="BV35" s="745">
        <v>50.58</v>
      </c>
      <c r="BW35" s="745">
        <v>50.75</v>
      </c>
      <c r="BX35" s="745">
        <v>50.93</v>
      </c>
      <c r="BY35" s="745">
        <v>51.09</v>
      </c>
      <c r="BZ35" s="745">
        <v>51.25</v>
      </c>
      <c r="CA35" s="745">
        <v>51.41</v>
      </c>
      <c r="CB35" s="745">
        <v>51.57</v>
      </c>
      <c r="CC35" s="745">
        <v>51.74</v>
      </c>
      <c r="CD35" s="745">
        <v>51.9</v>
      </c>
      <c r="CE35" s="745">
        <v>52.08</v>
      </c>
      <c r="CF35" s="745">
        <v>52.24</v>
      </c>
      <c r="CG35" s="745">
        <v>52.41</v>
      </c>
      <c r="CH35" s="745">
        <v>52.57</v>
      </c>
      <c r="CI35" s="745">
        <v>52.74</v>
      </c>
      <c r="CJ35" s="745">
        <v>52.9</v>
      </c>
      <c r="CK35" s="745">
        <v>53.06</v>
      </c>
      <c r="CL35" s="745">
        <v>53.22</v>
      </c>
      <c r="CM35" s="745">
        <v>53.38</v>
      </c>
      <c r="CN35" s="745">
        <v>53.54</v>
      </c>
      <c r="CO35" s="745">
        <v>53.7</v>
      </c>
      <c r="CP35" s="745">
        <v>53.86</v>
      </c>
      <c r="CQ35" s="745">
        <v>54.01</v>
      </c>
      <c r="CR35" s="745">
        <v>54.16</v>
      </c>
      <c r="CS35" s="745">
        <v>54.32</v>
      </c>
      <c r="CT35" s="745">
        <v>54.47</v>
      </c>
      <c r="CU35" s="745">
        <v>54.62</v>
      </c>
      <c r="CV35" s="745">
        <v>54.77</v>
      </c>
      <c r="CW35" s="745">
        <v>54.92</v>
      </c>
      <c r="CX35" s="745">
        <v>55.06</v>
      </c>
      <c r="CY35" s="745">
        <v>55.21</v>
      </c>
      <c r="CZ35" s="745">
        <v>55.35</v>
      </c>
      <c r="DA35" s="745">
        <v>55.5</v>
      </c>
      <c r="DB35" s="745">
        <v>55.64</v>
      </c>
      <c r="DC35" s="745">
        <v>55.78</v>
      </c>
      <c r="DD35" s="745">
        <v>55.92</v>
      </c>
      <c r="DE35" s="745">
        <v>56.06</v>
      </c>
      <c r="DF35" s="745">
        <v>56.2</v>
      </c>
      <c r="DG35" s="745">
        <v>56.33</v>
      </c>
      <c r="DH35" s="745">
        <v>56.47</v>
      </c>
      <c r="DI35" s="745">
        <v>56.6</v>
      </c>
      <c r="DJ35" s="745">
        <v>56.74</v>
      </c>
      <c r="DK35" s="745">
        <v>56.87</v>
      </c>
      <c r="DL35" s="745">
        <v>57</v>
      </c>
      <c r="DM35" s="745">
        <v>57.13</v>
      </c>
      <c r="DN35" s="745">
        <v>57.26</v>
      </c>
      <c r="DO35" s="745">
        <v>57.39</v>
      </c>
      <c r="DP35" s="745">
        <v>57.51</v>
      </c>
      <c r="DQ35" s="745">
        <v>57.64</v>
      </c>
      <c r="DR35" s="745">
        <v>57.76</v>
      </c>
    </row>
    <row r="36" spans="1:122">
      <c r="A36" s="912">
        <v>34</v>
      </c>
      <c r="B36" s="92"/>
      <c r="C36" s="92"/>
      <c r="D36" s="92"/>
      <c r="E36" s="92"/>
      <c r="F36" s="92"/>
      <c r="G36" s="92"/>
      <c r="H36" s="92"/>
      <c r="I36" s="92"/>
      <c r="J36" s="92"/>
      <c r="K36" s="92"/>
      <c r="L36" s="92"/>
      <c r="M36" s="92"/>
      <c r="N36" s="92"/>
      <c r="O36" s="92"/>
      <c r="P36" s="92"/>
      <c r="Q36" s="92"/>
      <c r="R36" s="92"/>
      <c r="S36" s="92"/>
      <c r="T36" s="92"/>
      <c r="U36" s="92"/>
      <c r="V36" s="745"/>
      <c r="W36" s="745">
        <v>39.97</v>
      </c>
      <c r="X36" s="745">
        <v>40.21</v>
      </c>
      <c r="Y36" s="745">
        <v>40.28</v>
      </c>
      <c r="Z36" s="745">
        <v>40.51</v>
      </c>
      <c r="AA36" s="745">
        <v>40.71</v>
      </c>
      <c r="AB36" s="745">
        <v>40.869999999999997</v>
      </c>
      <c r="AC36" s="745">
        <v>40.880000000000003</v>
      </c>
      <c r="AD36" s="745">
        <v>40.81</v>
      </c>
      <c r="AE36" s="745">
        <v>40.89</v>
      </c>
      <c r="AF36" s="745">
        <v>41.1</v>
      </c>
      <c r="AG36" s="745">
        <v>41.36</v>
      </c>
      <c r="AH36" s="745">
        <v>41.66</v>
      </c>
      <c r="AI36" s="745">
        <v>41.94</v>
      </c>
      <c r="AJ36" s="745">
        <v>42.25</v>
      </c>
      <c r="AK36" s="745">
        <v>42.55</v>
      </c>
      <c r="AL36" s="745">
        <v>42.92</v>
      </c>
      <c r="AM36" s="745">
        <v>43.28</v>
      </c>
      <c r="AN36" s="745">
        <v>43.51</v>
      </c>
      <c r="AO36" s="745">
        <v>43.68</v>
      </c>
      <c r="AP36" s="745">
        <v>43.88</v>
      </c>
      <c r="AQ36" s="745">
        <v>44.08</v>
      </c>
      <c r="AR36" s="745">
        <v>44.35</v>
      </c>
      <c r="AS36" s="745">
        <v>44.4</v>
      </c>
      <c r="AT36" s="745">
        <v>44.52</v>
      </c>
      <c r="AU36" s="745">
        <v>44.64</v>
      </c>
      <c r="AV36" s="745">
        <v>44.75</v>
      </c>
      <c r="AW36" s="745">
        <v>45.03</v>
      </c>
      <c r="AX36" s="745">
        <v>45.2</v>
      </c>
      <c r="AY36" s="745">
        <v>45.28</v>
      </c>
      <c r="AZ36" s="745">
        <v>45.36</v>
      </c>
      <c r="BA36" s="745">
        <v>45.44</v>
      </c>
      <c r="BB36" s="745">
        <v>45.57</v>
      </c>
      <c r="BC36" s="745">
        <v>45.69</v>
      </c>
      <c r="BD36" s="745">
        <v>45.87</v>
      </c>
      <c r="BE36" s="745">
        <v>46.07</v>
      </c>
      <c r="BF36" s="745">
        <v>46.29</v>
      </c>
      <c r="BG36" s="745">
        <v>46.45</v>
      </c>
      <c r="BH36" s="745">
        <v>46.72</v>
      </c>
      <c r="BI36" s="745">
        <v>46.92</v>
      </c>
      <c r="BJ36" s="745">
        <v>47.19</v>
      </c>
      <c r="BK36" s="745">
        <v>47.38</v>
      </c>
      <c r="BL36" s="745">
        <v>47.65</v>
      </c>
      <c r="BM36" s="745">
        <v>47.89</v>
      </c>
      <c r="BN36" s="745">
        <v>48.12</v>
      </c>
      <c r="BO36" s="745">
        <v>48.31</v>
      </c>
      <c r="BP36" s="745">
        <v>48.53</v>
      </c>
      <c r="BQ36" s="745">
        <v>48.72</v>
      </c>
      <c r="BR36" s="745">
        <v>48.92</v>
      </c>
      <c r="BS36" s="745">
        <v>49.1</v>
      </c>
      <c r="BT36" s="857">
        <v>49.28</v>
      </c>
      <c r="BU36" s="745">
        <v>49.42</v>
      </c>
      <c r="BV36" s="745">
        <v>49.63</v>
      </c>
      <c r="BW36" s="745">
        <v>49.79</v>
      </c>
      <c r="BX36" s="745">
        <v>49.97</v>
      </c>
      <c r="BY36" s="745">
        <v>50.13</v>
      </c>
      <c r="BZ36" s="745">
        <v>50.29</v>
      </c>
      <c r="CA36" s="745">
        <v>50.46</v>
      </c>
      <c r="CB36" s="745">
        <v>50.61</v>
      </c>
      <c r="CC36" s="745">
        <v>50.77</v>
      </c>
      <c r="CD36" s="745">
        <v>50.94</v>
      </c>
      <c r="CE36" s="745">
        <v>51.11</v>
      </c>
      <c r="CF36" s="745">
        <v>51.28</v>
      </c>
      <c r="CG36" s="745">
        <v>51.45</v>
      </c>
      <c r="CH36" s="745">
        <v>51.61</v>
      </c>
      <c r="CI36" s="745">
        <v>51.77</v>
      </c>
      <c r="CJ36" s="745">
        <v>51.94</v>
      </c>
      <c r="CK36" s="745">
        <v>52.1</v>
      </c>
      <c r="CL36" s="745">
        <v>52.26</v>
      </c>
      <c r="CM36" s="745">
        <v>52.42</v>
      </c>
      <c r="CN36" s="745">
        <v>52.57</v>
      </c>
      <c r="CO36" s="745">
        <v>52.73</v>
      </c>
      <c r="CP36" s="745">
        <v>52.89</v>
      </c>
      <c r="CQ36" s="745">
        <v>53.04</v>
      </c>
      <c r="CR36" s="745">
        <v>53.19</v>
      </c>
      <c r="CS36" s="745">
        <v>53.35</v>
      </c>
      <c r="CT36" s="745">
        <v>53.5</v>
      </c>
      <c r="CU36" s="745">
        <v>53.65</v>
      </c>
      <c r="CV36" s="745">
        <v>53.79</v>
      </c>
      <c r="CW36" s="745">
        <v>53.94</v>
      </c>
      <c r="CX36" s="745">
        <v>54.09</v>
      </c>
      <c r="CY36" s="745">
        <v>54.23</v>
      </c>
      <c r="CZ36" s="745">
        <v>54.38</v>
      </c>
      <c r="DA36" s="745">
        <v>54.52</v>
      </c>
      <c r="DB36" s="745">
        <v>54.66</v>
      </c>
      <c r="DC36" s="745">
        <v>54.8</v>
      </c>
      <c r="DD36" s="745">
        <v>54.94</v>
      </c>
      <c r="DE36" s="745">
        <v>55.08</v>
      </c>
      <c r="DF36" s="745">
        <v>55.22</v>
      </c>
      <c r="DG36" s="745">
        <v>55.35</v>
      </c>
      <c r="DH36" s="745">
        <v>55.49</v>
      </c>
      <c r="DI36" s="745">
        <v>55.62</v>
      </c>
      <c r="DJ36" s="745">
        <v>55.76</v>
      </c>
      <c r="DK36" s="745">
        <v>55.89</v>
      </c>
      <c r="DL36" s="745">
        <v>56.02</v>
      </c>
      <c r="DM36" s="745">
        <v>56.15</v>
      </c>
      <c r="DN36" s="745">
        <v>56.28</v>
      </c>
      <c r="DO36" s="745">
        <v>56.4</v>
      </c>
      <c r="DP36" s="745">
        <v>56.53</v>
      </c>
      <c r="DQ36" s="745">
        <v>56.66</v>
      </c>
      <c r="DR36" s="745">
        <v>56.78</v>
      </c>
    </row>
    <row r="37" spans="1:122">
      <c r="A37" s="912">
        <v>35</v>
      </c>
      <c r="B37" s="92"/>
      <c r="C37" s="92"/>
      <c r="D37" s="92"/>
      <c r="E37" s="92"/>
      <c r="F37" s="92"/>
      <c r="G37" s="92"/>
      <c r="H37" s="92"/>
      <c r="I37" s="92"/>
      <c r="J37" s="92"/>
      <c r="K37" s="92"/>
      <c r="L37" s="92"/>
      <c r="M37" s="92"/>
      <c r="N37" s="92"/>
      <c r="O37" s="92"/>
      <c r="P37" s="92"/>
      <c r="Q37" s="92"/>
      <c r="R37" s="92"/>
      <c r="S37" s="92"/>
      <c r="T37" s="92"/>
      <c r="U37" s="92"/>
      <c r="V37" s="745"/>
      <c r="W37" s="745">
        <v>39.049999999999997</v>
      </c>
      <c r="X37" s="745">
        <v>39.299999999999997</v>
      </c>
      <c r="Y37" s="745">
        <v>39.36</v>
      </c>
      <c r="Z37" s="745">
        <v>39.590000000000003</v>
      </c>
      <c r="AA37" s="745">
        <v>39.79</v>
      </c>
      <c r="AB37" s="745">
        <v>39.96</v>
      </c>
      <c r="AC37" s="745">
        <v>39.96</v>
      </c>
      <c r="AD37" s="745">
        <v>39.89</v>
      </c>
      <c r="AE37" s="745">
        <v>39.97</v>
      </c>
      <c r="AF37" s="745">
        <v>40.18</v>
      </c>
      <c r="AG37" s="745">
        <v>40.44</v>
      </c>
      <c r="AH37" s="745">
        <v>40.75</v>
      </c>
      <c r="AI37" s="745">
        <v>41.02</v>
      </c>
      <c r="AJ37" s="745">
        <v>41.32</v>
      </c>
      <c r="AK37" s="745">
        <v>41.64</v>
      </c>
      <c r="AL37" s="745">
        <v>42</v>
      </c>
      <c r="AM37" s="745">
        <v>42.36</v>
      </c>
      <c r="AN37" s="745">
        <v>42.59</v>
      </c>
      <c r="AO37" s="745">
        <v>42.76</v>
      </c>
      <c r="AP37" s="745">
        <v>42.97</v>
      </c>
      <c r="AQ37" s="745">
        <v>43.16</v>
      </c>
      <c r="AR37" s="745">
        <v>43.43</v>
      </c>
      <c r="AS37" s="745">
        <v>43.48</v>
      </c>
      <c r="AT37" s="745">
        <v>43.6</v>
      </c>
      <c r="AU37" s="745">
        <v>43.71</v>
      </c>
      <c r="AV37" s="745">
        <v>43.83</v>
      </c>
      <c r="AW37" s="745">
        <v>44.1</v>
      </c>
      <c r="AX37" s="745">
        <v>44.26</v>
      </c>
      <c r="AY37" s="745">
        <v>44.35</v>
      </c>
      <c r="AZ37" s="745">
        <v>44.42</v>
      </c>
      <c r="BA37" s="745">
        <v>44.51</v>
      </c>
      <c r="BB37" s="745">
        <v>44.63</v>
      </c>
      <c r="BC37" s="745">
        <v>44.76</v>
      </c>
      <c r="BD37" s="745">
        <v>44.94</v>
      </c>
      <c r="BE37" s="745">
        <v>45.14</v>
      </c>
      <c r="BF37" s="745">
        <v>45.37</v>
      </c>
      <c r="BG37" s="745">
        <v>45.52</v>
      </c>
      <c r="BH37" s="745">
        <v>45.8</v>
      </c>
      <c r="BI37" s="745">
        <v>46</v>
      </c>
      <c r="BJ37" s="745">
        <v>46.26</v>
      </c>
      <c r="BK37" s="745">
        <v>46.45</v>
      </c>
      <c r="BL37" s="745">
        <v>46.71</v>
      </c>
      <c r="BM37" s="745">
        <v>46.95</v>
      </c>
      <c r="BN37" s="745">
        <v>47.17</v>
      </c>
      <c r="BO37" s="745">
        <v>47.37</v>
      </c>
      <c r="BP37" s="745">
        <v>47.57</v>
      </c>
      <c r="BQ37" s="745">
        <v>47.77</v>
      </c>
      <c r="BR37" s="745">
        <v>47.96</v>
      </c>
      <c r="BS37" s="745">
        <v>48.14</v>
      </c>
      <c r="BT37" s="857">
        <v>48.32</v>
      </c>
      <c r="BU37" s="745">
        <v>48.46</v>
      </c>
      <c r="BV37" s="745">
        <v>48.67</v>
      </c>
      <c r="BW37" s="745">
        <v>48.83</v>
      </c>
      <c r="BX37" s="745">
        <v>49</v>
      </c>
      <c r="BY37" s="745">
        <v>49.17</v>
      </c>
      <c r="BZ37" s="745">
        <v>49.33</v>
      </c>
      <c r="CA37" s="745">
        <v>49.49</v>
      </c>
      <c r="CB37" s="745">
        <v>49.65</v>
      </c>
      <c r="CC37" s="745">
        <v>49.81</v>
      </c>
      <c r="CD37" s="745">
        <v>49.98</v>
      </c>
      <c r="CE37" s="745">
        <v>50.16</v>
      </c>
      <c r="CF37" s="745">
        <v>50.32</v>
      </c>
      <c r="CG37" s="745">
        <v>50.49</v>
      </c>
      <c r="CH37" s="745">
        <v>50.65</v>
      </c>
      <c r="CI37" s="745">
        <v>50.81</v>
      </c>
      <c r="CJ37" s="745">
        <v>50.97</v>
      </c>
      <c r="CK37" s="745">
        <v>51.13</v>
      </c>
      <c r="CL37" s="745">
        <v>51.29</v>
      </c>
      <c r="CM37" s="745">
        <v>51.45</v>
      </c>
      <c r="CN37" s="745">
        <v>51.61</v>
      </c>
      <c r="CO37" s="745">
        <v>51.76</v>
      </c>
      <c r="CP37" s="745">
        <v>51.92</v>
      </c>
      <c r="CQ37" s="745">
        <v>52.07</v>
      </c>
      <c r="CR37" s="745">
        <v>52.22</v>
      </c>
      <c r="CS37" s="745">
        <v>52.37</v>
      </c>
      <c r="CT37" s="745">
        <v>52.52</v>
      </c>
      <c r="CU37" s="745">
        <v>52.67</v>
      </c>
      <c r="CV37" s="745">
        <v>52.82</v>
      </c>
      <c r="CW37" s="745">
        <v>52.97</v>
      </c>
      <c r="CX37" s="745">
        <v>53.11</v>
      </c>
      <c r="CY37" s="745">
        <v>53.26</v>
      </c>
      <c r="CZ37" s="745">
        <v>53.4</v>
      </c>
      <c r="DA37" s="745">
        <v>53.54</v>
      </c>
      <c r="DB37" s="745">
        <v>53.69</v>
      </c>
      <c r="DC37" s="745">
        <v>53.83</v>
      </c>
      <c r="DD37" s="745">
        <v>53.97</v>
      </c>
      <c r="DE37" s="745">
        <v>54.1</v>
      </c>
      <c r="DF37" s="745">
        <v>54.24</v>
      </c>
      <c r="DG37" s="745">
        <v>54.38</v>
      </c>
      <c r="DH37" s="745">
        <v>54.51</v>
      </c>
      <c r="DI37" s="745">
        <v>54.64</v>
      </c>
      <c r="DJ37" s="745">
        <v>54.78</v>
      </c>
      <c r="DK37" s="745">
        <v>54.91</v>
      </c>
      <c r="DL37" s="745">
        <v>55.04</v>
      </c>
      <c r="DM37" s="745">
        <v>55.17</v>
      </c>
      <c r="DN37" s="745">
        <v>55.3</v>
      </c>
      <c r="DO37" s="745">
        <v>55.42</v>
      </c>
      <c r="DP37" s="745">
        <v>55.55</v>
      </c>
      <c r="DQ37" s="745">
        <v>55.67</v>
      </c>
      <c r="DR37" s="745">
        <v>55.8</v>
      </c>
    </row>
    <row r="38" spans="1:122">
      <c r="A38" s="912">
        <v>36</v>
      </c>
      <c r="B38" s="92"/>
      <c r="C38" s="92"/>
      <c r="D38" s="92"/>
      <c r="E38" s="92"/>
      <c r="F38" s="92"/>
      <c r="G38" s="92"/>
      <c r="H38" s="92"/>
      <c r="I38" s="92"/>
      <c r="J38" s="92"/>
      <c r="K38" s="92"/>
      <c r="L38" s="92"/>
      <c r="M38" s="92"/>
      <c r="N38" s="92"/>
      <c r="O38" s="92"/>
      <c r="P38" s="92"/>
      <c r="Q38" s="92"/>
      <c r="R38" s="92"/>
      <c r="S38" s="92"/>
      <c r="T38" s="92"/>
      <c r="U38" s="92"/>
      <c r="V38" s="745"/>
      <c r="W38" s="745">
        <v>38.14</v>
      </c>
      <c r="X38" s="745">
        <v>38.380000000000003</v>
      </c>
      <c r="Y38" s="745">
        <v>38.450000000000003</v>
      </c>
      <c r="Z38" s="745">
        <v>38.68</v>
      </c>
      <c r="AA38" s="745">
        <v>38.869999999999997</v>
      </c>
      <c r="AB38" s="745">
        <v>39.03</v>
      </c>
      <c r="AC38" s="745">
        <v>39.04</v>
      </c>
      <c r="AD38" s="745">
        <v>38.979999999999997</v>
      </c>
      <c r="AE38" s="745">
        <v>39.049999999999997</v>
      </c>
      <c r="AF38" s="745">
        <v>39.26</v>
      </c>
      <c r="AG38" s="745">
        <v>39.520000000000003</v>
      </c>
      <c r="AH38" s="745">
        <v>39.83</v>
      </c>
      <c r="AI38" s="745">
        <v>40.11</v>
      </c>
      <c r="AJ38" s="745">
        <v>40.409999999999997</v>
      </c>
      <c r="AK38" s="745">
        <v>40.72</v>
      </c>
      <c r="AL38" s="745">
        <v>41.08</v>
      </c>
      <c r="AM38" s="745">
        <v>41.45</v>
      </c>
      <c r="AN38" s="745">
        <v>41.67</v>
      </c>
      <c r="AO38" s="745">
        <v>41.84</v>
      </c>
      <c r="AP38" s="745">
        <v>42.05</v>
      </c>
      <c r="AQ38" s="745">
        <v>42.24</v>
      </c>
      <c r="AR38" s="745">
        <v>42.51</v>
      </c>
      <c r="AS38" s="745">
        <v>42.56</v>
      </c>
      <c r="AT38" s="745">
        <v>42.67</v>
      </c>
      <c r="AU38" s="745">
        <v>42.79</v>
      </c>
      <c r="AV38" s="745">
        <v>42.9</v>
      </c>
      <c r="AW38" s="745">
        <v>43.17</v>
      </c>
      <c r="AX38" s="745">
        <v>43.33</v>
      </c>
      <c r="AY38" s="745">
        <v>43.42</v>
      </c>
      <c r="AZ38" s="745">
        <v>43.49</v>
      </c>
      <c r="BA38" s="745">
        <v>43.58</v>
      </c>
      <c r="BB38" s="745">
        <v>43.71</v>
      </c>
      <c r="BC38" s="745">
        <v>43.83</v>
      </c>
      <c r="BD38" s="745">
        <v>44.01</v>
      </c>
      <c r="BE38" s="745">
        <v>44.22</v>
      </c>
      <c r="BF38" s="745">
        <v>44.45</v>
      </c>
      <c r="BG38" s="745">
        <v>44.6</v>
      </c>
      <c r="BH38" s="745">
        <v>44.88</v>
      </c>
      <c r="BI38" s="745">
        <v>45.07</v>
      </c>
      <c r="BJ38" s="745">
        <v>45.33</v>
      </c>
      <c r="BK38" s="745">
        <v>45.52</v>
      </c>
      <c r="BL38" s="745">
        <v>45.77</v>
      </c>
      <c r="BM38" s="745">
        <v>46</v>
      </c>
      <c r="BN38" s="745">
        <v>46.23</v>
      </c>
      <c r="BO38" s="745">
        <v>46.42</v>
      </c>
      <c r="BP38" s="745">
        <v>46.62</v>
      </c>
      <c r="BQ38" s="745">
        <v>46.82</v>
      </c>
      <c r="BR38" s="745">
        <v>47.01</v>
      </c>
      <c r="BS38" s="745">
        <v>47.19</v>
      </c>
      <c r="BT38" s="857">
        <v>47.36</v>
      </c>
      <c r="BU38" s="745">
        <v>47.51</v>
      </c>
      <c r="BV38" s="745">
        <v>47.71</v>
      </c>
      <c r="BW38" s="745">
        <v>47.87</v>
      </c>
      <c r="BX38" s="745">
        <v>48.05</v>
      </c>
      <c r="BY38" s="745">
        <v>48.21</v>
      </c>
      <c r="BZ38" s="745">
        <v>48.37</v>
      </c>
      <c r="CA38" s="745">
        <v>48.54</v>
      </c>
      <c r="CB38" s="745">
        <v>48.69</v>
      </c>
      <c r="CC38" s="745">
        <v>48.86</v>
      </c>
      <c r="CD38" s="745">
        <v>49.03</v>
      </c>
      <c r="CE38" s="745">
        <v>49.2</v>
      </c>
      <c r="CF38" s="745">
        <v>49.36</v>
      </c>
      <c r="CG38" s="745">
        <v>49.52</v>
      </c>
      <c r="CH38" s="745">
        <v>49.69</v>
      </c>
      <c r="CI38" s="745">
        <v>49.85</v>
      </c>
      <c r="CJ38" s="745">
        <v>50.01</v>
      </c>
      <c r="CK38" s="745">
        <v>50.17</v>
      </c>
      <c r="CL38" s="745">
        <v>50.33</v>
      </c>
      <c r="CM38" s="745">
        <v>50.48</v>
      </c>
      <c r="CN38" s="745">
        <v>50.64</v>
      </c>
      <c r="CO38" s="745">
        <v>50.8</v>
      </c>
      <c r="CP38" s="745">
        <v>50.95</v>
      </c>
      <c r="CQ38" s="745">
        <v>51.1</v>
      </c>
      <c r="CR38" s="745">
        <v>51.25</v>
      </c>
      <c r="CS38" s="745">
        <v>51.41</v>
      </c>
      <c r="CT38" s="745">
        <v>51.55</v>
      </c>
      <c r="CU38" s="745">
        <v>51.7</v>
      </c>
      <c r="CV38" s="745">
        <v>51.85</v>
      </c>
      <c r="CW38" s="745">
        <v>52</v>
      </c>
      <c r="CX38" s="745">
        <v>52.14</v>
      </c>
      <c r="CY38" s="745">
        <v>52.29</v>
      </c>
      <c r="CZ38" s="745">
        <v>52.43</v>
      </c>
      <c r="DA38" s="745">
        <v>52.57</v>
      </c>
      <c r="DB38" s="745">
        <v>52.71</v>
      </c>
      <c r="DC38" s="745">
        <v>52.85</v>
      </c>
      <c r="DD38" s="745">
        <v>52.99</v>
      </c>
      <c r="DE38" s="745">
        <v>53.13</v>
      </c>
      <c r="DF38" s="745">
        <v>53.26</v>
      </c>
      <c r="DG38" s="745">
        <v>53.4</v>
      </c>
      <c r="DH38" s="745">
        <v>53.53</v>
      </c>
      <c r="DI38" s="745">
        <v>53.67</v>
      </c>
      <c r="DJ38" s="745">
        <v>53.8</v>
      </c>
      <c r="DK38" s="745">
        <v>53.93</v>
      </c>
      <c r="DL38" s="745">
        <v>54.06</v>
      </c>
      <c r="DM38" s="745">
        <v>54.19</v>
      </c>
      <c r="DN38" s="745">
        <v>54.31</v>
      </c>
      <c r="DO38" s="745">
        <v>54.44</v>
      </c>
      <c r="DP38" s="745">
        <v>54.57</v>
      </c>
      <c r="DQ38" s="745">
        <v>54.69</v>
      </c>
      <c r="DR38" s="745">
        <v>54.81</v>
      </c>
    </row>
    <row r="39" spans="1:122">
      <c r="A39" s="912">
        <v>37</v>
      </c>
      <c r="B39" s="92"/>
      <c r="C39" s="92"/>
      <c r="D39" s="92"/>
      <c r="E39" s="92"/>
      <c r="F39" s="92"/>
      <c r="G39" s="92"/>
      <c r="H39" s="92"/>
      <c r="I39" s="92"/>
      <c r="J39" s="92"/>
      <c r="K39" s="92"/>
      <c r="L39" s="92"/>
      <c r="M39" s="92"/>
      <c r="N39" s="92"/>
      <c r="O39" s="92"/>
      <c r="P39" s="92"/>
      <c r="Q39" s="92"/>
      <c r="R39" s="92"/>
      <c r="S39" s="92"/>
      <c r="T39" s="92"/>
      <c r="U39" s="92"/>
      <c r="V39" s="745"/>
      <c r="W39" s="745">
        <v>37.229999999999997</v>
      </c>
      <c r="X39" s="745">
        <v>37.46</v>
      </c>
      <c r="Y39" s="745">
        <v>37.53</v>
      </c>
      <c r="Z39" s="745">
        <v>37.76</v>
      </c>
      <c r="AA39" s="745">
        <v>37.96</v>
      </c>
      <c r="AB39" s="745">
        <v>38.119999999999997</v>
      </c>
      <c r="AC39" s="745">
        <v>38.119999999999997</v>
      </c>
      <c r="AD39" s="745">
        <v>38.06</v>
      </c>
      <c r="AE39" s="745">
        <v>38.130000000000003</v>
      </c>
      <c r="AF39" s="745">
        <v>38.35</v>
      </c>
      <c r="AG39" s="745">
        <v>38.61</v>
      </c>
      <c r="AH39" s="745">
        <v>38.909999999999997</v>
      </c>
      <c r="AI39" s="745">
        <v>39.19</v>
      </c>
      <c r="AJ39" s="745">
        <v>39.49</v>
      </c>
      <c r="AK39" s="745">
        <v>39.81</v>
      </c>
      <c r="AL39" s="745">
        <v>40.18</v>
      </c>
      <c r="AM39" s="745">
        <v>40.53</v>
      </c>
      <c r="AN39" s="745">
        <v>40.76</v>
      </c>
      <c r="AO39" s="745">
        <v>40.93</v>
      </c>
      <c r="AP39" s="745">
        <v>41.14</v>
      </c>
      <c r="AQ39" s="745">
        <v>41.33</v>
      </c>
      <c r="AR39" s="745">
        <v>41.6</v>
      </c>
      <c r="AS39" s="745">
        <v>41.65</v>
      </c>
      <c r="AT39" s="745">
        <v>41.75</v>
      </c>
      <c r="AU39" s="745">
        <v>41.87</v>
      </c>
      <c r="AV39" s="745">
        <v>41.98</v>
      </c>
      <c r="AW39" s="745">
        <v>42.24</v>
      </c>
      <c r="AX39" s="745">
        <v>42.4</v>
      </c>
      <c r="AY39" s="745">
        <v>42.49</v>
      </c>
      <c r="AZ39" s="745">
        <v>42.56</v>
      </c>
      <c r="BA39" s="745">
        <v>42.65</v>
      </c>
      <c r="BB39" s="745">
        <v>42.78</v>
      </c>
      <c r="BC39" s="745">
        <v>42.91</v>
      </c>
      <c r="BD39" s="745">
        <v>43.09</v>
      </c>
      <c r="BE39" s="745">
        <v>43.31</v>
      </c>
      <c r="BF39" s="745">
        <v>43.53</v>
      </c>
      <c r="BG39" s="745">
        <v>43.69</v>
      </c>
      <c r="BH39" s="745">
        <v>43.96</v>
      </c>
      <c r="BI39" s="745">
        <v>44.15</v>
      </c>
      <c r="BJ39" s="745">
        <v>44.4</v>
      </c>
      <c r="BK39" s="745">
        <v>44.58</v>
      </c>
      <c r="BL39" s="745">
        <v>44.83</v>
      </c>
      <c r="BM39" s="745">
        <v>45.07</v>
      </c>
      <c r="BN39" s="745">
        <v>45.28</v>
      </c>
      <c r="BO39" s="745">
        <v>45.48</v>
      </c>
      <c r="BP39" s="745">
        <v>45.68</v>
      </c>
      <c r="BQ39" s="745">
        <v>45.87</v>
      </c>
      <c r="BR39" s="745">
        <v>46.06</v>
      </c>
      <c r="BS39" s="745">
        <v>46.23</v>
      </c>
      <c r="BT39" s="857">
        <v>46.41</v>
      </c>
      <c r="BU39" s="745">
        <v>46.55</v>
      </c>
      <c r="BV39" s="745">
        <v>46.75</v>
      </c>
      <c r="BW39" s="745">
        <v>46.92</v>
      </c>
      <c r="BX39" s="745">
        <v>47.09</v>
      </c>
      <c r="BY39" s="745">
        <v>47.25</v>
      </c>
      <c r="BZ39" s="745">
        <v>47.41</v>
      </c>
      <c r="CA39" s="745">
        <v>47.58</v>
      </c>
      <c r="CB39" s="745">
        <v>47.73</v>
      </c>
      <c r="CC39" s="745">
        <v>47.9</v>
      </c>
      <c r="CD39" s="745">
        <v>48.07</v>
      </c>
      <c r="CE39" s="745">
        <v>48.24</v>
      </c>
      <c r="CF39" s="745">
        <v>48.4</v>
      </c>
      <c r="CG39" s="745">
        <v>48.56</v>
      </c>
      <c r="CH39" s="745">
        <v>48.73</v>
      </c>
      <c r="CI39" s="745">
        <v>48.89</v>
      </c>
      <c r="CJ39" s="745">
        <v>49.05</v>
      </c>
      <c r="CK39" s="745">
        <v>49.21</v>
      </c>
      <c r="CL39" s="745">
        <v>49.36</v>
      </c>
      <c r="CM39" s="745">
        <v>49.52</v>
      </c>
      <c r="CN39" s="745">
        <v>49.68</v>
      </c>
      <c r="CO39" s="745">
        <v>49.83</v>
      </c>
      <c r="CP39" s="745">
        <v>49.98</v>
      </c>
      <c r="CQ39" s="745">
        <v>50.14</v>
      </c>
      <c r="CR39" s="745">
        <v>50.29</v>
      </c>
      <c r="CS39" s="745">
        <v>50.44</v>
      </c>
      <c r="CT39" s="745">
        <v>50.59</v>
      </c>
      <c r="CU39" s="745">
        <v>50.73</v>
      </c>
      <c r="CV39" s="745">
        <v>50.88</v>
      </c>
      <c r="CW39" s="745">
        <v>51.03</v>
      </c>
      <c r="CX39" s="745">
        <v>51.17</v>
      </c>
      <c r="CY39" s="745">
        <v>51.31</v>
      </c>
      <c r="CZ39" s="745">
        <v>51.46</v>
      </c>
      <c r="DA39" s="745">
        <v>51.6</v>
      </c>
      <c r="DB39" s="745">
        <v>51.74</v>
      </c>
      <c r="DC39" s="745">
        <v>51.88</v>
      </c>
      <c r="DD39" s="745">
        <v>52.01</v>
      </c>
      <c r="DE39" s="745">
        <v>52.15</v>
      </c>
      <c r="DF39" s="745">
        <v>52.29</v>
      </c>
      <c r="DG39" s="745">
        <v>52.42</v>
      </c>
      <c r="DH39" s="745">
        <v>52.56</v>
      </c>
      <c r="DI39" s="745">
        <v>52.69</v>
      </c>
      <c r="DJ39" s="745">
        <v>52.82</v>
      </c>
      <c r="DK39" s="745">
        <v>52.95</v>
      </c>
      <c r="DL39" s="745">
        <v>53.08</v>
      </c>
      <c r="DM39" s="745">
        <v>53.21</v>
      </c>
      <c r="DN39" s="745">
        <v>53.34</v>
      </c>
      <c r="DO39" s="745">
        <v>53.46</v>
      </c>
      <c r="DP39" s="745">
        <v>53.59</v>
      </c>
      <c r="DQ39" s="745">
        <v>53.71</v>
      </c>
      <c r="DR39" s="745">
        <v>53.83</v>
      </c>
    </row>
    <row r="40" spans="1:122">
      <c r="A40" s="912">
        <v>38</v>
      </c>
      <c r="B40" s="92"/>
      <c r="C40" s="92"/>
      <c r="D40" s="92"/>
      <c r="E40" s="92"/>
      <c r="F40" s="92"/>
      <c r="G40" s="92"/>
      <c r="H40" s="92"/>
      <c r="I40" s="92"/>
      <c r="J40" s="92"/>
      <c r="K40" s="92"/>
      <c r="L40" s="92"/>
      <c r="M40" s="92"/>
      <c r="N40" s="92"/>
      <c r="O40" s="92"/>
      <c r="P40" s="92"/>
      <c r="Q40" s="92"/>
      <c r="R40" s="92"/>
      <c r="S40" s="92"/>
      <c r="T40" s="92"/>
      <c r="U40" s="92"/>
      <c r="V40" s="745"/>
      <c r="W40" s="745">
        <v>36.32</v>
      </c>
      <c r="X40" s="745">
        <v>36.549999999999997</v>
      </c>
      <c r="Y40" s="745">
        <v>36.619999999999997</v>
      </c>
      <c r="Z40" s="745">
        <v>36.840000000000003</v>
      </c>
      <c r="AA40" s="745">
        <v>37.049999999999997</v>
      </c>
      <c r="AB40" s="745">
        <v>37.21</v>
      </c>
      <c r="AC40" s="745">
        <v>37.21</v>
      </c>
      <c r="AD40" s="745">
        <v>37.15</v>
      </c>
      <c r="AE40" s="745">
        <v>37.22</v>
      </c>
      <c r="AF40" s="745">
        <v>37.44</v>
      </c>
      <c r="AG40" s="745">
        <v>37.700000000000003</v>
      </c>
      <c r="AH40" s="745">
        <v>38.01</v>
      </c>
      <c r="AI40" s="745">
        <v>38.29</v>
      </c>
      <c r="AJ40" s="745">
        <v>38.590000000000003</v>
      </c>
      <c r="AK40" s="745">
        <v>38.9</v>
      </c>
      <c r="AL40" s="745">
        <v>39.270000000000003</v>
      </c>
      <c r="AM40" s="745">
        <v>39.619999999999997</v>
      </c>
      <c r="AN40" s="745">
        <v>39.85</v>
      </c>
      <c r="AO40" s="745">
        <v>40.03</v>
      </c>
      <c r="AP40" s="745">
        <v>40.229999999999997</v>
      </c>
      <c r="AQ40" s="745">
        <v>40.42</v>
      </c>
      <c r="AR40" s="745">
        <v>40.69</v>
      </c>
      <c r="AS40" s="745">
        <v>40.729999999999997</v>
      </c>
      <c r="AT40" s="745">
        <v>40.840000000000003</v>
      </c>
      <c r="AU40" s="745">
        <v>40.950000000000003</v>
      </c>
      <c r="AV40" s="745">
        <v>41.06</v>
      </c>
      <c r="AW40" s="745">
        <v>41.32</v>
      </c>
      <c r="AX40" s="745">
        <v>41.47</v>
      </c>
      <c r="AY40" s="745">
        <v>41.57</v>
      </c>
      <c r="AZ40" s="745">
        <v>41.64</v>
      </c>
      <c r="BA40" s="745">
        <v>41.73</v>
      </c>
      <c r="BB40" s="745">
        <v>41.87</v>
      </c>
      <c r="BC40" s="745">
        <v>42</v>
      </c>
      <c r="BD40" s="745">
        <v>42.18</v>
      </c>
      <c r="BE40" s="745">
        <v>42.39</v>
      </c>
      <c r="BF40" s="745">
        <v>42.61</v>
      </c>
      <c r="BG40" s="745">
        <v>42.78</v>
      </c>
      <c r="BH40" s="745">
        <v>43.04</v>
      </c>
      <c r="BI40" s="745">
        <v>43.23</v>
      </c>
      <c r="BJ40" s="745">
        <v>43.46</v>
      </c>
      <c r="BK40" s="745">
        <v>43.65</v>
      </c>
      <c r="BL40" s="745">
        <v>43.9</v>
      </c>
      <c r="BM40" s="745">
        <v>44.13</v>
      </c>
      <c r="BN40" s="745">
        <v>44.34</v>
      </c>
      <c r="BO40" s="745">
        <v>44.53</v>
      </c>
      <c r="BP40" s="745">
        <v>44.73</v>
      </c>
      <c r="BQ40" s="745">
        <v>44.92</v>
      </c>
      <c r="BR40" s="745">
        <v>45.11</v>
      </c>
      <c r="BS40" s="745">
        <v>45.28</v>
      </c>
      <c r="BT40" s="857">
        <v>45.45</v>
      </c>
      <c r="BU40" s="745">
        <v>45.6</v>
      </c>
      <c r="BV40" s="745">
        <v>45.79</v>
      </c>
      <c r="BW40" s="745">
        <v>45.96</v>
      </c>
      <c r="BX40" s="745">
        <v>46.13</v>
      </c>
      <c r="BY40" s="745">
        <v>46.29</v>
      </c>
      <c r="BZ40" s="745">
        <v>46.45</v>
      </c>
      <c r="CA40" s="745">
        <v>46.62</v>
      </c>
      <c r="CB40" s="745">
        <v>46.78</v>
      </c>
      <c r="CC40" s="745">
        <v>46.95</v>
      </c>
      <c r="CD40" s="745">
        <v>47.12</v>
      </c>
      <c r="CE40" s="745">
        <v>47.28</v>
      </c>
      <c r="CF40" s="745">
        <v>47.44</v>
      </c>
      <c r="CG40" s="745">
        <v>47.61</v>
      </c>
      <c r="CH40" s="745">
        <v>47.77</v>
      </c>
      <c r="CI40" s="745">
        <v>47.93</v>
      </c>
      <c r="CJ40" s="745">
        <v>48.09</v>
      </c>
      <c r="CK40" s="745">
        <v>48.25</v>
      </c>
      <c r="CL40" s="745">
        <v>48.4</v>
      </c>
      <c r="CM40" s="745">
        <v>48.56</v>
      </c>
      <c r="CN40" s="745">
        <v>48.71</v>
      </c>
      <c r="CO40" s="745">
        <v>48.87</v>
      </c>
      <c r="CP40" s="745">
        <v>49.02</v>
      </c>
      <c r="CQ40" s="745">
        <v>49.17</v>
      </c>
      <c r="CR40" s="745">
        <v>49.32</v>
      </c>
      <c r="CS40" s="745">
        <v>49.47</v>
      </c>
      <c r="CT40" s="745">
        <v>49.62</v>
      </c>
      <c r="CU40" s="745">
        <v>49.77</v>
      </c>
      <c r="CV40" s="745">
        <v>49.91</v>
      </c>
      <c r="CW40" s="745">
        <v>50.06</v>
      </c>
      <c r="CX40" s="745">
        <v>50.2</v>
      </c>
      <c r="CY40" s="745">
        <v>50.34</v>
      </c>
      <c r="CZ40" s="745">
        <v>50.49</v>
      </c>
      <c r="DA40" s="745">
        <v>50.63</v>
      </c>
      <c r="DB40" s="745">
        <v>50.77</v>
      </c>
      <c r="DC40" s="745">
        <v>50.9</v>
      </c>
      <c r="DD40" s="745">
        <v>51.04</v>
      </c>
      <c r="DE40" s="745">
        <v>51.18</v>
      </c>
      <c r="DF40" s="745">
        <v>51.31</v>
      </c>
      <c r="DG40" s="745">
        <v>51.45</v>
      </c>
      <c r="DH40" s="745">
        <v>51.58</v>
      </c>
      <c r="DI40" s="745">
        <v>51.71</v>
      </c>
      <c r="DJ40" s="745">
        <v>51.84</v>
      </c>
      <c r="DK40" s="745">
        <v>51.97</v>
      </c>
      <c r="DL40" s="745">
        <v>52.1</v>
      </c>
      <c r="DM40" s="745">
        <v>52.23</v>
      </c>
      <c r="DN40" s="745">
        <v>52.36</v>
      </c>
      <c r="DO40" s="745">
        <v>52.48</v>
      </c>
      <c r="DP40" s="745">
        <v>52.61</v>
      </c>
      <c r="DQ40" s="745">
        <v>52.73</v>
      </c>
      <c r="DR40" s="745">
        <v>52.85</v>
      </c>
    </row>
    <row r="41" spans="1:122">
      <c r="A41" s="912">
        <v>39</v>
      </c>
      <c r="B41" s="92"/>
      <c r="C41" s="92"/>
      <c r="D41" s="92"/>
      <c r="E41" s="92"/>
      <c r="F41" s="92"/>
      <c r="G41" s="92"/>
      <c r="H41" s="92"/>
      <c r="I41" s="92"/>
      <c r="J41" s="92"/>
      <c r="K41" s="92"/>
      <c r="L41" s="92"/>
      <c r="M41" s="92"/>
      <c r="N41" s="92"/>
      <c r="O41" s="92"/>
      <c r="P41" s="92"/>
      <c r="Q41" s="92"/>
      <c r="R41" s="92"/>
      <c r="S41" s="92"/>
      <c r="T41" s="92"/>
      <c r="U41" s="92"/>
      <c r="V41" s="745"/>
      <c r="W41" s="745">
        <v>35.409999999999997</v>
      </c>
      <c r="X41" s="745">
        <v>35.64</v>
      </c>
      <c r="Y41" s="745">
        <v>35.71</v>
      </c>
      <c r="Z41" s="745">
        <v>35.93</v>
      </c>
      <c r="AA41" s="745">
        <v>36.14</v>
      </c>
      <c r="AB41" s="745">
        <v>36.299999999999997</v>
      </c>
      <c r="AC41" s="745">
        <v>36.299999999999997</v>
      </c>
      <c r="AD41" s="745">
        <v>36.25</v>
      </c>
      <c r="AE41" s="745">
        <v>36.32</v>
      </c>
      <c r="AF41" s="745">
        <v>36.53</v>
      </c>
      <c r="AG41" s="745">
        <v>36.799999999999997</v>
      </c>
      <c r="AH41" s="745">
        <v>37.11</v>
      </c>
      <c r="AI41" s="745">
        <v>37.39</v>
      </c>
      <c r="AJ41" s="745">
        <v>37.69</v>
      </c>
      <c r="AK41" s="745">
        <v>38</v>
      </c>
      <c r="AL41" s="745">
        <v>38.369999999999997</v>
      </c>
      <c r="AM41" s="745">
        <v>38.72</v>
      </c>
      <c r="AN41" s="745">
        <v>38.950000000000003</v>
      </c>
      <c r="AO41" s="745">
        <v>39.119999999999997</v>
      </c>
      <c r="AP41" s="745">
        <v>39.33</v>
      </c>
      <c r="AQ41" s="745">
        <v>39.520000000000003</v>
      </c>
      <c r="AR41" s="745">
        <v>39.78</v>
      </c>
      <c r="AS41" s="745">
        <v>39.83</v>
      </c>
      <c r="AT41" s="745">
        <v>39.93</v>
      </c>
      <c r="AU41" s="745">
        <v>40.04</v>
      </c>
      <c r="AV41" s="745">
        <v>40.15</v>
      </c>
      <c r="AW41" s="745">
        <v>40.4</v>
      </c>
      <c r="AX41" s="745">
        <v>40.549999999999997</v>
      </c>
      <c r="AY41" s="745">
        <v>40.65</v>
      </c>
      <c r="AZ41" s="745">
        <v>40.72</v>
      </c>
      <c r="BA41" s="745">
        <v>40.81</v>
      </c>
      <c r="BB41" s="745">
        <v>40.96</v>
      </c>
      <c r="BC41" s="745">
        <v>41.1</v>
      </c>
      <c r="BD41" s="745">
        <v>41.28</v>
      </c>
      <c r="BE41" s="745">
        <v>41.48</v>
      </c>
      <c r="BF41" s="745">
        <v>41.7</v>
      </c>
      <c r="BG41" s="745">
        <v>41.87</v>
      </c>
      <c r="BH41" s="745">
        <v>42.12</v>
      </c>
      <c r="BI41" s="745">
        <v>42.3</v>
      </c>
      <c r="BJ41" s="745">
        <v>42.53</v>
      </c>
      <c r="BK41" s="745">
        <v>42.72</v>
      </c>
      <c r="BL41" s="745">
        <v>42.97</v>
      </c>
      <c r="BM41" s="745">
        <v>43.19</v>
      </c>
      <c r="BN41" s="745">
        <v>43.4</v>
      </c>
      <c r="BO41" s="745">
        <v>43.59</v>
      </c>
      <c r="BP41" s="745">
        <v>43.79</v>
      </c>
      <c r="BQ41" s="745">
        <v>43.97</v>
      </c>
      <c r="BR41" s="745">
        <v>44.16</v>
      </c>
      <c r="BS41" s="745">
        <v>44.33</v>
      </c>
      <c r="BT41" s="857">
        <v>44.5</v>
      </c>
      <c r="BU41" s="745">
        <v>44.65</v>
      </c>
      <c r="BV41" s="745">
        <v>44.84</v>
      </c>
      <c r="BW41" s="745">
        <v>45.01</v>
      </c>
      <c r="BX41" s="745">
        <v>45.18</v>
      </c>
      <c r="BY41" s="745">
        <v>45.34</v>
      </c>
      <c r="BZ41" s="745">
        <v>45.5</v>
      </c>
      <c r="CA41" s="745">
        <v>45.67</v>
      </c>
      <c r="CB41" s="745">
        <v>45.83</v>
      </c>
      <c r="CC41" s="745">
        <v>46</v>
      </c>
      <c r="CD41" s="745">
        <v>46.16</v>
      </c>
      <c r="CE41" s="745">
        <v>46.33</v>
      </c>
      <c r="CF41" s="745">
        <v>46.49</v>
      </c>
      <c r="CG41" s="745">
        <v>46.65</v>
      </c>
      <c r="CH41" s="745">
        <v>46.81</v>
      </c>
      <c r="CI41" s="745">
        <v>46.97</v>
      </c>
      <c r="CJ41" s="745">
        <v>47.13</v>
      </c>
      <c r="CK41" s="745">
        <v>47.29</v>
      </c>
      <c r="CL41" s="745">
        <v>47.44</v>
      </c>
      <c r="CM41" s="745">
        <v>47.6</v>
      </c>
      <c r="CN41" s="745">
        <v>47.75</v>
      </c>
      <c r="CO41" s="745">
        <v>47.91</v>
      </c>
      <c r="CP41" s="745">
        <v>48.06</v>
      </c>
      <c r="CQ41" s="745">
        <v>48.21</v>
      </c>
      <c r="CR41" s="745">
        <v>48.36</v>
      </c>
      <c r="CS41" s="745">
        <v>48.51</v>
      </c>
      <c r="CT41" s="745">
        <v>48.65</v>
      </c>
      <c r="CU41" s="745">
        <v>48.8</v>
      </c>
      <c r="CV41" s="745">
        <v>48.95</v>
      </c>
      <c r="CW41" s="745">
        <v>49.09</v>
      </c>
      <c r="CX41" s="745">
        <v>49.23</v>
      </c>
      <c r="CY41" s="745">
        <v>49.38</v>
      </c>
      <c r="CZ41" s="745">
        <v>49.52</v>
      </c>
      <c r="DA41" s="745">
        <v>49.66</v>
      </c>
      <c r="DB41" s="745">
        <v>49.8</v>
      </c>
      <c r="DC41" s="745">
        <v>49.93</v>
      </c>
      <c r="DD41" s="745">
        <v>50.07</v>
      </c>
      <c r="DE41" s="745">
        <v>50.21</v>
      </c>
      <c r="DF41" s="745">
        <v>50.34</v>
      </c>
      <c r="DG41" s="745">
        <v>50.47</v>
      </c>
      <c r="DH41" s="745">
        <v>50.61</v>
      </c>
      <c r="DI41" s="745">
        <v>50.74</v>
      </c>
      <c r="DJ41" s="745">
        <v>50.87</v>
      </c>
      <c r="DK41" s="745">
        <v>51</v>
      </c>
      <c r="DL41" s="745">
        <v>51.13</v>
      </c>
      <c r="DM41" s="745">
        <v>51.25</v>
      </c>
      <c r="DN41" s="745">
        <v>51.38</v>
      </c>
      <c r="DO41" s="745">
        <v>51.51</v>
      </c>
      <c r="DP41" s="745">
        <v>51.63</v>
      </c>
      <c r="DQ41" s="745">
        <v>51.75</v>
      </c>
      <c r="DR41" s="745">
        <v>51.88</v>
      </c>
    </row>
    <row r="42" spans="1:122">
      <c r="A42" s="912">
        <v>40</v>
      </c>
      <c r="B42" s="92"/>
      <c r="C42" s="92"/>
      <c r="D42" s="92"/>
      <c r="E42" s="92"/>
      <c r="F42" s="92"/>
      <c r="G42" s="92"/>
      <c r="H42" s="92"/>
      <c r="I42" s="92"/>
      <c r="J42" s="92"/>
      <c r="K42" s="92"/>
      <c r="L42" s="92"/>
      <c r="M42" s="92"/>
      <c r="N42" s="92"/>
      <c r="O42" s="92"/>
      <c r="P42" s="92"/>
      <c r="Q42" s="92"/>
      <c r="R42" s="92"/>
      <c r="S42" s="92"/>
      <c r="T42" s="92"/>
      <c r="U42" s="92"/>
      <c r="V42" s="745"/>
      <c r="W42" s="745">
        <v>34.51</v>
      </c>
      <c r="X42" s="745">
        <v>34.729999999999997</v>
      </c>
      <c r="Y42" s="745">
        <v>34.799999999999997</v>
      </c>
      <c r="Z42" s="745">
        <v>35.03</v>
      </c>
      <c r="AA42" s="745">
        <v>35.24</v>
      </c>
      <c r="AB42" s="745">
        <v>35.39</v>
      </c>
      <c r="AC42" s="745">
        <v>35.4</v>
      </c>
      <c r="AD42" s="745">
        <v>35.340000000000003</v>
      </c>
      <c r="AE42" s="745">
        <v>35.42</v>
      </c>
      <c r="AF42" s="745">
        <v>35.630000000000003</v>
      </c>
      <c r="AG42" s="745">
        <v>35.9</v>
      </c>
      <c r="AH42" s="745">
        <v>36.22</v>
      </c>
      <c r="AI42" s="745">
        <v>36.49</v>
      </c>
      <c r="AJ42" s="745">
        <v>36.799999999999997</v>
      </c>
      <c r="AK42" s="745">
        <v>37.11</v>
      </c>
      <c r="AL42" s="745">
        <v>37.47</v>
      </c>
      <c r="AM42" s="745">
        <v>37.83</v>
      </c>
      <c r="AN42" s="745">
        <v>38.049999999999997</v>
      </c>
      <c r="AO42" s="745">
        <v>38.229999999999997</v>
      </c>
      <c r="AP42" s="745">
        <v>38.43</v>
      </c>
      <c r="AQ42" s="745">
        <v>38.619999999999997</v>
      </c>
      <c r="AR42" s="745">
        <v>38.880000000000003</v>
      </c>
      <c r="AS42" s="745">
        <v>38.92</v>
      </c>
      <c r="AT42" s="745">
        <v>39.020000000000003</v>
      </c>
      <c r="AU42" s="745">
        <v>39.130000000000003</v>
      </c>
      <c r="AV42" s="745">
        <v>39.24</v>
      </c>
      <c r="AW42" s="745">
        <v>39.49</v>
      </c>
      <c r="AX42" s="745">
        <v>39.64</v>
      </c>
      <c r="AY42" s="745">
        <v>39.729999999999997</v>
      </c>
      <c r="AZ42" s="745">
        <v>39.81</v>
      </c>
      <c r="BA42" s="745">
        <v>39.909999999999997</v>
      </c>
      <c r="BB42" s="745">
        <v>40.06</v>
      </c>
      <c r="BC42" s="745">
        <v>40.200000000000003</v>
      </c>
      <c r="BD42" s="745">
        <v>40.369999999999997</v>
      </c>
      <c r="BE42" s="745">
        <v>40.58</v>
      </c>
      <c r="BF42" s="745">
        <v>40.78</v>
      </c>
      <c r="BG42" s="745">
        <v>40.950000000000003</v>
      </c>
      <c r="BH42" s="745">
        <v>41.2</v>
      </c>
      <c r="BI42" s="745">
        <v>41.38</v>
      </c>
      <c r="BJ42" s="745">
        <v>41.61</v>
      </c>
      <c r="BK42" s="745">
        <v>41.79</v>
      </c>
      <c r="BL42" s="745">
        <v>42.03</v>
      </c>
      <c r="BM42" s="745">
        <v>42.26</v>
      </c>
      <c r="BN42" s="745">
        <v>42.47</v>
      </c>
      <c r="BO42" s="745">
        <v>42.65</v>
      </c>
      <c r="BP42" s="745">
        <v>42.85</v>
      </c>
      <c r="BQ42" s="745">
        <v>43.03</v>
      </c>
      <c r="BR42" s="745">
        <v>43.21</v>
      </c>
      <c r="BS42" s="745">
        <v>43.38</v>
      </c>
      <c r="BT42" s="857">
        <v>43.55</v>
      </c>
      <c r="BU42" s="745">
        <v>43.7</v>
      </c>
      <c r="BV42" s="745">
        <v>43.89</v>
      </c>
      <c r="BW42" s="745">
        <v>44.06</v>
      </c>
      <c r="BX42" s="745">
        <v>44.23</v>
      </c>
      <c r="BY42" s="745">
        <v>44.39</v>
      </c>
      <c r="BZ42" s="745">
        <v>44.55</v>
      </c>
      <c r="CA42" s="745">
        <v>44.72</v>
      </c>
      <c r="CB42" s="745">
        <v>44.88</v>
      </c>
      <c r="CC42" s="745">
        <v>45.05</v>
      </c>
      <c r="CD42" s="745">
        <v>45.21</v>
      </c>
      <c r="CE42" s="745">
        <v>45.38</v>
      </c>
      <c r="CF42" s="745">
        <v>45.54</v>
      </c>
      <c r="CG42" s="745">
        <v>45.7</v>
      </c>
      <c r="CH42" s="745">
        <v>45.86</v>
      </c>
      <c r="CI42" s="745">
        <v>46.02</v>
      </c>
      <c r="CJ42" s="745">
        <v>46.17</v>
      </c>
      <c r="CK42" s="745">
        <v>46.33</v>
      </c>
      <c r="CL42" s="745">
        <v>46.49</v>
      </c>
      <c r="CM42" s="745">
        <v>46.64</v>
      </c>
      <c r="CN42" s="745">
        <v>46.79</v>
      </c>
      <c r="CO42" s="745">
        <v>46.95</v>
      </c>
      <c r="CP42" s="745">
        <v>47.1</v>
      </c>
      <c r="CQ42" s="745">
        <v>47.25</v>
      </c>
      <c r="CR42" s="745">
        <v>47.4</v>
      </c>
      <c r="CS42" s="745">
        <v>47.54</v>
      </c>
      <c r="CT42" s="745">
        <v>47.69</v>
      </c>
      <c r="CU42" s="745">
        <v>47.84</v>
      </c>
      <c r="CV42" s="745">
        <v>47.98</v>
      </c>
      <c r="CW42" s="745">
        <v>48.12</v>
      </c>
      <c r="CX42" s="745">
        <v>48.27</v>
      </c>
      <c r="CY42" s="745">
        <v>48.41</v>
      </c>
      <c r="CZ42" s="745">
        <v>48.55</v>
      </c>
      <c r="DA42" s="745">
        <v>48.69</v>
      </c>
      <c r="DB42" s="745">
        <v>48.83</v>
      </c>
      <c r="DC42" s="745">
        <v>48.96</v>
      </c>
      <c r="DD42" s="745">
        <v>49.1</v>
      </c>
      <c r="DE42" s="745">
        <v>49.24</v>
      </c>
      <c r="DF42" s="745">
        <v>49.37</v>
      </c>
      <c r="DG42" s="745">
        <v>49.5</v>
      </c>
      <c r="DH42" s="745">
        <v>49.63</v>
      </c>
      <c r="DI42" s="745">
        <v>49.77</v>
      </c>
      <c r="DJ42" s="745">
        <v>49.9</v>
      </c>
      <c r="DK42" s="745">
        <v>50.02</v>
      </c>
      <c r="DL42" s="745">
        <v>50.15</v>
      </c>
      <c r="DM42" s="745">
        <v>50.28</v>
      </c>
      <c r="DN42" s="745">
        <v>50.4</v>
      </c>
      <c r="DO42" s="745">
        <v>50.53</v>
      </c>
      <c r="DP42" s="745">
        <v>50.65</v>
      </c>
      <c r="DQ42" s="745">
        <v>50.78</v>
      </c>
      <c r="DR42" s="745">
        <v>50.9</v>
      </c>
    </row>
    <row r="43" spans="1:122">
      <c r="A43" s="912">
        <v>41</v>
      </c>
      <c r="B43" s="92"/>
      <c r="C43" s="92"/>
      <c r="D43" s="92"/>
      <c r="E43" s="92"/>
      <c r="F43" s="92"/>
      <c r="G43" s="92"/>
      <c r="H43" s="92"/>
      <c r="I43" s="92"/>
      <c r="J43" s="92"/>
      <c r="K43" s="92"/>
      <c r="L43" s="92"/>
      <c r="M43" s="92"/>
      <c r="N43" s="92"/>
      <c r="O43" s="92"/>
      <c r="P43" s="92"/>
      <c r="Q43" s="92"/>
      <c r="R43" s="92"/>
      <c r="S43" s="92"/>
      <c r="T43" s="92"/>
      <c r="U43" s="92"/>
      <c r="V43" s="745"/>
      <c r="W43" s="745">
        <v>33.6</v>
      </c>
      <c r="X43" s="745">
        <v>33.83</v>
      </c>
      <c r="Y43" s="745">
        <v>33.9</v>
      </c>
      <c r="Z43" s="745">
        <v>34.130000000000003</v>
      </c>
      <c r="AA43" s="745">
        <v>34.340000000000003</v>
      </c>
      <c r="AB43" s="745">
        <v>34.5</v>
      </c>
      <c r="AC43" s="745">
        <v>34.5</v>
      </c>
      <c r="AD43" s="745">
        <v>34.450000000000003</v>
      </c>
      <c r="AE43" s="745">
        <v>34.53</v>
      </c>
      <c r="AF43" s="745">
        <v>34.75</v>
      </c>
      <c r="AG43" s="745">
        <v>35.01</v>
      </c>
      <c r="AH43" s="745">
        <v>35.32</v>
      </c>
      <c r="AI43" s="745">
        <v>35.6</v>
      </c>
      <c r="AJ43" s="745">
        <v>35.9</v>
      </c>
      <c r="AK43" s="745">
        <v>36.22</v>
      </c>
      <c r="AL43" s="745">
        <v>36.590000000000003</v>
      </c>
      <c r="AM43" s="745">
        <v>36.93</v>
      </c>
      <c r="AN43" s="745">
        <v>37.159999999999997</v>
      </c>
      <c r="AO43" s="745">
        <v>37.340000000000003</v>
      </c>
      <c r="AP43" s="745">
        <v>37.54</v>
      </c>
      <c r="AQ43" s="745">
        <v>37.729999999999997</v>
      </c>
      <c r="AR43" s="745">
        <v>37.979999999999997</v>
      </c>
      <c r="AS43" s="745">
        <v>38.020000000000003</v>
      </c>
      <c r="AT43" s="745">
        <v>38.119999999999997</v>
      </c>
      <c r="AU43" s="745">
        <v>38.22</v>
      </c>
      <c r="AV43" s="745">
        <v>38.33</v>
      </c>
      <c r="AW43" s="745">
        <v>38.58</v>
      </c>
      <c r="AX43" s="745">
        <v>38.729999999999997</v>
      </c>
      <c r="AY43" s="745">
        <v>38.82</v>
      </c>
      <c r="AZ43" s="745">
        <v>38.909999999999997</v>
      </c>
      <c r="BA43" s="745">
        <v>39.01</v>
      </c>
      <c r="BB43" s="745">
        <v>39.159999999999997</v>
      </c>
      <c r="BC43" s="745">
        <v>39.299999999999997</v>
      </c>
      <c r="BD43" s="745">
        <v>39.47</v>
      </c>
      <c r="BE43" s="745">
        <v>39.67</v>
      </c>
      <c r="BF43" s="745">
        <v>39.869999999999997</v>
      </c>
      <c r="BG43" s="745">
        <v>40.04</v>
      </c>
      <c r="BH43" s="745">
        <v>40.28</v>
      </c>
      <c r="BI43" s="745">
        <v>40.46</v>
      </c>
      <c r="BJ43" s="745">
        <v>40.69</v>
      </c>
      <c r="BK43" s="745">
        <v>40.869999999999997</v>
      </c>
      <c r="BL43" s="745">
        <v>41.1</v>
      </c>
      <c r="BM43" s="745">
        <v>41.32</v>
      </c>
      <c r="BN43" s="745">
        <v>41.53</v>
      </c>
      <c r="BO43" s="745">
        <v>41.72</v>
      </c>
      <c r="BP43" s="745">
        <v>41.91</v>
      </c>
      <c r="BQ43" s="745">
        <v>42.08</v>
      </c>
      <c r="BR43" s="745">
        <v>42.27</v>
      </c>
      <c r="BS43" s="745">
        <v>42.44</v>
      </c>
      <c r="BT43" s="857">
        <v>42.61</v>
      </c>
      <c r="BU43" s="745">
        <v>42.76</v>
      </c>
      <c r="BV43" s="745">
        <v>42.94</v>
      </c>
      <c r="BW43" s="745">
        <v>43.11</v>
      </c>
      <c r="BX43" s="745">
        <v>43.28</v>
      </c>
      <c r="BY43" s="745">
        <v>43.44</v>
      </c>
      <c r="BZ43" s="745">
        <v>43.6</v>
      </c>
      <c r="CA43" s="745">
        <v>43.77</v>
      </c>
      <c r="CB43" s="745">
        <v>43.94</v>
      </c>
      <c r="CC43" s="745">
        <v>44.1</v>
      </c>
      <c r="CD43" s="745">
        <v>44.26</v>
      </c>
      <c r="CE43" s="745">
        <v>44.43</v>
      </c>
      <c r="CF43" s="745">
        <v>44.59</v>
      </c>
      <c r="CG43" s="745">
        <v>44.75</v>
      </c>
      <c r="CH43" s="745">
        <v>44.91</v>
      </c>
      <c r="CI43" s="745">
        <v>45.06</v>
      </c>
      <c r="CJ43" s="745">
        <v>45.22</v>
      </c>
      <c r="CK43" s="745">
        <v>45.38</v>
      </c>
      <c r="CL43" s="745">
        <v>45.53</v>
      </c>
      <c r="CM43" s="745">
        <v>45.68</v>
      </c>
      <c r="CN43" s="745">
        <v>45.84</v>
      </c>
      <c r="CO43" s="745">
        <v>45.99</v>
      </c>
      <c r="CP43" s="745">
        <v>46.14</v>
      </c>
      <c r="CQ43" s="745">
        <v>46.29</v>
      </c>
      <c r="CR43" s="745">
        <v>46.44</v>
      </c>
      <c r="CS43" s="745">
        <v>46.58</v>
      </c>
      <c r="CT43" s="745">
        <v>46.73</v>
      </c>
      <c r="CU43" s="745">
        <v>46.87</v>
      </c>
      <c r="CV43" s="745">
        <v>47.02</v>
      </c>
      <c r="CW43" s="745">
        <v>47.16</v>
      </c>
      <c r="CX43" s="745">
        <v>47.3</v>
      </c>
      <c r="CY43" s="745">
        <v>47.44</v>
      </c>
      <c r="CZ43" s="745">
        <v>47.58</v>
      </c>
      <c r="DA43" s="745">
        <v>47.72</v>
      </c>
      <c r="DB43" s="745">
        <v>47.86</v>
      </c>
      <c r="DC43" s="745">
        <v>48</v>
      </c>
      <c r="DD43" s="745">
        <v>48.13</v>
      </c>
      <c r="DE43" s="745">
        <v>48.27</v>
      </c>
      <c r="DF43" s="745">
        <v>48.4</v>
      </c>
      <c r="DG43" s="745">
        <v>48.53</v>
      </c>
      <c r="DH43" s="745">
        <v>48.66</v>
      </c>
      <c r="DI43" s="745">
        <v>48.79</v>
      </c>
      <c r="DJ43" s="745">
        <v>48.92</v>
      </c>
      <c r="DK43" s="745">
        <v>49.05</v>
      </c>
      <c r="DL43" s="745">
        <v>49.18</v>
      </c>
      <c r="DM43" s="745">
        <v>49.31</v>
      </c>
      <c r="DN43" s="745">
        <v>49.43</v>
      </c>
      <c r="DO43" s="745">
        <v>49.55</v>
      </c>
      <c r="DP43" s="745">
        <v>49.68</v>
      </c>
      <c r="DQ43" s="745">
        <v>49.8</v>
      </c>
      <c r="DR43" s="745">
        <v>49.92</v>
      </c>
    </row>
    <row r="44" spans="1:122">
      <c r="A44" s="912">
        <v>42</v>
      </c>
      <c r="B44" s="92"/>
      <c r="C44" s="92"/>
      <c r="D44" s="92"/>
      <c r="E44" s="92"/>
      <c r="F44" s="92"/>
      <c r="G44" s="92"/>
      <c r="H44" s="92"/>
      <c r="I44" s="92"/>
      <c r="J44" s="92"/>
      <c r="K44" s="92"/>
      <c r="L44" s="92"/>
      <c r="M44" s="92"/>
      <c r="N44" s="92"/>
      <c r="O44" s="92"/>
      <c r="P44" s="92"/>
      <c r="Q44" s="92"/>
      <c r="R44" s="92"/>
      <c r="S44" s="92"/>
      <c r="T44" s="92"/>
      <c r="U44" s="92"/>
      <c r="V44" s="745"/>
      <c r="W44" s="745">
        <v>32.71</v>
      </c>
      <c r="X44" s="745">
        <v>32.94</v>
      </c>
      <c r="Y44" s="745">
        <v>33</v>
      </c>
      <c r="Z44" s="745">
        <v>33.24</v>
      </c>
      <c r="AA44" s="745">
        <v>33.450000000000003</v>
      </c>
      <c r="AB44" s="745">
        <v>33.6</v>
      </c>
      <c r="AC44" s="745">
        <v>33.61</v>
      </c>
      <c r="AD44" s="745">
        <v>33.56</v>
      </c>
      <c r="AE44" s="745">
        <v>33.65</v>
      </c>
      <c r="AF44" s="745">
        <v>33.869999999999997</v>
      </c>
      <c r="AG44" s="745">
        <v>34.130000000000003</v>
      </c>
      <c r="AH44" s="745">
        <v>34.44</v>
      </c>
      <c r="AI44" s="745">
        <v>34.71</v>
      </c>
      <c r="AJ44" s="745">
        <v>35.03</v>
      </c>
      <c r="AK44" s="745">
        <v>35.340000000000003</v>
      </c>
      <c r="AL44" s="745">
        <v>35.71</v>
      </c>
      <c r="AM44" s="745">
        <v>36.049999999999997</v>
      </c>
      <c r="AN44" s="745">
        <v>36.28</v>
      </c>
      <c r="AO44" s="745">
        <v>36.450000000000003</v>
      </c>
      <c r="AP44" s="745">
        <v>36.659999999999997</v>
      </c>
      <c r="AQ44" s="745">
        <v>36.840000000000003</v>
      </c>
      <c r="AR44" s="745">
        <v>37.090000000000003</v>
      </c>
      <c r="AS44" s="745">
        <v>37.119999999999997</v>
      </c>
      <c r="AT44" s="745">
        <v>37.21</v>
      </c>
      <c r="AU44" s="745">
        <v>37.32</v>
      </c>
      <c r="AV44" s="745">
        <v>37.42</v>
      </c>
      <c r="AW44" s="745">
        <v>37.67</v>
      </c>
      <c r="AX44" s="745">
        <v>37.82</v>
      </c>
      <c r="AY44" s="745">
        <v>37.92</v>
      </c>
      <c r="AZ44" s="745">
        <v>38.03</v>
      </c>
      <c r="BA44" s="745">
        <v>38.119999999999997</v>
      </c>
      <c r="BB44" s="745">
        <v>38.26</v>
      </c>
      <c r="BC44" s="745">
        <v>38.409999999999997</v>
      </c>
      <c r="BD44" s="745">
        <v>38.58</v>
      </c>
      <c r="BE44" s="745">
        <v>38.770000000000003</v>
      </c>
      <c r="BF44" s="745">
        <v>38.96</v>
      </c>
      <c r="BG44" s="745">
        <v>39.130000000000003</v>
      </c>
      <c r="BH44" s="745">
        <v>39.369999999999997</v>
      </c>
      <c r="BI44" s="745">
        <v>39.549999999999997</v>
      </c>
      <c r="BJ44" s="745">
        <v>39.76</v>
      </c>
      <c r="BK44" s="745">
        <v>39.950000000000003</v>
      </c>
      <c r="BL44" s="745">
        <v>40.18</v>
      </c>
      <c r="BM44" s="745">
        <v>40.4</v>
      </c>
      <c r="BN44" s="745">
        <v>40.6</v>
      </c>
      <c r="BO44" s="745">
        <v>40.78</v>
      </c>
      <c r="BP44" s="745">
        <v>40.97</v>
      </c>
      <c r="BQ44" s="745">
        <v>41.14</v>
      </c>
      <c r="BR44" s="745">
        <v>41.33</v>
      </c>
      <c r="BS44" s="745">
        <v>41.49</v>
      </c>
      <c r="BT44" s="857">
        <v>41.66</v>
      </c>
      <c r="BU44" s="745">
        <v>41.82</v>
      </c>
      <c r="BV44" s="745">
        <v>42</v>
      </c>
      <c r="BW44" s="745">
        <v>42.17</v>
      </c>
      <c r="BX44" s="745">
        <v>42.34</v>
      </c>
      <c r="BY44" s="745">
        <v>42.5</v>
      </c>
      <c r="BZ44" s="745">
        <v>42.67</v>
      </c>
      <c r="CA44" s="745">
        <v>42.83</v>
      </c>
      <c r="CB44" s="745">
        <v>42.99</v>
      </c>
      <c r="CC44" s="745">
        <v>43.16</v>
      </c>
      <c r="CD44" s="745">
        <v>43.32</v>
      </c>
      <c r="CE44" s="745">
        <v>43.48</v>
      </c>
      <c r="CF44" s="745">
        <v>43.64</v>
      </c>
      <c r="CG44" s="745">
        <v>43.8</v>
      </c>
      <c r="CH44" s="745">
        <v>43.96</v>
      </c>
      <c r="CI44" s="745">
        <v>44.11</v>
      </c>
      <c r="CJ44" s="745">
        <v>44.27</v>
      </c>
      <c r="CK44" s="745">
        <v>44.42</v>
      </c>
      <c r="CL44" s="745">
        <v>44.58</v>
      </c>
      <c r="CM44" s="745">
        <v>44.73</v>
      </c>
      <c r="CN44" s="745">
        <v>44.88</v>
      </c>
      <c r="CO44" s="745">
        <v>45.03</v>
      </c>
      <c r="CP44" s="745">
        <v>45.18</v>
      </c>
      <c r="CQ44" s="745">
        <v>45.33</v>
      </c>
      <c r="CR44" s="745">
        <v>45.48</v>
      </c>
      <c r="CS44" s="745">
        <v>45.62</v>
      </c>
      <c r="CT44" s="745">
        <v>45.77</v>
      </c>
      <c r="CU44" s="745">
        <v>45.91</v>
      </c>
      <c r="CV44" s="745">
        <v>46.06</v>
      </c>
      <c r="CW44" s="745">
        <v>46.2</v>
      </c>
      <c r="CX44" s="745">
        <v>46.34</v>
      </c>
      <c r="CY44" s="745">
        <v>46.48</v>
      </c>
      <c r="CZ44" s="745">
        <v>46.62</v>
      </c>
      <c r="DA44" s="745">
        <v>46.76</v>
      </c>
      <c r="DB44" s="745">
        <v>46.89</v>
      </c>
      <c r="DC44" s="745">
        <v>47.03</v>
      </c>
      <c r="DD44" s="745">
        <v>47.16</v>
      </c>
      <c r="DE44" s="745">
        <v>47.3</v>
      </c>
      <c r="DF44" s="745">
        <v>47.43</v>
      </c>
      <c r="DG44" s="745">
        <v>47.56</v>
      </c>
      <c r="DH44" s="745">
        <v>47.69</v>
      </c>
      <c r="DI44" s="745">
        <v>47.82</v>
      </c>
      <c r="DJ44" s="745">
        <v>47.95</v>
      </c>
      <c r="DK44" s="745">
        <v>48.08</v>
      </c>
      <c r="DL44" s="745">
        <v>48.21</v>
      </c>
      <c r="DM44" s="745">
        <v>48.33</v>
      </c>
      <c r="DN44" s="745">
        <v>48.46</v>
      </c>
      <c r="DO44" s="745">
        <v>48.58</v>
      </c>
      <c r="DP44" s="745">
        <v>48.7</v>
      </c>
      <c r="DQ44" s="745">
        <v>48.83</v>
      </c>
      <c r="DR44" s="745">
        <v>48.95</v>
      </c>
    </row>
    <row r="45" spans="1:122">
      <c r="A45" s="912">
        <v>43</v>
      </c>
      <c r="B45" s="92"/>
      <c r="C45" s="92"/>
      <c r="D45" s="92"/>
      <c r="E45" s="92"/>
      <c r="F45" s="92"/>
      <c r="G45" s="92"/>
      <c r="H45" s="92"/>
      <c r="I45" s="92"/>
      <c r="J45" s="92"/>
      <c r="K45" s="92"/>
      <c r="L45" s="92"/>
      <c r="M45" s="92"/>
      <c r="N45" s="92"/>
      <c r="O45" s="92"/>
      <c r="P45" s="92"/>
      <c r="Q45" s="92"/>
      <c r="R45" s="92"/>
      <c r="S45" s="92"/>
      <c r="T45" s="92"/>
      <c r="U45" s="92"/>
      <c r="V45" s="745"/>
      <c r="W45" s="745">
        <v>31.82</v>
      </c>
      <c r="X45" s="745">
        <v>32.049999999999997</v>
      </c>
      <c r="Y45" s="745">
        <v>32.119999999999997</v>
      </c>
      <c r="Z45" s="745">
        <v>32.35</v>
      </c>
      <c r="AA45" s="745">
        <v>32.549999999999997</v>
      </c>
      <c r="AB45" s="745">
        <v>32.71</v>
      </c>
      <c r="AC45" s="745">
        <v>32.729999999999997</v>
      </c>
      <c r="AD45" s="745">
        <v>32.68</v>
      </c>
      <c r="AE45" s="745">
        <v>32.770000000000003</v>
      </c>
      <c r="AF45" s="745">
        <v>33</v>
      </c>
      <c r="AG45" s="745">
        <v>33.26</v>
      </c>
      <c r="AH45" s="745">
        <v>33.56</v>
      </c>
      <c r="AI45" s="745">
        <v>33.840000000000003</v>
      </c>
      <c r="AJ45" s="745">
        <v>34.15</v>
      </c>
      <c r="AK45" s="745">
        <v>34.46</v>
      </c>
      <c r="AL45" s="745">
        <v>34.83</v>
      </c>
      <c r="AM45" s="745">
        <v>35.17</v>
      </c>
      <c r="AN45" s="745">
        <v>35.4</v>
      </c>
      <c r="AO45" s="745">
        <v>35.57</v>
      </c>
      <c r="AP45" s="745">
        <v>35.78</v>
      </c>
      <c r="AQ45" s="745">
        <v>35.950000000000003</v>
      </c>
      <c r="AR45" s="745">
        <v>36.19</v>
      </c>
      <c r="AS45" s="745">
        <v>36.229999999999997</v>
      </c>
      <c r="AT45" s="745">
        <v>36.32</v>
      </c>
      <c r="AU45" s="745">
        <v>36.42</v>
      </c>
      <c r="AV45" s="745">
        <v>36.53</v>
      </c>
      <c r="AW45" s="745">
        <v>36.78</v>
      </c>
      <c r="AX45" s="745">
        <v>36.93</v>
      </c>
      <c r="AY45" s="745">
        <v>37.03</v>
      </c>
      <c r="AZ45" s="745">
        <v>37.130000000000003</v>
      </c>
      <c r="BA45" s="745">
        <v>37.229999999999997</v>
      </c>
      <c r="BB45" s="745">
        <v>37.369999999999997</v>
      </c>
      <c r="BC45" s="745">
        <v>37.520000000000003</v>
      </c>
      <c r="BD45" s="745">
        <v>37.68</v>
      </c>
      <c r="BE45" s="745">
        <v>37.869999999999997</v>
      </c>
      <c r="BF45" s="745">
        <v>38.06</v>
      </c>
      <c r="BG45" s="745">
        <v>38.229999999999997</v>
      </c>
      <c r="BH45" s="745">
        <v>38.46</v>
      </c>
      <c r="BI45" s="745">
        <v>38.64</v>
      </c>
      <c r="BJ45" s="745">
        <v>38.85</v>
      </c>
      <c r="BK45" s="745">
        <v>39.04</v>
      </c>
      <c r="BL45" s="745">
        <v>39.26</v>
      </c>
      <c r="BM45" s="745">
        <v>39.47</v>
      </c>
      <c r="BN45" s="745">
        <v>39.67</v>
      </c>
      <c r="BO45" s="745">
        <v>39.85</v>
      </c>
      <c r="BP45" s="745">
        <v>40.04</v>
      </c>
      <c r="BQ45" s="745">
        <v>40.21</v>
      </c>
      <c r="BR45" s="745">
        <v>40.39</v>
      </c>
      <c r="BS45" s="745">
        <v>40.56</v>
      </c>
      <c r="BT45" s="857">
        <v>40.729999999999997</v>
      </c>
      <c r="BU45" s="745">
        <v>40.880000000000003</v>
      </c>
      <c r="BV45" s="745">
        <v>41.06</v>
      </c>
      <c r="BW45" s="745">
        <v>41.23</v>
      </c>
      <c r="BX45" s="745">
        <v>41.4</v>
      </c>
      <c r="BY45" s="745">
        <v>41.56</v>
      </c>
      <c r="BZ45" s="745">
        <v>41.72</v>
      </c>
      <c r="CA45" s="745">
        <v>41.89</v>
      </c>
      <c r="CB45" s="745">
        <v>42.05</v>
      </c>
      <c r="CC45" s="745">
        <v>42.21</v>
      </c>
      <c r="CD45" s="745">
        <v>42.38</v>
      </c>
      <c r="CE45" s="745">
        <v>42.54</v>
      </c>
      <c r="CF45" s="745">
        <v>42.69</v>
      </c>
      <c r="CG45" s="745">
        <v>42.85</v>
      </c>
      <c r="CH45" s="745">
        <v>43.01</v>
      </c>
      <c r="CI45" s="745">
        <v>43.16</v>
      </c>
      <c r="CJ45" s="745">
        <v>43.32</v>
      </c>
      <c r="CK45" s="745">
        <v>43.47</v>
      </c>
      <c r="CL45" s="745">
        <v>43.63</v>
      </c>
      <c r="CM45" s="745">
        <v>43.78</v>
      </c>
      <c r="CN45" s="745">
        <v>43.93</v>
      </c>
      <c r="CO45" s="745">
        <v>44.08</v>
      </c>
      <c r="CP45" s="745">
        <v>44.23</v>
      </c>
      <c r="CQ45" s="745">
        <v>44.37</v>
      </c>
      <c r="CR45" s="745">
        <v>44.52</v>
      </c>
      <c r="CS45" s="745">
        <v>44.67</v>
      </c>
      <c r="CT45" s="745">
        <v>44.81</v>
      </c>
      <c r="CU45" s="745">
        <v>44.95</v>
      </c>
      <c r="CV45" s="745">
        <v>45.1</v>
      </c>
      <c r="CW45" s="745">
        <v>45.24</v>
      </c>
      <c r="CX45" s="745">
        <v>45.38</v>
      </c>
      <c r="CY45" s="745">
        <v>45.52</v>
      </c>
      <c r="CZ45" s="745">
        <v>45.66</v>
      </c>
      <c r="DA45" s="745">
        <v>45.79</v>
      </c>
      <c r="DB45" s="745">
        <v>45.93</v>
      </c>
      <c r="DC45" s="745">
        <v>46.07</v>
      </c>
      <c r="DD45" s="745">
        <v>46.2</v>
      </c>
      <c r="DE45" s="745">
        <v>46.33</v>
      </c>
      <c r="DF45" s="745">
        <v>46.47</v>
      </c>
      <c r="DG45" s="745">
        <v>46.6</v>
      </c>
      <c r="DH45" s="745">
        <v>46.73</v>
      </c>
      <c r="DI45" s="745">
        <v>46.86</v>
      </c>
      <c r="DJ45" s="745">
        <v>46.98</v>
      </c>
      <c r="DK45" s="745">
        <v>47.11</v>
      </c>
      <c r="DL45" s="745">
        <v>47.24</v>
      </c>
      <c r="DM45" s="745">
        <v>47.36</v>
      </c>
      <c r="DN45" s="745">
        <v>47.49</v>
      </c>
      <c r="DO45" s="745">
        <v>47.61</v>
      </c>
      <c r="DP45" s="745">
        <v>47.73</v>
      </c>
      <c r="DQ45" s="745">
        <v>47.85</v>
      </c>
      <c r="DR45" s="745">
        <v>47.97</v>
      </c>
    </row>
    <row r="46" spans="1:122">
      <c r="A46" s="912">
        <v>44</v>
      </c>
      <c r="B46" s="92"/>
      <c r="C46" s="92"/>
      <c r="D46" s="92"/>
      <c r="E46" s="92"/>
      <c r="F46" s="92"/>
      <c r="G46" s="92"/>
      <c r="H46" s="92"/>
      <c r="I46" s="92"/>
      <c r="J46" s="92"/>
      <c r="K46" s="92"/>
      <c r="L46" s="92"/>
      <c r="M46" s="92"/>
      <c r="N46" s="92"/>
      <c r="O46" s="92"/>
      <c r="P46" s="92"/>
      <c r="Q46" s="92"/>
      <c r="R46" s="92"/>
      <c r="S46" s="92"/>
      <c r="T46" s="92"/>
      <c r="U46" s="92"/>
      <c r="V46" s="745"/>
      <c r="W46" s="745">
        <v>30.93</v>
      </c>
      <c r="X46" s="745">
        <v>31.16</v>
      </c>
      <c r="Y46" s="745">
        <v>31.24</v>
      </c>
      <c r="Z46" s="745">
        <v>31.48</v>
      </c>
      <c r="AA46" s="745">
        <v>31.68</v>
      </c>
      <c r="AB46" s="745">
        <v>31.84</v>
      </c>
      <c r="AC46" s="745">
        <v>31.86</v>
      </c>
      <c r="AD46" s="745">
        <v>31.81</v>
      </c>
      <c r="AE46" s="745">
        <v>31.9</v>
      </c>
      <c r="AF46" s="745">
        <v>32.119999999999997</v>
      </c>
      <c r="AG46" s="745">
        <v>32.4</v>
      </c>
      <c r="AH46" s="745">
        <v>32.700000000000003</v>
      </c>
      <c r="AI46" s="745">
        <v>32.97</v>
      </c>
      <c r="AJ46" s="745">
        <v>33.29</v>
      </c>
      <c r="AK46" s="745">
        <v>33.590000000000003</v>
      </c>
      <c r="AL46" s="745">
        <v>33.96</v>
      </c>
      <c r="AM46" s="745">
        <v>34.299999999999997</v>
      </c>
      <c r="AN46" s="745">
        <v>34.53</v>
      </c>
      <c r="AO46" s="745">
        <v>34.700000000000003</v>
      </c>
      <c r="AP46" s="745">
        <v>34.89</v>
      </c>
      <c r="AQ46" s="745">
        <v>35.06</v>
      </c>
      <c r="AR46" s="745">
        <v>35.31</v>
      </c>
      <c r="AS46" s="745">
        <v>35.340000000000003</v>
      </c>
      <c r="AT46" s="745">
        <v>35.43</v>
      </c>
      <c r="AU46" s="745">
        <v>35.53</v>
      </c>
      <c r="AV46" s="745">
        <v>35.64</v>
      </c>
      <c r="AW46" s="745">
        <v>35.89</v>
      </c>
      <c r="AX46" s="745">
        <v>36.049999999999997</v>
      </c>
      <c r="AY46" s="745">
        <v>36.15</v>
      </c>
      <c r="AZ46" s="745">
        <v>36.24</v>
      </c>
      <c r="BA46" s="745">
        <v>36.35</v>
      </c>
      <c r="BB46" s="745">
        <v>36.49</v>
      </c>
      <c r="BC46" s="745">
        <v>36.630000000000003</v>
      </c>
      <c r="BD46" s="745">
        <v>36.79</v>
      </c>
      <c r="BE46" s="745">
        <v>36.979999999999997</v>
      </c>
      <c r="BF46" s="745">
        <v>37.17</v>
      </c>
      <c r="BG46" s="745">
        <v>37.33</v>
      </c>
      <c r="BH46" s="745">
        <v>37.56</v>
      </c>
      <c r="BI46" s="745">
        <v>37.729999999999997</v>
      </c>
      <c r="BJ46" s="745">
        <v>37.950000000000003</v>
      </c>
      <c r="BK46" s="745">
        <v>38.130000000000003</v>
      </c>
      <c r="BL46" s="745">
        <v>38.35</v>
      </c>
      <c r="BM46" s="745">
        <v>38.549999999999997</v>
      </c>
      <c r="BN46" s="745">
        <v>38.75</v>
      </c>
      <c r="BO46" s="745">
        <v>38.93</v>
      </c>
      <c r="BP46" s="745">
        <v>39.11</v>
      </c>
      <c r="BQ46" s="745">
        <v>39.28</v>
      </c>
      <c r="BR46" s="745">
        <v>39.46</v>
      </c>
      <c r="BS46" s="745">
        <v>39.619999999999997</v>
      </c>
      <c r="BT46" s="857">
        <v>39.79</v>
      </c>
      <c r="BU46" s="745">
        <v>39.950000000000003</v>
      </c>
      <c r="BV46" s="745">
        <v>40.130000000000003</v>
      </c>
      <c r="BW46" s="745">
        <v>40.29</v>
      </c>
      <c r="BX46" s="745">
        <v>40.46</v>
      </c>
      <c r="BY46" s="745">
        <v>40.619999999999997</v>
      </c>
      <c r="BZ46" s="745">
        <v>40.79</v>
      </c>
      <c r="CA46" s="745">
        <v>40.950000000000003</v>
      </c>
      <c r="CB46" s="745">
        <v>41.11</v>
      </c>
      <c r="CC46" s="745">
        <v>41.27</v>
      </c>
      <c r="CD46" s="745">
        <v>41.43</v>
      </c>
      <c r="CE46" s="745">
        <v>41.59</v>
      </c>
      <c r="CF46" s="745">
        <v>41.75</v>
      </c>
      <c r="CG46" s="745">
        <v>41.91</v>
      </c>
      <c r="CH46" s="745">
        <v>42.06</v>
      </c>
      <c r="CI46" s="745">
        <v>42.22</v>
      </c>
      <c r="CJ46" s="745">
        <v>42.37</v>
      </c>
      <c r="CK46" s="745">
        <v>42.53</v>
      </c>
      <c r="CL46" s="745">
        <v>42.68</v>
      </c>
      <c r="CM46" s="745">
        <v>42.83</v>
      </c>
      <c r="CN46" s="745">
        <v>42.98</v>
      </c>
      <c r="CO46" s="745">
        <v>43.13</v>
      </c>
      <c r="CP46" s="745">
        <v>43.27</v>
      </c>
      <c r="CQ46" s="745">
        <v>43.42</v>
      </c>
      <c r="CR46" s="745">
        <v>43.57</v>
      </c>
      <c r="CS46" s="745">
        <v>43.71</v>
      </c>
      <c r="CT46" s="745">
        <v>43.86</v>
      </c>
      <c r="CU46" s="745">
        <v>44</v>
      </c>
      <c r="CV46" s="745">
        <v>44.14</v>
      </c>
      <c r="CW46" s="745">
        <v>44.28</v>
      </c>
      <c r="CX46" s="745">
        <v>44.42</v>
      </c>
      <c r="CY46" s="745">
        <v>44.56</v>
      </c>
      <c r="CZ46" s="745">
        <v>44.7</v>
      </c>
      <c r="DA46" s="745">
        <v>44.83</v>
      </c>
      <c r="DB46" s="745">
        <v>44.97</v>
      </c>
      <c r="DC46" s="745">
        <v>45.1</v>
      </c>
      <c r="DD46" s="745">
        <v>45.24</v>
      </c>
      <c r="DE46" s="745">
        <v>45.37</v>
      </c>
      <c r="DF46" s="745">
        <v>45.5</v>
      </c>
      <c r="DG46" s="745">
        <v>45.63</v>
      </c>
      <c r="DH46" s="745">
        <v>45.76</v>
      </c>
      <c r="DI46" s="745">
        <v>45.89</v>
      </c>
      <c r="DJ46" s="745">
        <v>46.02</v>
      </c>
      <c r="DK46" s="745">
        <v>46.14</v>
      </c>
      <c r="DL46" s="745">
        <v>46.27</v>
      </c>
      <c r="DM46" s="745">
        <v>46.39</v>
      </c>
      <c r="DN46" s="745">
        <v>46.52</v>
      </c>
      <c r="DO46" s="745">
        <v>46.64</v>
      </c>
      <c r="DP46" s="745">
        <v>46.76</v>
      </c>
      <c r="DQ46" s="745">
        <v>46.88</v>
      </c>
      <c r="DR46" s="745">
        <v>47</v>
      </c>
    </row>
    <row r="47" spans="1:122">
      <c r="A47" s="912">
        <v>45</v>
      </c>
      <c r="B47" s="92"/>
      <c r="C47" s="92"/>
      <c r="D47" s="92"/>
      <c r="E47" s="92"/>
      <c r="F47" s="92"/>
      <c r="G47" s="92"/>
      <c r="H47" s="92"/>
      <c r="I47" s="92"/>
      <c r="J47" s="92"/>
      <c r="K47" s="92"/>
      <c r="L47" s="92"/>
      <c r="M47" s="92"/>
      <c r="N47" s="92"/>
      <c r="O47" s="92"/>
      <c r="P47" s="92"/>
      <c r="Q47" s="92"/>
      <c r="R47" s="92"/>
      <c r="S47" s="92"/>
      <c r="T47" s="92"/>
      <c r="U47" s="92"/>
      <c r="V47" s="745"/>
      <c r="W47" s="745">
        <v>30.06</v>
      </c>
      <c r="X47" s="745">
        <v>30.29</v>
      </c>
      <c r="Y47" s="745">
        <v>30.37</v>
      </c>
      <c r="Z47" s="745">
        <v>30.61</v>
      </c>
      <c r="AA47" s="745">
        <v>30.81</v>
      </c>
      <c r="AB47" s="745">
        <v>30.97</v>
      </c>
      <c r="AC47" s="745">
        <v>30.99</v>
      </c>
      <c r="AD47" s="745">
        <v>30.96</v>
      </c>
      <c r="AE47" s="745">
        <v>31.04</v>
      </c>
      <c r="AF47" s="745">
        <v>31.26</v>
      </c>
      <c r="AG47" s="745">
        <v>31.54</v>
      </c>
      <c r="AH47" s="745">
        <v>31.84</v>
      </c>
      <c r="AI47" s="745">
        <v>32.11</v>
      </c>
      <c r="AJ47" s="745">
        <v>32.43</v>
      </c>
      <c r="AK47" s="745">
        <v>32.729999999999997</v>
      </c>
      <c r="AL47" s="745">
        <v>33.1</v>
      </c>
      <c r="AM47" s="745">
        <v>33.43</v>
      </c>
      <c r="AN47" s="745">
        <v>33.659999999999997</v>
      </c>
      <c r="AO47" s="745">
        <v>33.82</v>
      </c>
      <c r="AP47" s="745">
        <v>34.020000000000003</v>
      </c>
      <c r="AQ47" s="745">
        <v>34.18</v>
      </c>
      <c r="AR47" s="745">
        <v>34.43</v>
      </c>
      <c r="AS47" s="745">
        <v>34.46</v>
      </c>
      <c r="AT47" s="745">
        <v>34.549999999999997</v>
      </c>
      <c r="AU47" s="745">
        <v>34.65</v>
      </c>
      <c r="AV47" s="745">
        <v>34.76</v>
      </c>
      <c r="AW47" s="745">
        <v>35.020000000000003</v>
      </c>
      <c r="AX47" s="745">
        <v>35.17</v>
      </c>
      <c r="AY47" s="745">
        <v>35.270000000000003</v>
      </c>
      <c r="AZ47" s="745">
        <v>35.36</v>
      </c>
      <c r="BA47" s="745">
        <v>35.47</v>
      </c>
      <c r="BB47" s="745">
        <v>35.6</v>
      </c>
      <c r="BC47" s="745">
        <v>35.75</v>
      </c>
      <c r="BD47" s="745">
        <v>35.9</v>
      </c>
      <c r="BE47" s="745">
        <v>36.090000000000003</v>
      </c>
      <c r="BF47" s="745">
        <v>36.270000000000003</v>
      </c>
      <c r="BG47" s="745">
        <v>36.43</v>
      </c>
      <c r="BH47" s="745">
        <v>36.659999999999997</v>
      </c>
      <c r="BI47" s="745">
        <v>36.83</v>
      </c>
      <c r="BJ47" s="745">
        <v>37.04</v>
      </c>
      <c r="BK47" s="745">
        <v>37.22</v>
      </c>
      <c r="BL47" s="745">
        <v>37.43</v>
      </c>
      <c r="BM47" s="745">
        <v>37.630000000000003</v>
      </c>
      <c r="BN47" s="745">
        <v>37.83</v>
      </c>
      <c r="BO47" s="745">
        <v>38</v>
      </c>
      <c r="BP47" s="745">
        <v>38.18</v>
      </c>
      <c r="BQ47" s="745">
        <v>38.35</v>
      </c>
      <c r="BR47" s="745">
        <v>38.53</v>
      </c>
      <c r="BS47" s="745">
        <v>38.69</v>
      </c>
      <c r="BT47" s="857">
        <v>38.86</v>
      </c>
      <c r="BU47" s="745">
        <v>39.020000000000003</v>
      </c>
      <c r="BV47" s="745">
        <v>39.200000000000003</v>
      </c>
      <c r="BW47" s="745">
        <v>39.36</v>
      </c>
      <c r="BX47" s="745">
        <v>39.53</v>
      </c>
      <c r="BY47" s="745">
        <v>39.69</v>
      </c>
      <c r="BZ47" s="745">
        <v>39.85</v>
      </c>
      <c r="CA47" s="745">
        <v>40.020000000000003</v>
      </c>
      <c r="CB47" s="745">
        <v>40.18</v>
      </c>
      <c r="CC47" s="745">
        <v>40.340000000000003</v>
      </c>
      <c r="CD47" s="745">
        <v>40.5</v>
      </c>
      <c r="CE47" s="745">
        <v>40.65</v>
      </c>
      <c r="CF47" s="745">
        <v>40.81</v>
      </c>
      <c r="CG47" s="745">
        <v>40.97</v>
      </c>
      <c r="CH47" s="745">
        <v>41.12</v>
      </c>
      <c r="CI47" s="745">
        <v>41.28</v>
      </c>
      <c r="CJ47" s="745">
        <v>41.43</v>
      </c>
      <c r="CK47" s="745">
        <v>41.58</v>
      </c>
      <c r="CL47" s="745">
        <v>41.73</v>
      </c>
      <c r="CM47" s="745">
        <v>41.88</v>
      </c>
      <c r="CN47" s="745">
        <v>42.03</v>
      </c>
      <c r="CO47" s="745">
        <v>42.18</v>
      </c>
      <c r="CP47" s="745">
        <v>42.32</v>
      </c>
      <c r="CQ47" s="745">
        <v>42.47</v>
      </c>
      <c r="CR47" s="745">
        <v>42.62</v>
      </c>
      <c r="CS47" s="745">
        <v>42.76</v>
      </c>
      <c r="CT47" s="745">
        <v>42.9</v>
      </c>
      <c r="CU47" s="745">
        <v>43.04</v>
      </c>
      <c r="CV47" s="745">
        <v>43.18</v>
      </c>
      <c r="CW47" s="745">
        <v>43.32</v>
      </c>
      <c r="CX47" s="745">
        <v>43.46</v>
      </c>
      <c r="CY47" s="745">
        <v>43.6</v>
      </c>
      <c r="CZ47" s="745">
        <v>43.74</v>
      </c>
      <c r="DA47" s="745">
        <v>43.87</v>
      </c>
      <c r="DB47" s="745">
        <v>44.01</v>
      </c>
      <c r="DC47" s="745">
        <v>44.14</v>
      </c>
      <c r="DD47" s="745">
        <v>44.28</v>
      </c>
      <c r="DE47" s="745">
        <v>44.41</v>
      </c>
      <c r="DF47" s="745">
        <v>44.54</v>
      </c>
      <c r="DG47" s="745">
        <v>44.67</v>
      </c>
      <c r="DH47" s="745">
        <v>44.8</v>
      </c>
      <c r="DI47" s="745">
        <v>44.93</v>
      </c>
      <c r="DJ47" s="745">
        <v>45.05</v>
      </c>
      <c r="DK47" s="745">
        <v>45.18</v>
      </c>
      <c r="DL47" s="745">
        <v>45.3</v>
      </c>
      <c r="DM47" s="745">
        <v>45.43</v>
      </c>
      <c r="DN47" s="745">
        <v>45.55</v>
      </c>
      <c r="DO47" s="745">
        <v>45.67</v>
      </c>
      <c r="DP47" s="745">
        <v>45.79</v>
      </c>
      <c r="DQ47" s="745">
        <v>45.91</v>
      </c>
      <c r="DR47" s="745">
        <v>46.03</v>
      </c>
    </row>
    <row r="48" spans="1:122">
      <c r="A48" s="912">
        <v>46</v>
      </c>
      <c r="B48" s="92"/>
      <c r="C48" s="92"/>
      <c r="D48" s="92"/>
      <c r="E48" s="92"/>
      <c r="F48" s="92"/>
      <c r="G48" s="92"/>
      <c r="H48" s="92"/>
      <c r="I48" s="92"/>
      <c r="J48" s="92"/>
      <c r="K48" s="92"/>
      <c r="L48" s="92"/>
      <c r="M48" s="92"/>
      <c r="N48" s="92"/>
      <c r="O48" s="92"/>
      <c r="P48" s="92"/>
      <c r="Q48" s="92"/>
      <c r="R48" s="92"/>
      <c r="S48" s="92"/>
      <c r="T48" s="92"/>
      <c r="U48" s="92"/>
      <c r="V48" s="745"/>
      <c r="W48" s="745">
        <v>29.19</v>
      </c>
      <c r="X48" s="745">
        <v>29.43</v>
      </c>
      <c r="Y48" s="745">
        <v>29.51</v>
      </c>
      <c r="Z48" s="745">
        <v>29.75</v>
      </c>
      <c r="AA48" s="745">
        <v>29.95</v>
      </c>
      <c r="AB48" s="745">
        <v>30.12</v>
      </c>
      <c r="AC48" s="745">
        <v>30.14</v>
      </c>
      <c r="AD48" s="745">
        <v>30.1</v>
      </c>
      <c r="AE48" s="745">
        <v>30.19</v>
      </c>
      <c r="AF48" s="745">
        <v>30.42</v>
      </c>
      <c r="AG48" s="745">
        <v>30.69</v>
      </c>
      <c r="AH48" s="745">
        <v>30.99</v>
      </c>
      <c r="AI48" s="745">
        <v>31.26</v>
      </c>
      <c r="AJ48" s="745">
        <v>31.58</v>
      </c>
      <c r="AK48" s="745">
        <v>31.88</v>
      </c>
      <c r="AL48" s="745">
        <v>32.25</v>
      </c>
      <c r="AM48" s="745">
        <v>32.57</v>
      </c>
      <c r="AN48" s="745">
        <v>32.799999999999997</v>
      </c>
      <c r="AO48" s="745">
        <v>32.96</v>
      </c>
      <c r="AP48" s="745">
        <v>33.15</v>
      </c>
      <c r="AQ48" s="745">
        <v>33.32</v>
      </c>
      <c r="AR48" s="745">
        <v>33.549999999999997</v>
      </c>
      <c r="AS48" s="745">
        <v>33.590000000000003</v>
      </c>
      <c r="AT48" s="745">
        <v>33.67</v>
      </c>
      <c r="AU48" s="745">
        <v>33.78</v>
      </c>
      <c r="AV48" s="745">
        <v>33.9</v>
      </c>
      <c r="AW48" s="745">
        <v>34.14</v>
      </c>
      <c r="AX48" s="745">
        <v>34.299999999999997</v>
      </c>
      <c r="AY48" s="745">
        <v>34.4</v>
      </c>
      <c r="AZ48" s="745">
        <v>34.49</v>
      </c>
      <c r="BA48" s="745">
        <v>34.6</v>
      </c>
      <c r="BB48" s="745">
        <v>34.729999999999997</v>
      </c>
      <c r="BC48" s="745">
        <v>34.869999999999997</v>
      </c>
      <c r="BD48" s="745">
        <v>35.020000000000003</v>
      </c>
      <c r="BE48" s="745">
        <v>35.200000000000003</v>
      </c>
      <c r="BF48" s="745">
        <v>35.39</v>
      </c>
      <c r="BG48" s="745">
        <v>35.549999999999997</v>
      </c>
      <c r="BH48" s="745">
        <v>35.770000000000003</v>
      </c>
      <c r="BI48" s="745">
        <v>35.93</v>
      </c>
      <c r="BJ48" s="745">
        <v>36.14</v>
      </c>
      <c r="BK48" s="745">
        <v>36.32</v>
      </c>
      <c r="BL48" s="745">
        <v>36.53</v>
      </c>
      <c r="BM48" s="745">
        <v>36.72</v>
      </c>
      <c r="BN48" s="745">
        <v>36.92</v>
      </c>
      <c r="BO48" s="745">
        <v>37.090000000000003</v>
      </c>
      <c r="BP48" s="745">
        <v>37.270000000000003</v>
      </c>
      <c r="BQ48" s="745">
        <v>37.43</v>
      </c>
      <c r="BR48" s="745">
        <v>37.61</v>
      </c>
      <c r="BS48" s="745">
        <v>37.770000000000003</v>
      </c>
      <c r="BT48" s="857">
        <v>37.94</v>
      </c>
      <c r="BU48" s="745">
        <v>38.1</v>
      </c>
      <c r="BV48" s="745">
        <v>38.270000000000003</v>
      </c>
      <c r="BW48" s="745">
        <v>38.44</v>
      </c>
      <c r="BX48" s="745">
        <v>38.6</v>
      </c>
      <c r="BY48" s="745">
        <v>38.76</v>
      </c>
      <c r="BZ48" s="745">
        <v>38.92</v>
      </c>
      <c r="CA48" s="745">
        <v>39.090000000000003</v>
      </c>
      <c r="CB48" s="745">
        <v>39.25</v>
      </c>
      <c r="CC48" s="745">
        <v>39.4</v>
      </c>
      <c r="CD48" s="745">
        <v>39.56</v>
      </c>
      <c r="CE48" s="745">
        <v>39.72</v>
      </c>
      <c r="CF48" s="745">
        <v>39.869999999999997</v>
      </c>
      <c r="CG48" s="745">
        <v>40.03</v>
      </c>
      <c r="CH48" s="745">
        <v>40.18</v>
      </c>
      <c r="CI48" s="745">
        <v>40.340000000000003</v>
      </c>
      <c r="CJ48" s="745">
        <v>40.49</v>
      </c>
      <c r="CK48" s="745">
        <v>40.64</v>
      </c>
      <c r="CL48" s="745">
        <v>40.79</v>
      </c>
      <c r="CM48" s="745">
        <v>40.94</v>
      </c>
      <c r="CN48" s="745">
        <v>41.09</v>
      </c>
      <c r="CO48" s="745">
        <v>41.23</v>
      </c>
      <c r="CP48" s="745">
        <v>41.38</v>
      </c>
      <c r="CQ48" s="745">
        <v>41.52</v>
      </c>
      <c r="CR48" s="745">
        <v>41.67</v>
      </c>
      <c r="CS48" s="745">
        <v>41.81</v>
      </c>
      <c r="CT48" s="745">
        <v>41.95</v>
      </c>
      <c r="CU48" s="745">
        <v>42.09</v>
      </c>
      <c r="CV48" s="745">
        <v>42.23</v>
      </c>
      <c r="CW48" s="745">
        <v>42.37</v>
      </c>
      <c r="CX48" s="745">
        <v>42.51</v>
      </c>
      <c r="CY48" s="745">
        <v>42.65</v>
      </c>
      <c r="CZ48" s="745">
        <v>42.78</v>
      </c>
      <c r="DA48" s="745">
        <v>42.92</v>
      </c>
      <c r="DB48" s="745">
        <v>43.05</v>
      </c>
      <c r="DC48" s="745">
        <v>43.19</v>
      </c>
      <c r="DD48" s="745">
        <v>43.32</v>
      </c>
      <c r="DE48" s="745">
        <v>43.45</v>
      </c>
      <c r="DF48" s="745">
        <v>43.58</v>
      </c>
      <c r="DG48" s="745">
        <v>43.71</v>
      </c>
      <c r="DH48" s="745">
        <v>43.84</v>
      </c>
      <c r="DI48" s="745">
        <v>43.96</v>
      </c>
      <c r="DJ48" s="745">
        <v>44.09</v>
      </c>
      <c r="DK48" s="745">
        <v>44.22</v>
      </c>
      <c r="DL48" s="745">
        <v>44.34</v>
      </c>
      <c r="DM48" s="745">
        <v>44.46</v>
      </c>
      <c r="DN48" s="745">
        <v>44.59</v>
      </c>
      <c r="DO48" s="745">
        <v>44.71</v>
      </c>
      <c r="DP48" s="745">
        <v>44.83</v>
      </c>
      <c r="DQ48" s="745">
        <v>44.95</v>
      </c>
      <c r="DR48" s="745">
        <v>45.07</v>
      </c>
    </row>
    <row r="49" spans="1:122">
      <c r="A49" s="912">
        <v>47</v>
      </c>
      <c r="B49" s="92"/>
      <c r="C49" s="92"/>
      <c r="D49" s="92"/>
      <c r="E49" s="92"/>
      <c r="F49" s="92"/>
      <c r="G49" s="92"/>
      <c r="H49" s="92"/>
      <c r="I49" s="92"/>
      <c r="J49" s="92"/>
      <c r="K49" s="92"/>
      <c r="L49" s="92"/>
      <c r="M49" s="92"/>
      <c r="N49" s="92"/>
      <c r="O49" s="92"/>
      <c r="P49" s="92"/>
      <c r="Q49" s="92"/>
      <c r="R49" s="92"/>
      <c r="S49" s="92"/>
      <c r="T49" s="92"/>
      <c r="U49" s="92"/>
      <c r="V49" s="745"/>
      <c r="W49" s="745">
        <v>28.33</v>
      </c>
      <c r="X49" s="745">
        <v>28.57</v>
      </c>
      <c r="Y49" s="745">
        <v>28.66</v>
      </c>
      <c r="Z49" s="745">
        <v>28.9</v>
      </c>
      <c r="AA49" s="745">
        <v>29.11</v>
      </c>
      <c r="AB49" s="745">
        <v>29.27</v>
      </c>
      <c r="AC49" s="745">
        <v>29.29</v>
      </c>
      <c r="AD49" s="745">
        <v>29.25</v>
      </c>
      <c r="AE49" s="745">
        <v>29.35</v>
      </c>
      <c r="AF49" s="745">
        <v>29.58</v>
      </c>
      <c r="AG49" s="745">
        <v>29.86</v>
      </c>
      <c r="AH49" s="745">
        <v>30.15</v>
      </c>
      <c r="AI49" s="745">
        <v>30.42</v>
      </c>
      <c r="AJ49" s="745">
        <v>30.74</v>
      </c>
      <c r="AK49" s="745">
        <v>31.04</v>
      </c>
      <c r="AL49" s="745">
        <v>31.4</v>
      </c>
      <c r="AM49" s="745">
        <v>31.72</v>
      </c>
      <c r="AN49" s="745">
        <v>31.95</v>
      </c>
      <c r="AO49" s="745">
        <v>32.11</v>
      </c>
      <c r="AP49" s="745">
        <v>32.29</v>
      </c>
      <c r="AQ49" s="745">
        <v>32.450000000000003</v>
      </c>
      <c r="AR49" s="745">
        <v>32.69</v>
      </c>
      <c r="AS49" s="745">
        <v>32.729999999999997</v>
      </c>
      <c r="AT49" s="745">
        <v>32.81</v>
      </c>
      <c r="AU49" s="745">
        <v>32.92</v>
      </c>
      <c r="AV49" s="745">
        <v>33.04</v>
      </c>
      <c r="AW49" s="745">
        <v>33.28</v>
      </c>
      <c r="AX49" s="745">
        <v>33.43</v>
      </c>
      <c r="AY49" s="745">
        <v>33.520000000000003</v>
      </c>
      <c r="AZ49" s="745">
        <v>33.619999999999997</v>
      </c>
      <c r="BA49" s="745">
        <v>33.729999999999997</v>
      </c>
      <c r="BB49" s="745">
        <v>33.85</v>
      </c>
      <c r="BC49" s="745">
        <v>33.99</v>
      </c>
      <c r="BD49" s="745">
        <v>34.14</v>
      </c>
      <c r="BE49" s="745">
        <v>34.32</v>
      </c>
      <c r="BF49" s="745">
        <v>34.51</v>
      </c>
      <c r="BG49" s="745">
        <v>34.67</v>
      </c>
      <c r="BH49" s="745">
        <v>34.880000000000003</v>
      </c>
      <c r="BI49" s="745">
        <v>35.04</v>
      </c>
      <c r="BJ49" s="745">
        <v>35.24</v>
      </c>
      <c r="BK49" s="745">
        <v>35.42</v>
      </c>
      <c r="BL49" s="745">
        <v>35.619999999999997</v>
      </c>
      <c r="BM49" s="745">
        <v>35.82</v>
      </c>
      <c r="BN49" s="745">
        <v>36.01</v>
      </c>
      <c r="BO49" s="745">
        <v>36.17</v>
      </c>
      <c r="BP49" s="745">
        <v>36.35</v>
      </c>
      <c r="BQ49" s="745">
        <v>36.520000000000003</v>
      </c>
      <c r="BR49" s="745">
        <v>36.69</v>
      </c>
      <c r="BS49" s="745">
        <v>36.85</v>
      </c>
      <c r="BT49" s="857">
        <v>37.020000000000003</v>
      </c>
      <c r="BU49" s="745">
        <v>37.18</v>
      </c>
      <c r="BV49" s="745">
        <v>37.35</v>
      </c>
      <c r="BW49" s="745">
        <v>37.51</v>
      </c>
      <c r="BX49" s="745">
        <v>37.68</v>
      </c>
      <c r="BY49" s="745">
        <v>37.840000000000003</v>
      </c>
      <c r="BZ49" s="745">
        <v>38</v>
      </c>
      <c r="CA49" s="745">
        <v>38.159999999999997</v>
      </c>
      <c r="CB49" s="745">
        <v>38.32</v>
      </c>
      <c r="CC49" s="745">
        <v>38.479999999999997</v>
      </c>
      <c r="CD49" s="745">
        <v>38.630000000000003</v>
      </c>
      <c r="CE49" s="745">
        <v>38.79</v>
      </c>
      <c r="CF49" s="745">
        <v>38.94</v>
      </c>
      <c r="CG49" s="745">
        <v>39.1</v>
      </c>
      <c r="CH49" s="745">
        <v>39.25</v>
      </c>
      <c r="CI49" s="745">
        <v>39.4</v>
      </c>
      <c r="CJ49" s="745">
        <v>39.549999999999997</v>
      </c>
      <c r="CK49" s="745">
        <v>39.700000000000003</v>
      </c>
      <c r="CL49" s="745">
        <v>39.85</v>
      </c>
      <c r="CM49" s="745">
        <v>40</v>
      </c>
      <c r="CN49" s="745">
        <v>40.14</v>
      </c>
      <c r="CO49" s="745">
        <v>40.29</v>
      </c>
      <c r="CP49" s="745">
        <v>40.44</v>
      </c>
      <c r="CQ49" s="745">
        <v>40.58</v>
      </c>
      <c r="CR49" s="745">
        <v>40.72</v>
      </c>
      <c r="CS49" s="745">
        <v>40.86</v>
      </c>
      <c r="CT49" s="745">
        <v>41.01</v>
      </c>
      <c r="CU49" s="745">
        <v>41.15</v>
      </c>
      <c r="CV49" s="745">
        <v>41.28</v>
      </c>
      <c r="CW49" s="745">
        <v>41.42</v>
      </c>
      <c r="CX49" s="745">
        <v>41.56</v>
      </c>
      <c r="CY49" s="745">
        <v>41.7</v>
      </c>
      <c r="CZ49" s="745">
        <v>41.83</v>
      </c>
      <c r="DA49" s="745">
        <v>41.97</v>
      </c>
      <c r="DB49" s="745">
        <v>42.1</v>
      </c>
      <c r="DC49" s="745">
        <v>42.23</v>
      </c>
      <c r="DD49" s="745">
        <v>42.36</v>
      </c>
      <c r="DE49" s="745">
        <v>42.49</v>
      </c>
      <c r="DF49" s="745">
        <v>42.62</v>
      </c>
      <c r="DG49" s="745">
        <v>42.75</v>
      </c>
      <c r="DH49" s="745">
        <v>42.88</v>
      </c>
      <c r="DI49" s="745">
        <v>43.01</v>
      </c>
      <c r="DJ49" s="745">
        <v>43.13</v>
      </c>
      <c r="DK49" s="745">
        <v>43.26</v>
      </c>
      <c r="DL49" s="745">
        <v>43.38</v>
      </c>
      <c r="DM49" s="745">
        <v>43.5</v>
      </c>
      <c r="DN49" s="745">
        <v>43.62</v>
      </c>
      <c r="DO49" s="745">
        <v>43.74</v>
      </c>
      <c r="DP49" s="745">
        <v>43.86</v>
      </c>
      <c r="DQ49" s="745">
        <v>43.98</v>
      </c>
      <c r="DR49" s="745">
        <v>44.1</v>
      </c>
    </row>
    <row r="50" spans="1:122">
      <c r="A50" s="912">
        <v>48</v>
      </c>
      <c r="B50" s="92"/>
      <c r="C50" s="92"/>
      <c r="D50" s="92"/>
      <c r="E50" s="92"/>
      <c r="F50" s="92"/>
      <c r="G50" s="92"/>
      <c r="H50" s="92"/>
      <c r="I50" s="92"/>
      <c r="J50" s="92"/>
      <c r="K50" s="92"/>
      <c r="L50" s="92"/>
      <c r="M50" s="92"/>
      <c r="N50" s="92"/>
      <c r="O50" s="92"/>
      <c r="P50" s="92"/>
      <c r="Q50" s="92"/>
      <c r="R50" s="92"/>
      <c r="S50" s="92"/>
      <c r="T50" s="92"/>
      <c r="U50" s="92"/>
      <c r="V50" s="745"/>
      <c r="W50" s="745">
        <v>27.48</v>
      </c>
      <c r="X50" s="745">
        <v>27.73</v>
      </c>
      <c r="Y50" s="745">
        <v>27.82</v>
      </c>
      <c r="Z50" s="745">
        <v>28.06</v>
      </c>
      <c r="AA50" s="745">
        <v>28.27</v>
      </c>
      <c r="AB50" s="745">
        <v>28.43</v>
      </c>
      <c r="AC50" s="745">
        <v>28.46</v>
      </c>
      <c r="AD50" s="745">
        <v>28.42</v>
      </c>
      <c r="AE50" s="745">
        <v>28.52</v>
      </c>
      <c r="AF50" s="745">
        <v>28.75</v>
      </c>
      <c r="AG50" s="745">
        <v>29.03</v>
      </c>
      <c r="AH50" s="745">
        <v>29.32</v>
      </c>
      <c r="AI50" s="745">
        <v>29.59</v>
      </c>
      <c r="AJ50" s="745">
        <v>29.9</v>
      </c>
      <c r="AK50" s="745">
        <v>30.2</v>
      </c>
      <c r="AL50" s="745">
        <v>30.56</v>
      </c>
      <c r="AM50" s="745">
        <v>30.88</v>
      </c>
      <c r="AN50" s="745">
        <v>31.1</v>
      </c>
      <c r="AO50" s="745">
        <v>31.26</v>
      </c>
      <c r="AP50" s="745">
        <v>31.44</v>
      </c>
      <c r="AQ50" s="745">
        <v>31.6</v>
      </c>
      <c r="AR50" s="745">
        <v>31.84</v>
      </c>
      <c r="AS50" s="745">
        <v>31.88</v>
      </c>
      <c r="AT50" s="745">
        <v>31.96</v>
      </c>
      <c r="AU50" s="745">
        <v>32.07</v>
      </c>
      <c r="AV50" s="745">
        <v>32.18</v>
      </c>
      <c r="AW50" s="745">
        <v>32.43</v>
      </c>
      <c r="AX50" s="745">
        <v>32.57</v>
      </c>
      <c r="AY50" s="745">
        <v>32.659999999999997</v>
      </c>
      <c r="AZ50" s="745">
        <v>32.76</v>
      </c>
      <c r="BA50" s="745">
        <v>32.86</v>
      </c>
      <c r="BB50" s="745">
        <v>32.99</v>
      </c>
      <c r="BC50" s="745">
        <v>33.119999999999997</v>
      </c>
      <c r="BD50" s="745">
        <v>33.28</v>
      </c>
      <c r="BE50" s="745">
        <v>33.46</v>
      </c>
      <c r="BF50" s="745">
        <v>33.64</v>
      </c>
      <c r="BG50" s="745">
        <v>33.79</v>
      </c>
      <c r="BH50" s="745">
        <v>34</v>
      </c>
      <c r="BI50" s="745">
        <v>34.15</v>
      </c>
      <c r="BJ50" s="745">
        <v>34.35</v>
      </c>
      <c r="BK50" s="745">
        <v>34.53</v>
      </c>
      <c r="BL50" s="745">
        <v>34.729999999999997</v>
      </c>
      <c r="BM50" s="745">
        <v>34.92</v>
      </c>
      <c r="BN50" s="745">
        <v>35.1</v>
      </c>
      <c r="BO50" s="745">
        <v>35.270000000000003</v>
      </c>
      <c r="BP50" s="745">
        <v>35.44</v>
      </c>
      <c r="BQ50" s="745">
        <v>35.61</v>
      </c>
      <c r="BR50" s="745">
        <v>35.78</v>
      </c>
      <c r="BS50" s="745">
        <v>35.94</v>
      </c>
      <c r="BT50" s="857">
        <v>36.11</v>
      </c>
      <c r="BU50" s="745">
        <v>36.270000000000003</v>
      </c>
      <c r="BV50" s="745">
        <v>36.44</v>
      </c>
      <c r="BW50" s="745">
        <v>36.6</v>
      </c>
      <c r="BX50" s="745">
        <v>36.76</v>
      </c>
      <c r="BY50" s="745">
        <v>36.92</v>
      </c>
      <c r="BZ50" s="745">
        <v>37.08</v>
      </c>
      <c r="CA50" s="745">
        <v>37.24</v>
      </c>
      <c r="CB50" s="745">
        <v>37.39</v>
      </c>
      <c r="CC50" s="745">
        <v>37.549999999999997</v>
      </c>
      <c r="CD50" s="745">
        <v>37.71</v>
      </c>
      <c r="CE50" s="745">
        <v>37.86</v>
      </c>
      <c r="CF50" s="745">
        <v>38.01</v>
      </c>
      <c r="CG50" s="745">
        <v>38.17</v>
      </c>
      <c r="CH50" s="745">
        <v>38.32</v>
      </c>
      <c r="CI50" s="745">
        <v>38.47</v>
      </c>
      <c r="CJ50" s="745">
        <v>38.619999999999997</v>
      </c>
      <c r="CK50" s="745">
        <v>38.770000000000003</v>
      </c>
      <c r="CL50" s="745">
        <v>38.909999999999997</v>
      </c>
      <c r="CM50" s="745">
        <v>39.06</v>
      </c>
      <c r="CN50" s="745">
        <v>39.21</v>
      </c>
      <c r="CO50" s="745">
        <v>39.35</v>
      </c>
      <c r="CP50" s="745">
        <v>39.5</v>
      </c>
      <c r="CQ50" s="745">
        <v>39.64</v>
      </c>
      <c r="CR50" s="745">
        <v>39.78</v>
      </c>
      <c r="CS50" s="745">
        <v>39.92</v>
      </c>
      <c r="CT50" s="745">
        <v>40.06</v>
      </c>
      <c r="CU50" s="745">
        <v>40.200000000000003</v>
      </c>
      <c r="CV50" s="745">
        <v>40.340000000000003</v>
      </c>
      <c r="CW50" s="745">
        <v>40.479999999999997</v>
      </c>
      <c r="CX50" s="745">
        <v>40.61</v>
      </c>
      <c r="CY50" s="745">
        <v>40.75</v>
      </c>
      <c r="CZ50" s="745">
        <v>40.880000000000003</v>
      </c>
      <c r="DA50" s="745">
        <v>41.02</v>
      </c>
      <c r="DB50" s="745">
        <v>41.15</v>
      </c>
      <c r="DC50" s="745">
        <v>41.28</v>
      </c>
      <c r="DD50" s="745">
        <v>41.41</v>
      </c>
      <c r="DE50" s="745">
        <v>41.54</v>
      </c>
      <c r="DF50" s="745">
        <v>41.67</v>
      </c>
      <c r="DG50" s="745">
        <v>41.8</v>
      </c>
      <c r="DH50" s="745">
        <v>41.92</v>
      </c>
      <c r="DI50" s="745">
        <v>42.05</v>
      </c>
      <c r="DJ50" s="745">
        <v>42.17</v>
      </c>
      <c r="DK50" s="745">
        <v>42.3</v>
      </c>
      <c r="DL50" s="745">
        <v>42.42</v>
      </c>
      <c r="DM50" s="745">
        <v>42.54</v>
      </c>
      <c r="DN50" s="745">
        <v>42.66</v>
      </c>
      <c r="DO50" s="745">
        <v>42.78</v>
      </c>
      <c r="DP50" s="745">
        <v>42.9</v>
      </c>
      <c r="DQ50" s="745">
        <v>43.02</v>
      </c>
      <c r="DR50" s="745">
        <v>43.14</v>
      </c>
    </row>
    <row r="51" spans="1:122">
      <c r="A51" s="912">
        <v>49</v>
      </c>
      <c r="B51" s="92"/>
      <c r="C51" s="92"/>
      <c r="D51" s="92"/>
      <c r="E51" s="92"/>
      <c r="F51" s="92"/>
      <c r="G51" s="92"/>
      <c r="H51" s="92"/>
      <c r="I51" s="92"/>
      <c r="J51" s="92"/>
      <c r="K51" s="92"/>
      <c r="L51" s="92"/>
      <c r="M51" s="92"/>
      <c r="N51" s="92"/>
      <c r="O51" s="92"/>
      <c r="P51" s="92"/>
      <c r="Q51" s="92"/>
      <c r="R51" s="92"/>
      <c r="S51" s="92"/>
      <c r="T51" s="92"/>
      <c r="U51" s="92"/>
      <c r="V51" s="745"/>
      <c r="W51" s="745">
        <v>26.65</v>
      </c>
      <c r="X51" s="745">
        <v>26.9</v>
      </c>
      <c r="Y51" s="745">
        <v>26.98</v>
      </c>
      <c r="Z51" s="745">
        <v>27.23</v>
      </c>
      <c r="AA51" s="745">
        <v>27.44</v>
      </c>
      <c r="AB51" s="745">
        <v>27.61</v>
      </c>
      <c r="AC51" s="745">
        <v>27.63</v>
      </c>
      <c r="AD51" s="745">
        <v>27.6</v>
      </c>
      <c r="AE51" s="745">
        <v>27.7</v>
      </c>
      <c r="AF51" s="745">
        <v>27.93</v>
      </c>
      <c r="AG51" s="745">
        <v>28.21</v>
      </c>
      <c r="AH51" s="745">
        <v>28.5</v>
      </c>
      <c r="AI51" s="745">
        <v>28.76</v>
      </c>
      <c r="AJ51" s="745">
        <v>29.07</v>
      </c>
      <c r="AK51" s="745">
        <v>29.37</v>
      </c>
      <c r="AL51" s="745">
        <v>29.73</v>
      </c>
      <c r="AM51" s="745">
        <v>30.04</v>
      </c>
      <c r="AN51" s="745">
        <v>30.26</v>
      </c>
      <c r="AO51" s="745">
        <v>30.42</v>
      </c>
      <c r="AP51" s="745">
        <v>30.59</v>
      </c>
      <c r="AQ51" s="745">
        <v>30.76</v>
      </c>
      <c r="AR51" s="745">
        <v>30.99</v>
      </c>
      <c r="AS51" s="745">
        <v>31.04</v>
      </c>
      <c r="AT51" s="745">
        <v>31.13</v>
      </c>
      <c r="AU51" s="745">
        <v>31.23</v>
      </c>
      <c r="AV51" s="745">
        <v>31.33</v>
      </c>
      <c r="AW51" s="745">
        <v>31.57</v>
      </c>
      <c r="AX51" s="745">
        <v>31.71</v>
      </c>
      <c r="AY51" s="745">
        <v>31.8</v>
      </c>
      <c r="AZ51" s="745">
        <v>31.9</v>
      </c>
      <c r="BA51" s="745">
        <v>32</v>
      </c>
      <c r="BB51" s="745">
        <v>32.130000000000003</v>
      </c>
      <c r="BC51" s="745">
        <v>32.26</v>
      </c>
      <c r="BD51" s="745">
        <v>32.409999999999997</v>
      </c>
      <c r="BE51" s="745">
        <v>32.590000000000003</v>
      </c>
      <c r="BF51" s="745">
        <v>32.76</v>
      </c>
      <c r="BG51" s="745">
        <v>32.92</v>
      </c>
      <c r="BH51" s="745">
        <v>33.119999999999997</v>
      </c>
      <c r="BI51" s="745">
        <v>33.270000000000003</v>
      </c>
      <c r="BJ51" s="745">
        <v>33.47</v>
      </c>
      <c r="BK51" s="745">
        <v>33.64</v>
      </c>
      <c r="BL51" s="745">
        <v>33.840000000000003</v>
      </c>
      <c r="BM51" s="745">
        <v>34.020000000000003</v>
      </c>
      <c r="BN51" s="745">
        <v>34.200000000000003</v>
      </c>
      <c r="BO51" s="745">
        <v>34.369999999999997</v>
      </c>
      <c r="BP51" s="745">
        <v>34.54</v>
      </c>
      <c r="BQ51" s="745">
        <v>34.71</v>
      </c>
      <c r="BR51" s="745">
        <v>34.880000000000003</v>
      </c>
      <c r="BS51" s="745">
        <v>35.04</v>
      </c>
      <c r="BT51" s="857">
        <v>35.200000000000003</v>
      </c>
      <c r="BU51" s="745">
        <v>35.36</v>
      </c>
      <c r="BV51" s="745">
        <v>35.53</v>
      </c>
      <c r="BW51" s="745">
        <v>35.69</v>
      </c>
      <c r="BX51" s="745">
        <v>35.85</v>
      </c>
      <c r="BY51" s="745">
        <v>36</v>
      </c>
      <c r="BZ51" s="745">
        <v>36.159999999999997</v>
      </c>
      <c r="CA51" s="745">
        <v>36.32</v>
      </c>
      <c r="CB51" s="745">
        <v>36.479999999999997</v>
      </c>
      <c r="CC51" s="745">
        <v>36.630000000000003</v>
      </c>
      <c r="CD51" s="745">
        <v>36.78</v>
      </c>
      <c r="CE51" s="745">
        <v>36.94</v>
      </c>
      <c r="CF51" s="745">
        <v>37.090000000000003</v>
      </c>
      <c r="CG51" s="745">
        <v>37.24</v>
      </c>
      <c r="CH51" s="745">
        <v>37.39</v>
      </c>
      <c r="CI51" s="745">
        <v>37.54</v>
      </c>
      <c r="CJ51" s="745">
        <v>37.69</v>
      </c>
      <c r="CK51" s="745">
        <v>37.840000000000003</v>
      </c>
      <c r="CL51" s="745">
        <v>37.979999999999997</v>
      </c>
      <c r="CM51" s="745">
        <v>38.130000000000003</v>
      </c>
      <c r="CN51" s="745">
        <v>38.270000000000003</v>
      </c>
      <c r="CO51" s="745">
        <v>38.42</v>
      </c>
      <c r="CP51" s="745">
        <v>38.56</v>
      </c>
      <c r="CQ51" s="745">
        <v>38.700000000000003</v>
      </c>
      <c r="CR51" s="745">
        <v>38.840000000000003</v>
      </c>
      <c r="CS51" s="745">
        <v>38.979999999999997</v>
      </c>
      <c r="CT51" s="745">
        <v>39.119999999999997</v>
      </c>
      <c r="CU51" s="745">
        <v>39.26</v>
      </c>
      <c r="CV51" s="745">
        <v>39.4</v>
      </c>
      <c r="CW51" s="745">
        <v>39.53</v>
      </c>
      <c r="CX51" s="745">
        <v>39.67</v>
      </c>
      <c r="CY51" s="745">
        <v>39.799999999999997</v>
      </c>
      <c r="CZ51" s="745">
        <v>39.94</v>
      </c>
      <c r="DA51" s="745">
        <v>40.07</v>
      </c>
      <c r="DB51" s="745">
        <v>40.200000000000003</v>
      </c>
      <c r="DC51" s="745">
        <v>40.33</v>
      </c>
      <c r="DD51" s="745">
        <v>40.46</v>
      </c>
      <c r="DE51" s="745">
        <v>40.590000000000003</v>
      </c>
      <c r="DF51" s="745">
        <v>40.72</v>
      </c>
      <c r="DG51" s="745">
        <v>40.85</v>
      </c>
      <c r="DH51" s="745">
        <v>40.97</v>
      </c>
      <c r="DI51" s="745">
        <v>41.1</v>
      </c>
      <c r="DJ51" s="745">
        <v>41.22</v>
      </c>
      <c r="DK51" s="745">
        <v>41.34</v>
      </c>
      <c r="DL51" s="745">
        <v>41.47</v>
      </c>
      <c r="DM51" s="745">
        <v>41.59</v>
      </c>
      <c r="DN51" s="745">
        <v>41.71</v>
      </c>
      <c r="DO51" s="745">
        <v>41.83</v>
      </c>
      <c r="DP51" s="745">
        <v>41.95</v>
      </c>
      <c r="DQ51" s="745">
        <v>42.06</v>
      </c>
      <c r="DR51" s="745">
        <v>42.18</v>
      </c>
    </row>
    <row r="52" spans="1:122">
      <c r="A52" s="912">
        <v>50</v>
      </c>
      <c r="B52" s="92"/>
      <c r="C52" s="92"/>
      <c r="D52" s="92"/>
      <c r="E52" s="92"/>
      <c r="F52" s="92"/>
      <c r="G52" s="92"/>
      <c r="H52" s="92"/>
      <c r="I52" s="92"/>
      <c r="J52" s="92"/>
      <c r="K52" s="92"/>
      <c r="L52" s="92"/>
      <c r="M52" s="92"/>
      <c r="N52" s="92"/>
      <c r="O52" s="92"/>
      <c r="P52" s="92"/>
      <c r="Q52" s="92"/>
      <c r="R52" s="92"/>
      <c r="S52" s="92"/>
      <c r="T52" s="92"/>
      <c r="U52" s="92"/>
      <c r="V52" s="745"/>
      <c r="W52" s="745">
        <v>25.83</v>
      </c>
      <c r="X52" s="745">
        <v>26.07</v>
      </c>
      <c r="Y52" s="745">
        <v>26.16</v>
      </c>
      <c r="Z52" s="745">
        <v>26.41</v>
      </c>
      <c r="AA52" s="745">
        <v>26.62</v>
      </c>
      <c r="AB52" s="745">
        <v>26.79</v>
      </c>
      <c r="AC52" s="745">
        <v>26.81</v>
      </c>
      <c r="AD52" s="745">
        <v>26.78</v>
      </c>
      <c r="AE52" s="745">
        <v>26.9</v>
      </c>
      <c r="AF52" s="745">
        <v>27.13</v>
      </c>
      <c r="AG52" s="745">
        <v>27.41</v>
      </c>
      <c r="AH52" s="745">
        <v>27.69</v>
      </c>
      <c r="AI52" s="745">
        <v>27.95</v>
      </c>
      <c r="AJ52" s="745">
        <v>28.24</v>
      </c>
      <c r="AK52" s="745">
        <v>28.54</v>
      </c>
      <c r="AL52" s="745">
        <v>28.9</v>
      </c>
      <c r="AM52" s="745">
        <v>29.21</v>
      </c>
      <c r="AN52" s="745">
        <v>29.43</v>
      </c>
      <c r="AO52" s="745">
        <v>29.58</v>
      </c>
      <c r="AP52" s="745">
        <v>29.76</v>
      </c>
      <c r="AQ52" s="745">
        <v>29.94</v>
      </c>
      <c r="AR52" s="745">
        <v>30.16</v>
      </c>
      <c r="AS52" s="745">
        <v>30.21</v>
      </c>
      <c r="AT52" s="745">
        <v>30.29</v>
      </c>
      <c r="AU52" s="745">
        <v>30.4</v>
      </c>
      <c r="AV52" s="745">
        <v>30.49</v>
      </c>
      <c r="AW52" s="745">
        <v>30.73</v>
      </c>
      <c r="AX52" s="745">
        <v>30.86</v>
      </c>
      <c r="AY52" s="745">
        <v>30.94</v>
      </c>
      <c r="AZ52" s="745">
        <v>31.05</v>
      </c>
      <c r="BA52" s="745">
        <v>31.14</v>
      </c>
      <c r="BB52" s="745">
        <v>31.27</v>
      </c>
      <c r="BC52" s="745">
        <v>31.4</v>
      </c>
      <c r="BD52" s="745">
        <v>31.56</v>
      </c>
      <c r="BE52" s="745">
        <v>31.73</v>
      </c>
      <c r="BF52" s="745">
        <v>31.9</v>
      </c>
      <c r="BG52" s="745">
        <v>32.049999999999997</v>
      </c>
      <c r="BH52" s="745">
        <v>32.25</v>
      </c>
      <c r="BI52" s="745">
        <v>32.4</v>
      </c>
      <c r="BJ52" s="745">
        <v>32.590000000000003</v>
      </c>
      <c r="BK52" s="745">
        <v>32.76</v>
      </c>
      <c r="BL52" s="745">
        <v>32.96</v>
      </c>
      <c r="BM52" s="745">
        <v>33.130000000000003</v>
      </c>
      <c r="BN52" s="745">
        <v>33.31</v>
      </c>
      <c r="BO52" s="745">
        <v>33.479999999999997</v>
      </c>
      <c r="BP52" s="745">
        <v>33.65</v>
      </c>
      <c r="BQ52" s="745">
        <v>33.81</v>
      </c>
      <c r="BR52" s="745">
        <v>33.97</v>
      </c>
      <c r="BS52" s="745">
        <v>34.14</v>
      </c>
      <c r="BT52" s="857">
        <v>34.299999999999997</v>
      </c>
      <c r="BU52" s="745">
        <v>34.46</v>
      </c>
      <c r="BV52" s="745">
        <v>34.619999999999997</v>
      </c>
      <c r="BW52" s="745">
        <v>34.78</v>
      </c>
      <c r="BX52" s="745">
        <v>34.94</v>
      </c>
      <c r="BY52" s="745">
        <v>35.1</v>
      </c>
      <c r="BZ52" s="745">
        <v>35.25</v>
      </c>
      <c r="CA52" s="745">
        <v>35.409999999999997</v>
      </c>
      <c r="CB52" s="745">
        <v>35.56</v>
      </c>
      <c r="CC52" s="745">
        <v>35.72</v>
      </c>
      <c r="CD52" s="745">
        <v>35.869999999999997</v>
      </c>
      <c r="CE52" s="745">
        <v>36.020000000000003</v>
      </c>
      <c r="CF52" s="745">
        <v>36.17</v>
      </c>
      <c r="CG52" s="745">
        <v>36.32</v>
      </c>
      <c r="CH52" s="745">
        <v>36.47</v>
      </c>
      <c r="CI52" s="745">
        <v>36.619999999999997</v>
      </c>
      <c r="CJ52" s="745">
        <v>36.770000000000003</v>
      </c>
      <c r="CK52" s="745">
        <v>36.909999999999997</v>
      </c>
      <c r="CL52" s="745">
        <v>37.06</v>
      </c>
      <c r="CM52" s="745">
        <v>37.200000000000003</v>
      </c>
      <c r="CN52" s="745">
        <v>37.35</v>
      </c>
      <c r="CO52" s="745">
        <v>37.49</v>
      </c>
      <c r="CP52" s="745">
        <v>37.630000000000003</v>
      </c>
      <c r="CQ52" s="745">
        <v>37.770000000000003</v>
      </c>
      <c r="CR52" s="745">
        <v>37.909999999999997</v>
      </c>
      <c r="CS52" s="745">
        <v>38.049999999999997</v>
      </c>
      <c r="CT52" s="745">
        <v>38.19</v>
      </c>
      <c r="CU52" s="745">
        <v>38.33</v>
      </c>
      <c r="CV52" s="745">
        <v>38.46</v>
      </c>
      <c r="CW52" s="745">
        <v>38.6</v>
      </c>
      <c r="CX52" s="745">
        <v>38.729999999999997</v>
      </c>
      <c r="CY52" s="745">
        <v>38.86</v>
      </c>
      <c r="CZ52" s="745">
        <v>39</v>
      </c>
      <c r="DA52" s="745">
        <v>39.130000000000003</v>
      </c>
      <c r="DB52" s="745">
        <v>39.26</v>
      </c>
      <c r="DC52" s="745">
        <v>39.39</v>
      </c>
      <c r="DD52" s="745">
        <v>39.520000000000003</v>
      </c>
      <c r="DE52" s="745">
        <v>39.65</v>
      </c>
      <c r="DF52" s="745">
        <v>39.770000000000003</v>
      </c>
      <c r="DG52" s="745">
        <v>39.9</v>
      </c>
      <c r="DH52" s="745">
        <v>40.020000000000003</v>
      </c>
      <c r="DI52" s="745">
        <v>40.15</v>
      </c>
      <c r="DJ52" s="745">
        <v>40.270000000000003</v>
      </c>
      <c r="DK52" s="745">
        <v>40.39</v>
      </c>
      <c r="DL52" s="745">
        <v>40.51</v>
      </c>
      <c r="DM52" s="745">
        <v>40.630000000000003</v>
      </c>
      <c r="DN52" s="745">
        <v>40.75</v>
      </c>
      <c r="DO52" s="745">
        <v>40.869999999999997</v>
      </c>
      <c r="DP52" s="745">
        <v>40.99</v>
      </c>
      <c r="DQ52" s="745">
        <v>41.11</v>
      </c>
      <c r="DR52" s="745">
        <v>41.22</v>
      </c>
    </row>
    <row r="53" spans="1:122">
      <c r="A53" s="912">
        <v>51</v>
      </c>
      <c r="B53" s="92"/>
      <c r="C53" s="92"/>
      <c r="D53" s="92"/>
      <c r="E53" s="92"/>
      <c r="F53" s="92"/>
      <c r="G53" s="92"/>
      <c r="H53" s="92"/>
      <c r="I53" s="92"/>
      <c r="J53" s="92"/>
      <c r="K53" s="92"/>
      <c r="L53" s="92"/>
      <c r="M53" s="92"/>
      <c r="N53" s="92"/>
      <c r="O53" s="92"/>
      <c r="P53" s="92"/>
      <c r="Q53" s="92"/>
      <c r="R53" s="92"/>
      <c r="S53" s="92"/>
      <c r="T53" s="92"/>
      <c r="U53" s="92"/>
      <c r="V53" s="745"/>
      <c r="W53" s="745">
        <v>25.02</v>
      </c>
      <c r="X53" s="745">
        <v>25.26</v>
      </c>
      <c r="Y53" s="745">
        <v>25.35</v>
      </c>
      <c r="Z53" s="745">
        <v>25.61</v>
      </c>
      <c r="AA53" s="745">
        <v>25.82</v>
      </c>
      <c r="AB53" s="745">
        <v>25.99</v>
      </c>
      <c r="AC53" s="745">
        <v>26.01</v>
      </c>
      <c r="AD53" s="745">
        <v>25.98</v>
      </c>
      <c r="AE53" s="745">
        <v>26.1</v>
      </c>
      <c r="AF53" s="745">
        <v>26.33</v>
      </c>
      <c r="AG53" s="745">
        <v>26.6</v>
      </c>
      <c r="AH53" s="745">
        <v>26.89</v>
      </c>
      <c r="AI53" s="745">
        <v>27.15</v>
      </c>
      <c r="AJ53" s="745">
        <v>27.44</v>
      </c>
      <c r="AK53" s="745">
        <v>27.73</v>
      </c>
      <c r="AL53" s="745">
        <v>28.09</v>
      </c>
      <c r="AM53" s="745">
        <v>28.39</v>
      </c>
      <c r="AN53" s="745">
        <v>28.61</v>
      </c>
      <c r="AO53" s="745">
        <v>28.76</v>
      </c>
      <c r="AP53" s="745">
        <v>28.95</v>
      </c>
      <c r="AQ53" s="745">
        <v>29.12</v>
      </c>
      <c r="AR53" s="745">
        <v>29.33</v>
      </c>
      <c r="AS53" s="745">
        <v>29.38</v>
      </c>
      <c r="AT53" s="745">
        <v>29.46</v>
      </c>
      <c r="AU53" s="745">
        <v>29.57</v>
      </c>
      <c r="AV53" s="745">
        <v>29.66</v>
      </c>
      <c r="AW53" s="745">
        <v>29.89</v>
      </c>
      <c r="AX53" s="745">
        <v>30.01</v>
      </c>
      <c r="AY53" s="745">
        <v>30.1</v>
      </c>
      <c r="AZ53" s="745">
        <v>30.2</v>
      </c>
      <c r="BA53" s="745">
        <v>30.3</v>
      </c>
      <c r="BB53" s="745">
        <v>30.42</v>
      </c>
      <c r="BC53" s="745">
        <v>30.56</v>
      </c>
      <c r="BD53" s="745">
        <v>30.71</v>
      </c>
      <c r="BE53" s="745">
        <v>30.87</v>
      </c>
      <c r="BF53" s="745">
        <v>31.04</v>
      </c>
      <c r="BG53" s="745">
        <v>31.19</v>
      </c>
      <c r="BH53" s="745">
        <v>31.38</v>
      </c>
      <c r="BI53" s="745">
        <v>31.53</v>
      </c>
      <c r="BJ53" s="745">
        <v>31.72</v>
      </c>
      <c r="BK53" s="745">
        <v>31.89</v>
      </c>
      <c r="BL53" s="745">
        <v>32.08</v>
      </c>
      <c r="BM53" s="745">
        <v>32.25</v>
      </c>
      <c r="BN53" s="745">
        <v>32.43</v>
      </c>
      <c r="BO53" s="745">
        <v>32.590000000000003</v>
      </c>
      <c r="BP53" s="745">
        <v>32.76</v>
      </c>
      <c r="BQ53" s="745">
        <v>32.92</v>
      </c>
      <c r="BR53" s="745">
        <v>33.08</v>
      </c>
      <c r="BS53" s="745">
        <v>33.24</v>
      </c>
      <c r="BT53" s="857">
        <v>33.4</v>
      </c>
      <c r="BU53" s="745">
        <v>33.56</v>
      </c>
      <c r="BV53" s="745">
        <v>33.72</v>
      </c>
      <c r="BW53" s="745">
        <v>33.880000000000003</v>
      </c>
      <c r="BX53" s="745">
        <v>34.04</v>
      </c>
      <c r="BY53" s="745">
        <v>34.19</v>
      </c>
      <c r="BZ53" s="745">
        <v>34.35</v>
      </c>
      <c r="CA53" s="745">
        <v>34.5</v>
      </c>
      <c r="CB53" s="745">
        <v>34.659999999999997</v>
      </c>
      <c r="CC53" s="745">
        <v>34.81</v>
      </c>
      <c r="CD53" s="745">
        <v>34.96</v>
      </c>
      <c r="CE53" s="745">
        <v>35.11</v>
      </c>
      <c r="CF53" s="745">
        <v>35.26</v>
      </c>
      <c r="CG53" s="745">
        <v>35.409999999999997</v>
      </c>
      <c r="CH53" s="745">
        <v>35.56</v>
      </c>
      <c r="CI53" s="745">
        <v>35.700000000000003</v>
      </c>
      <c r="CJ53" s="745">
        <v>35.85</v>
      </c>
      <c r="CK53" s="745">
        <v>35.99</v>
      </c>
      <c r="CL53" s="745">
        <v>36.14</v>
      </c>
      <c r="CM53" s="745">
        <v>36.28</v>
      </c>
      <c r="CN53" s="745">
        <v>36.42</v>
      </c>
      <c r="CO53" s="745">
        <v>36.56</v>
      </c>
      <c r="CP53" s="745">
        <v>36.71</v>
      </c>
      <c r="CQ53" s="745">
        <v>36.840000000000003</v>
      </c>
      <c r="CR53" s="745">
        <v>36.979999999999997</v>
      </c>
      <c r="CS53" s="745">
        <v>37.119999999999997</v>
      </c>
      <c r="CT53" s="745">
        <v>37.26</v>
      </c>
      <c r="CU53" s="745">
        <v>37.39</v>
      </c>
      <c r="CV53" s="745">
        <v>37.53</v>
      </c>
      <c r="CW53" s="745">
        <v>37.659999999999997</v>
      </c>
      <c r="CX53" s="745">
        <v>37.799999999999997</v>
      </c>
      <c r="CY53" s="745">
        <v>37.93</v>
      </c>
      <c r="CZ53" s="745">
        <v>38.06</v>
      </c>
      <c r="DA53" s="745">
        <v>38.19</v>
      </c>
      <c r="DB53" s="745">
        <v>38.32</v>
      </c>
      <c r="DC53" s="745">
        <v>38.450000000000003</v>
      </c>
      <c r="DD53" s="745">
        <v>38.58</v>
      </c>
      <c r="DE53" s="745">
        <v>38.700000000000003</v>
      </c>
      <c r="DF53" s="745">
        <v>38.83</v>
      </c>
      <c r="DG53" s="745">
        <v>38.96</v>
      </c>
      <c r="DH53" s="745">
        <v>39.08</v>
      </c>
      <c r="DI53" s="745">
        <v>39.200000000000003</v>
      </c>
      <c r="DJ53" s="745">
        <v>39.32</v>
      </c>
      <c r="DK53" s="745">
        <v>39.450000000000003</v>
      </c>
      <c r="DL53" s="745">
        <v>39.57</v>
      </c>
      <c r="DM53" s="745">
        <v>39.69</v>
      </c>
      <c r="DN53" s="745">
        <v>39.799999999999997</v>
      </c>
      <c r="DO53" s="745">
        <v>39.92</v>
      </c>
      <c r="DP53" s="745">
        <v>40.04</v>
      </c>
      <c r="DQ53" s="745">
        <v>40.159999999999997</v>
      </c>
      <c r="DR53" s="745">
        <v>40.270000000000003</v>
      </c>
    </row>
    <row r="54" spans="1:122">
      <c r="A54" s="912">
        <v>52</v>
      </c>
      <c r="B54" s="92"/>
      <c r="C54" s="92"/>
      <c r="D54" s="92"/>
      <c r="E54" s="92"/>
      <c r="F54" s="92"/>
      <c r="G54" s="92"/>
      <c r="H54" s="92"/>
      <c r="I54" s="92"/>
      <c r="J54" s="92"/>
      <c r="K54" s="92"/>
      <c r="L54" s="92"/>
      <c r="M54" s="92"/>
      <c r="N54" s="92"/>
      <c r="O54" s="92"/>
      <c r="P54" s="92"/>
      <c r="Q54" s="92"/>
      <c r="R54" s="92"/>
      <c r="S54" s="92"/>
      <c r="T54" s="92"/>
      <c r="U54" s="92"/>
      <c r="V54" s="745"/>
      <c r="W54" s="745">
        <v>24.22</v>
      </c>
      <c r="X54" s="745">
        <v>24.46</v>
      </c>
      <c r="Y54" s="745">
        <v>24.57</v>
      </c>
      <c r="Z54" s="745">
        <v>24.81</v>
      </c>
      <c r="AA54" s="745">
        <v>25.02</v>
      </c>
      <c r="AB54" s="745">
        <v>25.2</v>
      </c>
      <c r="AC54" s="745">
        <v>25.21</v>
      </c>
      <c r="AD54" s="745">
        <v>25.19</v>
      </c>
      <c r="AE54" s="745">
        <v>25.31</v>
      </c>
      <c r="AF54" s="745">
        <v>25.54</v>
      </c>
      <c r="AG54" s="745">
        <v>25.81</v>
      </c>
      <c r="AH54" s="745">
        <v>26.09</v>
      </c>
      <c r="AI54" s="745">
        <v>26.35</v>
      </c>
      <c r="AJ54" s="745">
        <v>26.64</v>
      </c>
      <c r="AK54" s="745">
        <v>26.93</v>
      </c>
      <c r="AL54" s="745">
        <v>27.27</v>
      </c>
      <c r="AM54" s="745">
        <v>27.58</v>
      </c>
      <c r="AN54" s="745">
        <v>27.79</v>
      </c>
      <c r="AO54" s="745">
        <v>27.96</v>
      </c>
      <c r="AP54" s="745">
        <v>28.14</v>
      </c>
      <c r="AQ54" s="745">
        <v>28.31</v>
      </c>
      <c r="AR54" s="745">
        <v>28.51</v>
      </c>
      <c r="AS54" s="745">
        <v>28.57</v>
      </c>
      <c r="AT54" s="745">
        <v>28.65</v>
      </c>
      <c r="AU54" s="745">
        <v>28.75</v>
      </c>
      <c r="AV54" s="745">
        <v>28.83</v>
      </c>
      <c r="AW54" s="745">
        <v>29.05</v>
      </c>
      <c r="AX54" s="745">
        <v>29.17</v>
      </c>
      <c r="AY54" s="745">
        <v>29.25</v>
      </c>
      <c r="AZ54" s="745">
        <v>29.36</v>
      </c>
      <c r="BA54" s="745">
        <v>29.46</v>
      </c>
      <c r="BB54" s="745">
        <v>29.58</v>
      </c>
      <c r="BC54" s="745">
        <v>29.71</v>
      </c>
      <c r="BD54" s="745">
        <v>29.86</v>
      </c>
      <c r="BE54" s="745">
        <v>30.02</v>
      </c>
      <c r="BF54" s="745">
        <v>30.18</v>
      </c>
      <c r="BG54" s="745">
        <v>30.34</v>
      </c>
      <c r="BH54" s="745">
        <v>30.53</v>
      </c>
      <c r="BI54" s="745">
        <v>30.68</v>
      </c>
      <c r="BJ54" s="745">
        <v>30.85</v>
      </c>
      <c r="BK54" s="745">
        <v>31.02</v>
      </c>
      <c r="BL54" s="745">
        <v>31.21</v>
      </c>
      <c r="BM54" s="745">
        <v>31.37</v>
      </c>
      <c r="BN54" s="745">
        <v>31.55</v>
      </c>
      <c r="BO54" s="745">
        <v>31.71</v>
      </c>
      <c r="BP54" s="745">
        <v>31.88</v>
      </c>
      <c r="BQ54" s="745">
        <v>32.04</v>
      </c>
      <c r="BR54" s="745">
        <v>32.200000000000003</v>
      </c>
      <c r="BS54" s="745">
        <v>32.36</v>
      </c>
      <c r="BT54" s="857">
        <v>32.520000000000003</v>
      </c>
      <c r="BU54" s="745">
        <v>32.67</v>
      </c>
      <c r="BV54" s="745">
        <v>32.83</v>
      </c>
      <c r="BW54" s="745">
        <v>32.99</v>
      </c>
      <c r="BX54" s="745">
        <v>33.14</v>
      </c>
      <c r="BY54" s="745">
        <v>33.299999999999997</v>
      </c>
      <c r="BZ54" s="745">
        <v>33.450000000000003</v>
      </c>
      <c r="CA54" s="745">
        <v>33.6</v>
      </c>
      <c r="CB54" s="745">
        <v>33.75</v>
      </c>
      <c r="CC54" s="745">
        <v>33.9</v>
      </c>
      <c r="CD54" s="745">
        <v>34.049999999999997</v>
      </c>
      <c r="CE54" s="745">
        <v>34.200000000000003</v>
      </c>
      <c r="CF54" s="745">
        <v>34.35</v>
      </c>
      <c r="CG54" s="745">
        <v>34.5</v>
      </c>
      <c r="CH54" s="745">
        <v>34.65</v>
      </c>
      <c r="CI54" s="745">
        <v>34.79</v>
      </c>
      <c r="CJ54" s="745">
        <v>34.94</v>
      </c>
      <c r="CK54" s="745">
        <v>35.08</v>
      </c>
      <c r="CL54" s="745">
        <v>35.22</v>
      </c>
      <c r="CM54" s="745">
        <v>35.36</v>
      </c>
      <c r="CN54" s="745">
        <v>35.51</v>
      </c>
      <c r="CO54" s="745">
        <v>35.65</v>
      </c>
      <c r="CP54" s="745">
        <v>35.79</v>
      </c>
      <c r="CQ54" s="745">
        <v>35.92</v>
      </c>
      <c r="CR54" s="745">
        <v>36.06</v>
      </c>
      <c r="CS54" s="745">
        <v>36.200000000000003</v>
      </c>
      <c r="CT54" s="745">
        <v>36.33</v>
      </c>
      <c r="CU54" s="745">
        <v>36.47</v>
      </c>
      <c r="CV54" s="745">
        <v>36.6</v>
      </c>
      <c r="CW54" s="745">
        <v>36.74</v>
      </c>
      <c r="CX54" s="745">
        <v>36.869999999999997</v>
      </c>
      <c r="CY54" s="745">
        <v>37</v>
      </c>
      <c r="CZ54" s="745">
        <v>37.130000000000003</v>
      </c>
      <c r="DA54" s="745">
        <v>37.26</v>
      </c>
      <c r="DB54" s="745">
        <v>37.39</v>
      </c>
      <c r="DC54" s="745">
        <v>37.51</v>
      </c>
      <c r="DD54" s="745">
        <v>37.64</v>
      </c>
      <c r="DE54" s="745">
        <v>37.770000000000003</v>
      </c>
      <c r="DF54" s="745">
        <v>37.89</v>
      </c>
      <c r="DG54" s="745">
        <v>38.020000000000003</v>
      </c>
      <c r="DH54" s="745">
        <v>38.14</v>
      </c>
      <c r="DI54" s="745">
        <v>38.26</v>
      </c>
      <c r="DJ54" s="745">
        <v>38.380000000000003</v>
      </c>
      <c r="DK54" s="745">
        <v>38.5</v>
      </c>
      <c r="DL54" s="745">
        <v>38.619999999999997</v>
      </c>
      <c r="DM54" s="745">
        <v>38.74</v>
      </c>
      <c r="DN54" s="745">
        <v>38.86</v>
      </c>
      <c r="DO54" s="745">
        <v>38.979999999999997</v>
      </c>
      <c r="DP54" s="745">
        <v>39.090000000000003</v>
      </c>
      <c r="DQ54" s="745">
        <v>39.21</v>
      </c>
      <c r="DR54" s="745">
        <v>39.32</v>
      </c>
    </row>
    <row r="55" spans="1:122">
      <c r="A55" s="912">
        <v>53</v>
      </c>
      <c r="B55" s="92"/>
      <c r="C55" s="92"/>
      <c r="D55" s="92"/>
      <c r="E55" s="92"/>
      <c r="F55" s="92"/>
      <c r="G55" s="92"/>
      <c r="H55" s="92"/>
      <c r="I55" s="92"/>
      <c r="J55" s="92"/>
      <c r="K55" s="92"/>
      <c r="L55" s="92"/>
      <c r="M55" s="92"/>
      <c r="N55" s="92"/>
      <c r="O55" s="92"/>
      <c r="P55" s="92"/>
      <c r="Q55" s="92"/>
      <c r="R55" s="92"/>
      <c r="S55" s="92"/>
      <c r="T55" s="92"/>
      <c r="U55" s="92"/>
      <c r="V55" s="745"/>
      <c r="W55" s="745">
        <v>23.44</v>
      </c>
      <c r="X55" s="745">
        <v>23.68</v>
      </c>
      <c r="Y55" s="745">
        <v>23.79</v>
      </c>
      <c r="Z55" s="745">
        <v>24.03</v>
      </c>
      <c r="AA55" s="745">
        <v>24.23</v>
      </c>
      <c r="AB55" s="745">
        <v>24.41</v>
      </c>
      <c r="AC55" s="745">
        <v>24.44</v>
      </c>
      <c r="AD55" s="745">
        <v>24.41</v>
      </c>
      <c r="AE55" s="745">
        <v>24.53</v>
      </c>
      <c r="AF55" s="745">
        <v>24.76</v>
      </c>
      <c r="AG55" s="745">
        <v>25.03</v>
      </c>
      <c r="AH55" s="745">
        <v>25.31</v>
      </c>
      <c r="AI55" s="745">
        <v>25.56</v>
      </c>
      <c r="AJ55" s="745">
        <v>25.85</v>
      </c>
      <c r="AK55" s="745">
        <v>26.14</v>
      </c>
      <c r="AL55" s="745">
        <v>26.47</v>
      </c>
      <c r="AM55" s="745">
        <v>26.77</v>
      </c>
      <c r="AN55" s="745">
        <v>27</v>
      </c>
      <c r="AO55" s="745">
        <v>27.16</v>
      </c>
      <c r="AP55" s="745">
        <v>27.33</v>
      </c>
      <c r="AQ55" s="745">
        <v>27.5</v>
      </c>
      <c r="AR55" s="745">
        <v>27.71</v>
      </c>
      <c r="AS55" s="745">
        <v>27.76</v>
      </c>
      <c r="AT55" s="745">
        <v>27.84</v>
      </c>
      <c r="AU55" s="745">
        <v>27.93</v>
      </c>
      <c r="AV55" s="745">
        <v>28</v>
      </c>
      <c r="AW55" s="745">
        <v>28.23</v>
      </c>
      <c r="AX55" s="745">
        <v>28.33</v>
      </c>
      <c r="AY55" s="745">
        <v>28.43</v>
      </c>
      <c r="AZ55" s="745">
        <v>28.53</v>
      </c>
      <c r="BA55" s="745">
        <v>28.62</v>
      </c>
      <c r="BB55" s="745">
        <v>28.75</v>
      </c>
      <c r="BC55" s="745">
        <v>28.88</v>
      </c>
      <c r="BD55" s="745">
        <v>29.03</v>
      </c>
      <c r="BE55" s="745">
        <v>29.18</v>
      </c>
      <c r="BF55" s="745">
        <v>29.34</v>
      </c>
      <c r="BG55" s="745">
        <v>29.49</v>
      </c>
      <c r="BH55" s="745">
        <v>29.68</v>
      </c>
      <c r="BI55" s="745">
        <v>29.83</v>
      </c>
      <c r="BJ55" s="745">
        <v>30</v>
      </c>
      <c r="BK55" s="745">
        <v>30.16</v>
      </c>
      <c r="BL55" s="745">
        <v>30.35</v>
      </c>
      <c r="BM55" s="745">
        <v>30.51</v>
      </c>
      <c r="BN55" s="745">
        <v>30.68</v>
      </c>
      <c r="BO55" s="745">
        <v>30.84</v>
      </c>
      <c r="BP55" s="745">
        <v>31</v>
      </c>
      <c r="BQ55" s="745">
        <v>31.16</v>
      </c>
      <c r="BR55" s="745">
        <v>31.32</v>
      </c>
      <c r="BS55" s="745">
        <v>31.48</v>
      </c>
      <c r="BT55" s="857">
        <v>31.64</v>
      </c>
      <c r="BU55" s="745">
        <v>31.79</v>
      </c>
      <c r="BV55" s="745">
        <v>31.95</v>
      </c>
      <c r="BW55" s="745">
        <v>32.1</v>
      </c>
      <c r="BX55" s="745">
        <v>32.25</v>
      </c>
      <c r="BY55" s="745">
        <v>32.409999999999997</v>
      </c>
      <c r="BZ55" s="745">
        <v>32.56</v>
      </c>
      <c r="CA55" s="745">
        <v>32.71</v>
      </c>
      <c r="CB55" s="745">
        <v>32.86</v>
      </c>
      <c r="CC55" s="745">
        <v>33.01</v>
      </c>
      <c r="CD55" s="745">
        <v>33.159999999999997</v>
      </c>
      <c r="CE55" s="745">
        <v>33.299999999999997</v>
      </c>
      <c r="CF55" s="745">
        <v>33.450000000000003</v>
      </c>
      <c r="CG55" s="745">
        <v>33.6</v>
      </c>
      <c r="CH55" s="745">
        <v>33.74</v>
      </c>
      <c r="CI55" s="745">
        <v>33.89</v>
      </c>
      <c r="CJ55" s="745">
        <v>34.03</v>
      </c>
      <c r="CK55" s="745">
        <v>34.17</v>
      </c>
      <c r="CL55" s="745">
        <v>34.31</v>
      </c>
      <c r="CM55" s="745">
        <v>34.450000000000003</v>
      </c>
      <c r="CN55" s="745">
        <v>34.590000000000003</v>
      </c>
      <c r="CO55" s="745">
        <v>34.729999999999997</v>
      </c>
      <c r="CP55" s="745">
        <v>34.869999999999997</v>
      </c>
      <c r="CQ55" s="745">
        <v>35.01</v>
      </c>
      <c r="CR55" s="745">
        <v>35.14</v>
      </c>
      <c r="CS55" s="745">
        <v>35.28</v>
      </c>
      <c r="CT55" s="745">
        <v>35.409999999999997</v>
      </c>
      <c r="CU55" s="745">
        <v>35.549999999999997</v>
      </c>
      <c r="CV55" s="745">
        <v>35.68</v>
      </c>
      <c r="CW55" s="745">
        <v>35.81</v>
      </c>
      <c r="CX55" s="745">
        <v>35.94</v>
      </c>
      <c r="CY55" s="745">
        <v>36.07</v>
      </c>
      <c r="CZ55" s="745">
        <v>36.200000000000003</v>
      </c>
      <c r="DA55" s="745">
        <v>36.33</v>
      </c>
      <c r="DB55" s="745">
        <v>36.46</v>
      </c>
      <c r="DC55" s="745">
        <v>36.58</v>
      </c>
      <c r="DD55" s="745">
        <v>36.71</v>
      </c>
      <c r="DE55" s="745">
        <v>36.840000000000003</v>
      </c>
      <c r="DF55" s="745">
        <v>36.96</v>
      </c>
      <c r="DG55" s="745">
        <v>37.08</v>
      </c>
      <c r="DH55" s="745">
        <v>37.200000000000003</v>
      </c>
      <c r="DI55" s="745">
        <v>37.33</v>
      </c>
      <c r="DJ55" s="745">
        <v>37.450000000000003</v>
      </c>
      <c r="DK55" s="745">
        <v>37.57</v>
      </c>
      <c r="DL55" s="745">
        <v>37.68</v>
      </c>
      <c r="DM55" s="745">
        <v>37.799999999999997</v>
      </c>
      <c r="DN55" s="745">
        <v>37.92</v>
      </c>
      <c r="DO55" s="745">
        <v>38.03</v>
      </c>
      <c r="DP55" s="745">
        <v>38.15</v>
      </c>
      <c r="DQ55" s="745">
        <v>38.26</v>
      </c>
      <c r="DR55" s="745">
        <v>38.380000000000003</v>
      </c>
    </row>
    <row r="56" spans="1:122">
      <c r="A56" s="912">
        <v>54</v>
      </c>
      <c r="B56" s="92"/>
      <c r="C56" s="92"/>
      <c r="D56" s="92"/>
      <c r="E56" s="92"/>
      <c r="F56" s="92"/>
      <c r="G56" s="92"/>
      <c r="H56" s="92"/>
      <c r="I56" s="92"/>
      <c r="J56" s="92"/>
      <c r="K56" s="92"/>
      <c r="L56" s="92"/>
      <c r="M56" s="92"/>
      <c r="N56" s="92"/>
      <c r="O56" s="92"/>
      <c r="P56" s="92"/>
      <c r="Q56" s="92"/>
      <c r="R56" s="92"/>
      <c r="S56" s="92"/>
      <c r="T56" s="92"/>
      <c r="U56" s="92"/>
      <c r="V56" s="745"/>
      <c r="W56" s="745">
        <v>22.67</v>
      </c>
      <c r="X56" s="745">
        <v>22.91</v>
      </c>
      <c r="Y56" s="745">
        <v>23.02</v>
      </c>
      <c r="Z56" s="745">
        <v>23.26</v>
      </c>
      <c r="AA56" s="745">
        <v>23.46</v>
      </c>
      <c r="AB56" s="745">
        <v>23.64</v>
      </c>
      <c r="AC56" s="745">
        <v>23.67</v>
      </c>
      <c r="AD56" s="745">
        <v>23.64</v>
      </c>
      <c r="AE56" s="745">
        <v>23.76</v>
      </c>
      <c r="AF56" s="745">
        <v>24</v>
      </c>
      <c r="AG56" s="745">
        <v>24.25</v>
      </c>
      <c r="AH56" s="745">
        <v>24.53</v>
      </c>
      <c r="AI56" s="745">
        <v>24.79</v>
      </c>
      <c r="AJ56" s="745">
        <v>25.07</v>
      </c>
      <c r="AK56" s="745">
        <v>25.36</v>
      </c>
      <c r="AL56" s="745">
        <v>25.69</v>
      </c>
      <c r="AM56" s="745">
        <v>26</v>
      </c>
      <c r="AN56" s="745">
        <v>26.21</v>
      </c>
      <c r="AO56" s="745">
        <v>26.37</v>
      </c>
      <c r="AP56" s="745">
        <v>26.54</v>
      </c>
      <c r="AQ56" s="745">
        <v>26.7</v>
      </c>
      <c r="AR56" s="745">
        <v>26.91</v>
      </c>
      <c r="AS56" s="745">
        <v>26.95</v>
      </c>
      <c r="AT56" s="745">
        <v>27.03</v>
      </c>
      <c r="AU56" s="745">
        <v>27.11</v>
      </c>
      <c r="AV56" s="745">
        <v>27.19</v>
      </c>
      <c r="AW56" s="745">
        <v>27.4</v>
      </c>
      <c r="AX56" s="745">
        <v>27.5</v>
      </c>
      <c r="AY56" s="745">
        <v>27.61</v>
      </c>
      <c r="AZ56" s="745">
        <v>27.71</v>
      </c>
      <c r="BA56" s="745">
        <v>27.8</v>
      </c>
      <c r="BB56" s="745">
        <v>27.92</v>
      </c>
      <c r="BC56" s="745">
        <v>28.05</v>
      </c>
      <c r="BD56" s="745">
        <v>28.19</v>
      </c>
      <c r="BE56" s="745">
        <v>28.34</v>
      </c>
      <c r="BF56" s="745">
        <v>28.5</v>
      </c>
      <c r="BG56" s="745">
        <v>28.66</v>
      </c>
      <c r="BH56" s="745">
        <v>28.83</v>
      </c>
      <c r="BI56" s="745">
        <v>28.98</v>
      </c>
      <c r="BJ56" s="745">
        <v>29.16</v>
      </c>
      <c r="BK56" s="745">
        <v>29.31</v>
      </c>
      <c r="BL56" s="745">
        <v>29.5</v>
      </c>
      <c r="BM56" s="745">
        <v>29.65</v>
      </c>
      <c r="BN56" s="745">
        <v>29.82</v>
      </c>
      <c r="BO56" s="745">
        <v>29.98</v>
      </c>
      <c r="BP56" s="745">
        <v>30.14</v>
      </c>
      <c r="BQ56" s="745">
        <v>30.29</v>
      </c>
      <c r="BR56" s="745">
        <v>30.45</v>
      </c>
      <c r="BS56" s="745">
        <v>30.61</v>
      </c>
      <c r="BT56" s="857">
        <v>30.76</v>
      </c>
      <c r="BU56" s="745">
        <v>30.92</v>
      </c>
      <c r="BV56" s="745">
        <v>31.07</v>
      </c>
      <c r="BW56" s="745">
        <v>31.22</v>
      </c>
      <c r="BX56" s="745">
        <v>31.37</v>
      </c>
      <c r="BY56" s="745">
        <v>31.53</v>
      </c>
      <c r="BZ56" s="745">
        <v>31.68</v>
      </c>
      <c r="CA56" s="745">
        <v>31.82</v>
      </c>
      <c r="CB56" s="745">
        <v>31.97</v>
      </c>
      <c r="CC56" s="745">
        <v>32.119999999999997</v>
      </c>
      <c r="CD56" s="745">
        <v>32.270000000000003</v>
      </c>
      <c r="CE56" s="745">
        <v>32.409999999999997</v>
      </c>
      <c r="CF56" s="745">
        <v>32.56</v>
      </c>
      <c r="CG56" s="745">
        <v>32.700000000000003</v>
      </c>
      <c r="CH56" s="745">
        <v>32.85</v>
      </c>
      <c r="CI56" s="745">
        <v>32.99</v>
      </c>
      <c r="CJ56" s="745">
        <v>33.130000000000003</v>
      </c>
      <c r="CK56" s="745">
        <v>33.270000000000003</v>
      </c>
      <c r="CL56" s="745">
        <v>33.409999999999997</v>
      </c>
      <c r="CM56" s="745">
        <v>33.549999999999997</v>
      </c>
      <c r="CN56" s="745">
        <v>33.69</v>
      </c>
      <c r="CO56" s="745">
        <v>33.83</v>
      </c>
      <c r="CP56" s="745">
        <v>33.96</v>
      </c>
      <c r="CQ56" s="745">
        <v>34.1</v>
      </c>
      <c r="CR56" s="745">
        <v>34.229999999999997</v>
      </c>
      <c r="CS56" s="745">
        <v>34.369999999999997</v>
      </c>
      <c r="CT56" s="745">
        <v>34.5</v>
      </c>
      <c r="CU56" s="745">
        <v>34.630000000000003</v>
      </c>
      <c r="CV56" s="745">
        <v>34.76</v>
      </c>
      <c r="CW56" s="745">
        <v>34.89</v>
      </c>
      <c r="CX56" s="745">
        <v>35.020000000000003</v>
      </c>
      <c r="CY56" s="745">
        <v>35.15</v>
      </c>
      <c r="CZ56" s="745">
        <v>35.28</v>
      </c>
      <c r="DA56" s="745">
        <v>35.409999999999997</v>
      </c>
      <c r="DB56" s="745">
        <v>35.53</v>
      </c>
      <c r="DC56" s="745">
        <v>35.659999999999997</v>
      </c>
      <c r="DD56" s="745">
        <v>35.78</v>
      </c>
      <c r="DE56" s="745">
        <v>35.909999999999997</v>
      </c>
      <c r="DF56" s="745">
        <v>36.03</v>
      </c>
      <c r="DG56" s="745">
        <v>36.15</v>
      </c>
      <c r="DH56" s="745">
        <v>36.270000000000003</v>
      </c>
      <c r="DI56" s="745">
        <v>36.39</v>
      </c>
      <c r="DJ56" s="745">
        <v>36.51</v>
      </c>
      <c r="DK56" s="745">
        <v>36.630000000000003</v>
      </c>
      <c r="DL56" s="745">
        <v>36.75</v>
      </c>
      <c r="DM56" s="745">
        <v>36.869999999999997</v>
      </c>
      <c r="DN56" s="745">
        <v>36.979999999999997</v>
      </c>
      <c r="DO56" s="745">
        <v>37.1</v>
      </c>
      <c r="DP56" s="745">
        <v>37.21</v>
      </c>
      <c r="DQ56" s="745">
        <v>37.32</v>
      </c>
      <c r="DR56" s="745">
        <v>37.44</v>
      </c>
    </row>
    <row r="57" spans="1:122">
      <c r="A57" s="912">
        <v>55</v>
      </c>
      <c r="B57" s="92"/>
      <c r="C57" s="92"/>
      <c r="D57" s="92"/>
      <c r="E57" s="92"/>
      <c r="F57" s="92"/>
      <c r="G57" s="92"/>
      <c r="H57" s="92"/>
      <c r="I57" s="92"/>
      <c r="J57" s="92"/>
      <c r="K57" s="92"/>
      <c r="L57" s="92"/>
      <c r="M57" s="92"/>
      <c r="N57" s="92"/>
      <c r="O57" s="92"/>
      <c r="P57" s="92"/>
      <c r="Q57" s="92"/>
      <c r="R57" s="92"/>
      <c r="S57" s="92"/>
      <c r="T57" s="92"/>
      <c r="U57" s="92"/>
      <c r="V57" s="745"/>
      <c r="W57" s="745">
        <v>21.91</v>
      </c>
      <c r="X57" s="745">
        <v>22.15</v>
      </c>
      <c r="Y57" s="745">
        <v>22.25</v>
      </c>
      <c r="Z57" s="745">
        <v>22.5</v>
      </c>
      <c r="AA57" s="745">
        <v>22.69</v>
      </c>
      <c r="AB57" s="745">
        <v>22.88</v>
      </c>
      <c r="AC57" s="745">
        <v>22.9</v>
      </c>
      <c r="AD57" s="745">
        <v>22.88</v>
      </c>
      <c r="AE57" s="745">
        <v>23.01</v>
      </c>
      <c r="AF57" s="745">
        <v>23.24</v>
      </c>
      <c r="AG57" s="745">
        <v>23.5</v>
      </c>
      <c r="AH57" s="745">
        <v>23.77</v>
      </c>
      <c r="AI57" s="745">
        <v>24.03</v>
      </c>
      <c r="AJ57" s="745">
        <v>24.29</v>
      </c>
      <c r="AK57" s="745">
        <v>24.59</v>
      </c>
      <c r="AL57" s="745">
        <v>24.91</v>
      </c>
      <c r="AM57" s="745">
        <v>25.22</v>
      </c>
      <c r="AN57" s="745">
        <v>25.43</v>
      </c>
      <c r="AO57" s="745">
        <v>25.59</v>
      </c>
      <c r="AP57" s="745">
        <v>25.75</v>
      </c>
      <c r="AQ57" s="745">
        <v>25.92</v>
      </c>
      <c r="AR57" s="745">
        <v>26.11</v>
      </c>
      <c r="AS57" s="745">
        <v>26.15</v>
      </c>
      <c r="AT57" s="745">
        <v>26.23</v>
      </c>
      <c r="AU57" s="745">
        <v>26.31</v>
      </c>
      <c r="AV57" s="745">
        <v>26.38</v>
      </c>
      <c r="AW57" s="745">
        <v>26.59</v>
      </c>
      <c r="AX57" s="745">
        <v>26.69</v>
      </c>
      <c r="AY57" s="745">
        <v>26.79</v>
      </c>
      <c r="AZ57" s="745">
        <v>26.89</v>
      </c>
      <c r="BA57" s="745">
        <v>26.98</v>
      </c>
      <c r="BB57" s="745">
        <v>27.09</v>
      </c>
      <c r="BC57" s="745">
        <v>27.23</v>
      </c>
      <c r="BD57" s="745">
        <v>27.37</v>
      </c>
      <c r="BE57" s="745">
        <v>27.52</v>
      </c>
      <c r="BF57" s="745">
        <v>27.68</v>
      </c>
      <c r="BG57" s="745">
        <v>27.83</v>
      </c>
      <c r="BH57" s="745">
        <v>28.01</v>
      </c>
      <c r="BI57" s="745">
        <v>28.15</v>
      </c>
      <c r="BJ57" s="745">
        <v>28.32</v>
      </c>
      <c r="BK57" s="745">
        <v>28.48</v>
      </c>
      <c r="BL57" s="745">
        <v>28.65</v>
      </c>
      <c r="BM57" s="745">
        <v>28.81</v>
      </c>
      <c r="BN57" s="745">
        <v>28.97</v>
      </c>
      <c r="BO57" s="745">
        <v>29.12</v>
      </c>
      <c r="BP57" s="745">
        <v>29.28</v>
      </c>
      <c r="BQ57" s="745">
        <v>29.44</v>
      </c>
      <c r="BR57" s="745">
        <v>29.59</v>
      </c>
      <c r="BS57" s="745">
        <v>29.74</v>
      </c>
      <c r="BT57" s="857">
        <v>29.9</v>
      </c>
      <c r="BU57" s="745">
        <v>30.05</v>
      </c>
      <c r="BV57" s="745">
        <v>30.2</v>
      </c>
      <c r="BW57" s="745">
        <v>30.35</v>
      </c>
      <c r="BX57" s="745">
        <v>30.5</v>
      </c>
      <c r="BY57" s="745">
        <v>30.65</v>
      </c>
      <c r="BZ57" s="745">
        <v>30.8</v>
      </c>
      <c r="CA57" s="745">
        <v>30.95</v>
      </c>
      <c r="CB57" s="745">
        <v>31.09</v>
      </c>
      <c r="CC57" s="745">
        <v>31.24</v>
      </c>
      <c r="CD57" s="745">
        <v>31.38</v>
      </c>
      <c r="CE57" s="745">
        <v>31.53</v>
      </c>
      <c r="CF57" s="745">
        <v>31.67</v>
      </c>
      <c r="CG57" s="745">
        <v>31.81</v>
      </c>
      <c r="CH57" s="745">
        <v>31.96</v>
      </c>
      <c r="CI57" s="745">
        <v>32.1</v>
      </c>
      <c r="CJ57" s="745">
        <v>32.24</v>
      </c>
      <c r="CK57" s="745">
        <v>32.380000000000003</v>
      </c>
      <c r="CL57" s="745">
        <v>32.520000000000003</v>
      </c>
      <c r="CM57" s="745">
        <v>32.65</v>
      </c>
      <c r="CN57" s="745">
        <v>32.79</v>
      </c>
      <c r="CO57" s="745">
        <v>32.93</v>
      </c>
      <c r="CP57" s="745">
        <v>33.06</v>
      </c>
      <c r="CQ57" s="745">
        <v>33.19</v>
      </c>
      <c r="CR57" s="745">
        <v>33.33</v>
      </c>
      <c r="CS57" s="745">
        <v>33.46</v>
      </c>
      <c r="CT57" s="745">
        <v>33.590000000000003</v>
      </c>
      <c r="CU57" s="745">
        <v>33.72</v>
      </c>
      <c r="CV57" s="745">
        <v>33.85</v>
      </c>
      <c r="CW57" s="745">
        <v>33.979999999999997</v>
      </c>
      <c r="CX57" s="745">
        <v>34.11</v>
      </c>
      <c r="CY57" s="745">
        <v>34.24</v>
      </c>
      <c r="CZ57" s="745">
        <v>34.369999999999997</v>
      </c>
      <c r="DA57" s="745">
        <v>34.49</v>
      </c>
      <c r="DB57" s="745">
        <v>34.619999999999997</v>
      </c>
      <c r="DC57" s="745">
        <v>34.74</v>
      </c>
      <c r="DD57" s="745">
        <v>34.86</v>
      </c>
      <c r="DE57" s="745">
        <v>34.99</v>
      </c>
      <c r="DF57" s="745">
        <v>35.11</v>
      </c>
      <c r="DG57" s="745">
        <v>35.229999999999997</v>
      </c>
      <c r="DH57" s="745">
        <v>35.35</v>
      </c>
      <c r="DI57" s="745">
        <v>35.47</v>
      </c>
      <c r="DJ57" s="745">
        <v>35.58</v>
      </c>
      <c r="DK57" s="745">
        <v>35.700000000000003</v>
      </c>
      <c r="DL57" s="745">
        <v>35.82</v>
      </c>
      <c r="DM57" s="745">
        <v>35.93</v>
      </c>
      <c r="DN57" s="745">
        <v>36.049999999999997</v>
      </c>
      <c r="DO57" s="745">
        <v>36.159999999999997</v>
      </c>
      <c r="DP57" s="745">
        <v>36.28</v>
      </c>
      <c r="DQ57" s="745">
        <v>36.39</v>
      </c>
      <c r="DR57" s="745">
        <v>36.5</v>
      </c>
    </row>
    <row r="58" spans="1:122">
      <c r="A58" s="912">
        <v>56</v>
      </c>
      <c r="B58" s="92"/>
      <c r="C58" s="92"/>
      <c r="D58" s="92"/>
      <c r="E58" s="92"/>
      <c r="F58" s="92"/>
      <c r="G58" s="92"/>
      <c r="H58" s="92"/>
      <c r="I58" s="92"/>
      <c r="J58" s="92"/>
      <c r="K58" s="92"/>
      <c r="L58" s="92"/>
      <c r="M58" s="92"/>
      <c r="N58" s="92"/>
      <c r="O58" s="92"/>
      <c r="P58" s="92"/>
      <c r="Q58" s="92"/>
      <c r="R58" s="92"/>
      <c r="S58" s="92"/>
      <c r="T58" s="92"/>
      <c r="U58" s="92"/>
      <c r="V58" s="745"/>
      <c r="W58" s="745">
        <v>21.16</v>
      </c>
      <c r="X58" s="745">
        <v>21.4</v>
      </c>
      <c r="Y58" s="745">
        <v>21.5</v>
      </c>
      <c r="Z58" s="745">
        <v>21.75</v>
      </c>
      <c r="AA58" s="745">
        <v>21.94</v>
      </c>
      <c r="AB58" s="745">
        <v>22.13</v>
      </c>
      <c r="AC58" s="745">
        <v>22.16</v>
      </c>
      <c r="AD58" s="745">
        <v>22.14</v>
      </c>
      <c r="AE58" s="745">
        <v>22.27</v>
      </c>
      <c r="AF58" s="745">
        <v>22.49</v>
      </c>
      <c r="AG58" s="745">
        <v>22.75</v>
      </c>
      <c r="AH58" s="745">
        <v>23.02</v>
      </c>
      <c r="AI58" s="745">
        <v>23.27</v>
      </c>
      <c r="AJ58" s="745">
        <v>23.54</v>
      </c>
      <c r="AK58" s="745">
        <v>23.84</v>
      </c>
      <c r="AL58" s="745">
        <v>24.15</v>
      </c>
      <c r="AM58" s="745">
        <v>24.45</v>
      </c>
      <c r="AN58" s="745">
        <v>24.66</v>
      </c>
      <c r="AO58" s="745">
        <v>24.81</v>
      </c>
      <c r="AP58" s="745">
        <v>24.98</v>
      </c>
      <c r="AQ58" s="745">
        <v>25.13</v>
      </c>
      <c r="AR58" s="745">
        <v>25.31</v>
      </c>
      <c r="AS58" s="745">
        <v>25.35</v>
      </c>
      <c r="AT58" s="745">
        <v>25.44</v>
      </c>
      <c r="AU58" s="745">
        <v>25.51</v>
      </c>
      <c r="AV58" s="745">
        <v>25.58</v>
      </c>
      <c r="AW58" s="745">
        <v>25.79</v>
      </c>
      <c r="AX58" s="745">
        <v>25.88</v>
      </c>
      <c r="AY58" s="745">
        <v>25.98</v>
      </c>
      <c r="AZ58" s="745">
        <v>26.08</v>
      </c>
      <c r="BA58" s="745">
        <v>26.17</v>
      </c>
      <c r="BB58" s="745">
        <v>26.27</v>
      </c>
      <c r="BC58" s="745">
        <v>26.41</v>
      </c>
      <c r="BD58" s="745">
        <v>26.56</v>
      </c>
      <c r="BE58" s="745">
        <v>26.71</v>
      </c>
      <c r="BF58" s="745">
        <v>26.86</v>
      </c>
      <c r="BG58" s="745">
        <v>27.01</v>
      </c>
      <c r="BH58" s="745">
        <v>27.18</v>
      </c>
      <c r="BI58" s="745">
        <v>27.32</v>
      </c>
      <c r="BJ58" s="745">
        <v>27.5</v>
      </c>
      <c r="BK58" s="745">
        <v>27.64</v>
      </c>
      <c r="BL58" s="745">
        <v>27.82</v>
      </c>
      <c r="BM58" s="745">
        <v>27.97</v>
      </c>
      <c r="BN58" s="745">
        <v>28.12</v>
      </c>
      <c r="BO58" s="745">
        <v>28.28</v>
      </c>
      <c r="BP58" s="745">
        <v>28.43</v>
      </c>
      <c r="BQ58" s="745">
        <v>28.59</v>
      </c>
      <c r="BR58" s="745">
        <v>28.74</v>
      </c>
      <c r="BS58" s="745">
        <v>28.89</v>
      </c>
      <c r="BT58" s="857">
        <v>29.04</v>
      </c>
      <c r="BU58" s="745">
        <v>29.19</v>
      </c>
      <c r="BV58" s="745">
        <v>29.34</v>
      </c>
      <c r="BW58" s="745">
        <v>29.49</v>
      </c>
      <c r="BX58" s="745">
        <v>29.64</v>
      </c>
      <c r="BY58" s="745">
        <v>29.79</v>
      </c>
      <c r="BZ58" s="745">
        <v>29.93</v>
      </c>
      <c r="CA58" s="745">
        <v>30.08</v>
      </c>
      <c r="CB58" s="745">
        <v>30.22</v>
      </c>
      <c r="CC58" s="745">
        <v>30.37</v>
      </c>
      <c r="CD58" s="745">
        <v>30.51</v>
      </c>
      <c r="CE58" s="745">
        <v>30.65</v>
      </c>
      <c r="CF58" s="745">
        <v>30.79</v>
      </c>
      <c r="CG58" s="745">
        <v>30.93</v>
      </c>
      <c r="CH58" s="745">
        <v>31.07</v>
      </c>
      <c r="CI58" s="745">
        <v>31.21</v>
      </c>
      <c r="CJ58" s="745">
        <v>31.35</v>
      </c>
      <c r="CK58" s="745">
        <v>31.49</v>
      </c>
      <c r="CL58" s="745">
        <v>31.63</v>
      </c>
      <c r="CM58" s="745">
        <v>31.76</v>
      </c>
      <c r="CN58" s="745">
        <v>31.9</v>
      </c>
      <c r="CO58" s="745">
        <v>32.03</v>
      </c>
      <c r="CP58" s="745">
        <v>32.17</v>
      </c>
      <c r="CQ58" s="745">
        <v>32.299999999999997</v>
      </c>
      <c r="CR58" s="745">
        <v>32.43</v>
      </c>
      <c r="CS58" s="745">
        <v>32.56</v>
      </c>
      <c r="CT58" s="745">
        <v>32.69</v>
      </c>
      <c r="CU58" s="745">
        <v>32.82</v>
      </c>
      <c r="CV58" s="745">
        <v>32.950000000000003</v>
      </c>
      <c r="CW58" s="745">
        <v>33.08</v>
      </c>
      <c r="CX58" s="745">
        <v>33.200000000000003</v>
      </c>
      <c r="CY58" s="745">
        <v>33.33</v>
      </c>
      <c r="CZ58" s="745">
        <v>33.46</v>
      </c>
      <c r="DA58" s="745">
        <v>33.58</v>
      </c>
      <c r="DB58" s="745">
        <v>33.700000000000003</v>
      </c>
      <c r="DC58" s="745">
        <v>33.83</v>
      </c>
      <c r="DD58" s="745">
        <v>33.950000000000003</v>
      </c>
      <c r="DE58" s="745">
        <v>34.07</v>
      </c>
      <c r="DF58" s="745">
        <v>34.19</v>
      </c>
      <c r="DG58" s="745">
        <v>34.31</v>
      </c>
      <c r="DH58" s="745">
        <v>34.43</v>
      </c>
      <c r="DI58" s="745">
        <v>34.549999999999997</v>
      </c>
      <c r="DJ58" s="745">
        <v>34.659999999999997</v>
      </c>
      <c r="DK58" s="745">
        <v>34.78</v>
      </c>
      <c r="DL58" s="745">
        <v>34.89</v>
      </c>
      <c r="DM58" s="745">
        <v>35.01</v>
      </c>
      <c r="DN58" s="745">
        <v>35.119999999999997</v>
      </c>
      <c r="DO58" s="745">
        <v>35.229999999999997</v>
      </c>
      <c r="DP58" s="745">
        <v>35.35</v>
      </c>
      <c r="DQ58" s="745">
        <v>35.46</v>
      </c>
      <c r="DR58" s="745">
        <v>35.57</v>
      </c>
    </row>
    <row r="59" spans="1:122">
      <c r="A59" s="912">
        <v>57</v>
      </c>
      <c r="B59" s="92"/>
      <c r="C59" s="92"/>
      <c r="D59" s="92"/>
      <c r="E59" s="92"/>
      <c r="F59" s="92"/>
      <c r="G59" s="92"/>
      <c r="H59" s="92"/>
      <c r="I59" s="92"/>
      <c r="J59" s="92"/>
      <c r="K59" s="92"/>
      <c r="L59" s="92"/>
      <c r="M59" s="92"/>
      <c r="N59" s="92"/>
      <c r="O59" s="92"/>
      <c r="P59" s="92"/>
      <c r="Q59" s="92"/>
      <c r="R59" s="92"/>
      <c r="S59" s="92"/>
      <c r="T59" s="92"/>
      <c r="U59" s="92"/>
      <c r="V59" s="745"/>
      <c r="W59" s="745">
        <v>20.43</v>
      </c>
      <c r="X59" s="745">
        <v>20.66</v>
      </c>
      <c r="Y59" s="745">
        <v>20.77</v>
      </c>
      <c r="Z59" s="745">
        <v>21.02</v>
      </c>
      <c r="AA59" s="745">
        <v>21.2</v>
      </c>
      <c r="AB59" s="745">
        <v>21.4</v>
      </c>
      <c r="AC59" s="745">
        <v>21.42</v>
      </c>
      <c r="AD59" s="745">
        <v>21.41</v>
      </c>
      <c r="AE59" s="745">
        <v>21.54</v>
      </c>
      <c r="AF59" s="745">
        <v>21.76</v>
      </c>
      <c r="AG59" s="745">
        <v>22.01</v>
      </c>
      <c r="AH59" s="745">
        <v>22.28</v>
      </c>
      <c r="AI59" s="745">
        <v>22.54</v>
      </c>
      <c r="AJ59" s="745">
        <v>22.81</v>
      </c>
      <c r="AK59" s="745">
        <v>23.09</v>
      </c>
      <c r="AL59" s="745">
        <v>23.4</v>
      </c>
      <c r="AM59" s="745">
        <v>23.69</v>
      </c>
      <c r="AN59" s="745">
        <v>23.89</v>
      </c>
      <c r="AO59" s="745">
        <v>24.05</v>
      </c>
      <c r="AP59" s="745">
        <v>24.2</v>
      </c>
      <c r="AQ59" s="745">
        <v>24.35</v>
      </c>
      <c r="AR59" s="745">
        <v>24.52</v>
      </c>
      <c r="AS59" s="745">
        <v>24.57</v>
      </c>
      <c r="AT59" s="745">
        <v>24.64</v>
      </c>
      <c r="AU59" s="745">
        <v>24.72</v>
      </c>
      <c r="AV59" s="745">
        <v>24.79</v>
      </c>
      <c r="AW59" s="745">
        <v>24.98</v>
      </c>
      <c r="AX59" s="745">
        <v>25.08</v>
      </c>
      <c r="AY59" s="745">
        <v>25.18</v>
      </c>
      <c r="AZ59" s="745">
        <v>25.28</v>
      </c>
      <c r="BA59" s="745">
        <v>25.37</v>
      </c>
      <c r="BB59" s="745">
        <v>25.47</v>
      </c>
      <c r="BC59" s="745">
        <v>25.6</v>
      </c>
      <c r="BD59" s="745">
        <v>25.75</v>
      </c>
      <c r="BE59" s="745">
        <v>25.89</v>
      </c>
      <c r="BF59" s="745">
        <v>26.05</v>
      </c>
      <c r="BG59" s="745">
        <v>26.19</v>
      </c>
      <c r="BH59" s="745">
        <v>26.36</v>
      </c>
      <c r="BI59" s="745">
        <v>26.51</v>
      </c>
      <c r="BJ59" s="745">
        <v>26.68</v>
      </c>
      <c r="BK59" s="745">
        <v>26.82</v>
      </c>
      <c r="BL59" s="745">
        <v>26.98</v>
      </c>
      <c r="BM59" s="745">
        <v>27.14</v>
      </c>
      <c r="BN59" s="745">
        <v>27.29</v>
      </c>
      <c r="BO59" s="745">
        <v>27.44</v>
      </c>
      <c r="BP59" s="745">
        <v>27.6</v>
      </c>
      <c r="BQ59" s="745">
        <v>27.75</v>
      </c>
      <c r="BR59" s="745">
        <v>27.9</v>
      </c>
      <c r="BS59" s="745">
        <v>28.05</v>
      </c>
      <c r="BT59" s="857">
        <v>28.2</v>
      </c>
      <c r="BU59" s="745">
        <v>28.34</v>
      </c>
      <c r="BV59" s="745">
        <v>28.49</v>
      </c>
      <c r="BW59" s="745">
        <v>28.64</v>
      </c>
      <c r="BX59" s="745">
        <v>28.78</v>
      </c>
      <c r="BY59" s="745">
        <v>28.93</v>
      </c>
      <c r="BZ59" s="745">
        <v>29.07</v>
      </c>
      <c r="CA59" s="745">
        <v>29.22</v>
      </c>
      <c r="CB59" s="745">
        <v>29.36</v>
      </c>
      <c r="CC59" s="745">
        <v>29.5</v>
      </c>
      <c r="CD59" s="745">
        <v>29.64</v>
      </c>
      <c r="CE59" s="745">
        <v>29.78</v>
      </c>
      <c r="CF59" s="745">
        <v>29.92</v>
      </c>
      <c r="CG59" s="745">
        <v>30.06</v>
      </c>
      <c r="CH59" s="745">
        <v>30.2</v>
      </c>
      <c r="CI59" s="745">
        <v>30.34</v>
      </c>
      <c r="CJ59" s="745">
        <v>30.47</v>
      </c>
      <c r="CK59" s="745">
        <v>30.61</v>
      </c>
      <c r="CL59" s="745">
        <v>30.74</v>
      </c>
      <c r="CM59" s="745">
        <v>30.88</v>
      </c>
      <c r="CN59" s="745">
        <v>31.01</v>
      </c>
      <c r="CO59" s="745">
        <v>31.15</v>
      </c>
      <c r="CP59" s="745">
        <v>31.28</v>
      </c>
      <c r="CQ59" s="745">
        <v>31.41</v>
      </c>
      <c r="CR59" s="745">
        <v>31.54</v>
      </c>
      <c r="CS59" s="745">
        <v>31.67</v>
      </c>
      <c r="CT59" s="745">
        <v>31.8</v>
      </c>
      <c r="CU59" s="745">
        <v>31.92</v>
      </c>
      <c r="CV59" s="745">
        <v>32.049999999999997</v>
      </c>
      <c r="CW59" s="745">
        <v>32.18</v>
      </c>
      <c r="CX59" s="745">
        <v>32.299999999999997</v>
      </c>
      <c r="CY59" s="745">
        <v>32.43</v>
      </c>
      <c r="CZ59" s="745">
        <v>32.549999999999997</v>
      </c>
      <c r="DA59" s="745">
        <v>32.67</v>
      </c>
      <c r="DB59" s="745">
        <v>32.799999999999997</v>
      </c>
      <c r="DC59" s="745">
        <v>32.92</v>
      </c>
      <c r="DD59" s="745">
        <v>33.04</v>
      </c>
      <c r="DE59" s="745">
        <v>33.159999999999997</v>
      </c>
      <c r="DF59" s="745">
        <v>33.28</v>
      </c>
      <c r="DG59" s="745">
        <v>33.4</v>
      </c>
      <c r="DH59" s="745">
        <v>33.51</v>
      </c>
      <c r="DI59" s="745">
        <v>33.630000000000003</v>
      </c>
      <c r="DJ59" s="745">
        <v>33.74</v>
      </c>
      <c r="DK59" s="745">
        <v>33.86</v>
      </c>
      <c r="DL59" s="745">
        <v>33.97</v>
      </c>
      <c r="DM59" s="745">
        <v>34.090000000000003</v>
      </c>
      <c r="DN59" s="745">
        <v>34.200000000000003</v>
      </c>
      <c r="DO59" s="745">
        <v>34.31</v>
      </c>
      <c r="DP59" s="745">
        <v>34.42</v>
      </c>
      <c r="DQ59" s="745">
        <v>34.53</v>
      </c>
      <c r="DR59" s="745">
        <v>34.64</v>
      </c>
    </row>
    <row r="60" spans="1:122">
      <c r="A60" s="912">
        <v>58</v>
      </c>
      <c r="B60" s="92"/>
      <c r="C60" s="92"/>
      <c r="D60" s="92"/>
      <c r="E60" s="92"/>
      <c r="F60" s="92"/>
      <c r="G60" s="92"/>
      <c r="H60" s="92"/>
      <c r="I60" s="92"/>
      <c r="J60" s="92"/>
      <c r="K60" s="92"/>
      <c r="L60" s="92"/>
      <c r="M60" s="92"/>
      <c r="N60" s="92"/>
      <c r="O60" s="92"/>
      <c r="P60" s="92"/>
      <c r="Q60" s="92"/>
      <c r="R60" s="92"/>
      <c r="S60" s="92"/>
      <c r="T60" s="92"/>
      <c r="U60" s="92"/>
      <c r="V60" s="745"/>
      <c r="W60" s="745">
        <v>19.71</v>
      </c>
      <c r="X60" s="745">
        <v>19.940000000000001</v>
      </c>
      <c r="Y60" s="745">
        <v>20.059999999999999</v>
      </c>
      <c r="Z60" s="745">
        <v>20.29</v>
      </c>
      <c r="AA60" s="745">
        <v>20.48</v>
      </c>
      <c r="AB60" s="745">
        <v>20.67</v>
      </c>
      <c r="AC60" s="745">
        <v>20.69</v>
      </c>
      <c r="AD60" s="745">
        <v>20.68</v>
      </c>
      <c r="AE60" s="745">
        <v>20.82</v>
      </c>
      <c r="AF60" s="745">
        <v>21.04</v>
      </c>
      <c r="AG60" s="745">
        <v>21.28</v>
      </c>
      <c r="AH60" s="745">
        <v>21.55</v>
      </c>
      <c r="AI60" s="745">
        <v>21.81</v>
      </c>
      <c r="AJ60" s="745">
        <v>22.08</v>
      </c>
      <c r="AK60" s="745">
        <v>22.35</v>
      </c>
      <c r="AL60" s="745">
        <v>22.66</v>
      </c>
      <c r="AM60" s="745">
        <v>22.95</v>
      </c>
      <c r="AN60" s="745">
        <v>23.15</v>
      </c>
      <c r="AO60" s="745">
        <v>23.29</v>
      </c>
      <c r="AP60" s="745">
        <v>23.44</v>
      </c>
      <c r="AQ60" s="745">
        <v>23.57</v>
      </c>
      <c r="AR60" s="745">
        <v>23.74</v>
      </c>
      <c r="AS60" s="745">
        <v>23.79</v>
      </c>
      <c r="AT60" s="745">
        <v>23.86</v>
      </c>
      <c r="AU60" s="745">
        <v>23.94</v>
      </c>
      <c r="AV60" s="745">
        <v>24</v>
      </c>
      <c r="AW60" s="745">
        <v>24.19</v>
      </c>
      <c r="AX60" s="745">
        <v>24.28</v>
      </c>
      <c r="AY60" s="745">
        <v>24.37</v>
      </c>
      <c r="AZ60" s="745">
        <v>24.48</v>
      </c>
      <c r="BA60" s="745">
        <v>24.56</v>
      </c>
      <c r="BB60" s="745">
        <v>24.67</v>
      </c>
      <c r="BC60" s="745">
        <v>24.81</v>
      </c>
      <c r="BD60" s="745">
        <v>24.95</v>
      </c>
      <c r="BE60" s="745">
        <v>25.1</v>
      </c>
      <c r="BF60" s="745">
        <v>25.25</v>
      </c>
      <c r="BG60" s="745">
        <v>25.4</v>
      </c>
      <c r="BH60" s="745">
        <v>25.55</v>
      </c>
      <c r="BI60" s="745">
        <v>25.7</v>
      </c>
      <c r="BJ60" s="745">
        <v>25.87</v>
      </c>
      <c r="BK60" s="745">
        <v>26.01</v>
      </c>
      <c r="BL60" s="745">
        <v>26.17</v>
      </c>
      <c r="BM60" s="745">
        <v>26.32</v>
      </c>
      <c r="BN60" s="745">
        <v>26.47</v>
      </c>
      <c r="BO60" s="745">
        <v>26.62</v>
      </c>
      <c r="BP60" s="745">
        <v>26.77</v>
      </c>
      <c r="BQ60" s="745">
        <v>26.92</v>
      </c>
      <c r="BR60" s="745">
        <v>27.07</v>
      </c>
      <c r="BS60" s="745">
        <v>27.21</v>
      </c>
      <c r="BT60" s="857">
        <v>27.36</v>
      </c>
      <c r="BU60" s="745">
        <v>27.51</v>
      </c>
      <c r="BV60" s="745">
        <v>27.65</v>
      </c>
      <c r="BW60" s="745">
        <v>27.79</v>
      </c>
      <c r="BX60" s="745">
        <v>27.94</v>
      </c>
      <c r="BY60" s="745">
        <v>28.08</v>
      </c>
      <c r="BZ60" s="745">
        <v>28.22</v>
      </c>
      <c r="CA60" s="745">
        <v>28.36</v>
      </c>
      <c r="CB60" s="745">
        <v>28.51</v>
      </c>
      <c r="CC60" s="745">
        <v>28.65</v>
      </c>
      <c r="CD60" s="745">
        <v>28.78</v>
      </c>
      <c r="CE60" s="745">
        <v>28.92</v>
      </c>
      <c r="CF60" s="745">
        <v>29.06</v>
      </c>
      <c r="CG60" s="745">
        <v>29.2</v>
      </c>
      <c r="CH60" s="745">
        <v>29.33</v>
      </c>
      <c r="CI60" s="745">
        <v>29.47</v>
      </c>
      <c r="CJ60" s="745">
        <v>29.6</v>
      </c>
      <c r="CK60" s="745">
        <v>29.74</v>
      </c>
      <c r="CL60" s="745">
        <v>29.87</v>
      </c>
      <c r="CM60" s="745">
        <v>30</v>
      </c>
      <c r="CN60" s="745">
        <v>30.14</v>
      </c>
      <c r="CO60" s="745">
        <v>30.27</v>
      </c>
      <c r="CP60" s="745">
        <v>30.4</v>
      </c>
      <c r="CQ60" s="745">
        <v>30.53</v>
      </c>
      <c r="CR60" s="745">
        <v>30.65</v>
      </c>
      <c r="CS60" s="745">
        <v>30.78</v>
      </c>
      <c r="CT60" s="745">
        <v>30.91</v>
      </c>
      <c r="CU60" s="745">
        <v>31.04</v>
      </c>
      <c r="CV60" s="745">
        <v>31.16</v>
      </c>
      <c r="CW60" s="745">
        <v>31.29</v>
      </c>
      <c r="CX60" s="745">
        <v>31.41</v>
      </c>
      <c r="CY60" s="745">
        <v>31.53</v>
      </c>
      <c r="CZ60" s="745">
        <v>31.65</v>
      </c>
      <c r="DA60" s="745">
        <v>31.78</v>
      </c>
      <c r="DB60" s="745">
        <v>31.9</v>
      </c>
      <c r="DC60" s="745">
        <v>32.020000000000003</v>
      </c>
      <c r="DD60" s="745">
        <v>32.14</v>
      </c>
      <c r="DE60" s="745">
        <v>32.25</v>
      </c>
      <c r="DF60" s="745">
        <v>32.369999999999997</v>
      </c>
      <c r="DG60" s="745">
        <v>32.49</v>
      </c>
      <c r="DH60" s="745">
        <v>32.6</v>
      </c>
      <c r="DI60" s="745">
        <v>32.72</v>
      </c>
      <c r="DJ60" s="745">
        <v>32.83</v>
      </c>
      <c r="DK60" s="745">
        <v>32.950000000000003</v>
      </c>
      <c r="DL60" s="745">
        <v>33.06</v>
      </c>
      <c r="DM60" s="745">
        <v>33.17</v>
      </c>
      <c r="DN60" s="745">
        <v>33.28</v>
      </c>
      <c r="DO60" s="745">
        <v>33.39</v>
      </c>
      <c r="DP60" s="745">
        <v>33.5</v>
      </c>
      <c r="DQ60" s="745">
        <v>33.61</v>
      </c>
      <c r="DR60" s="745">
        <v>33.72</v>
      </c>
    </row>
    <row r="61" spans="1:122">
      <c r="A61" s="912">
        <v>59</v>
      </c>
      <c r="B61" s="92"/>
      <c r="C61" s="92"/>
      <c r="D61" s="92"/>
      <c r="E61" s="92"/>
      <c r="F61" s="92"/>
      <c r="G61" s="92"/>
      <c r="H61" s="92"/>
      <c r="I61" s="92"/>
      <c r="J61" s="92"/>
      <c r="K61" s="92"/>
      <c r="L61" s="92"/>
      <c r="M61" s="92"/>
      <c r="N61" s="92"/>
      <c r="O61" s="92"/>
      <c r="P61" s="92"/>
      <c r="Q61" s="92"/>
      <c r="R61" s="92"/>
      <c r="S61" s="92"/>
      <c r="T61" s="92"/>
      <c r="U61" s="92"/>
      <c r="V61" s="745"/>
      <c r="W61" s="745">
        <v>19.010000000000002</v>
      </c>
      <c r="X61" s="745">
        <v>19.239999999999998</v>
      </c>
      <c r="Y61" s="745">
        <v>19.36</v>
      </c>
      <c r="Z61" s="745">
        <v>19.579999999999998</v>
      </c>
      <c r="AA61" s="745">
        <v>19.77</v>
      </c>
      <c r="AB61" s="745">
        <v>19.96</v>
      </c>
      <c r="AC61" s="745">
        <v>19.98</v>
      </c>
      <c r="AD61" s="745">
        <v>19.98</v>
      </c>
      <c r="AE61" s="745">
        <v>20.100000000000001</v>
      </c>
      <c r="AF61" s="745">
        <v>20.32</v>
      </c>
      <c r="AG61" s="745">
        <v>20.57</v>
      </c>
      <c r="AH61" s="745">
        <v>20.84</v>
      </c>
      <c r="AI61" s="745">
        <v>21.1</v>
      </c>
      <c r="AJ61" s="745">
        <v>21.36</v>
      </c>
      <c r="AK61" s="745">
        <v>21.63</v>
      </c>
      <c r="AL61" s="745">
        <v>21.93</v>
      </c>
      <c r="AM61" s="745">
        <v>22.21</v>
      </c>
      <c r="AN61" s="745">
        <v>22.4</v>
      </c>
      <c r="AO61" s="745">
        <v>22.54</v>
      </c>
      <c r="AP61" s="745">
        <v>22.68</v>
      </c>
      <c r="AQ61" s="745">
        <v>22.8</v>
      </c>
      <c r="AR61" s="745">
        <v>22.97</v>
      </c>
      <c r="AS61" s="745">
        <v>23.02</v>
      </c>
      <c r="AT61" s="745">
        <v>23.09</v>
      </c>
      <c r="AU61" s="745">
        <v>23.16</v>
      </c>
      <c r="AV61" s="745">
        <v>23.22</v>
      </c>
      <c r="AW61" s="745">
        <v>23.41</v>
      </c>
      <c r="AX61" s="745">
        <v>23.5</v>
      </c>
      <c r="AY61" s="745">
        <v>23.58</v>
      </c>
      <c r="AZ61" s="745">
        <v>23.69</v>
      </c>
      <c r="BA61" s="745">
        <v>23.78</v>
      </c>
      <c r="BB61" s="745">
        <v>23.9</v>
      </c>
      <c r="BC61" s="745">
        <v>24.03</v>
      </c>
      <c r="BD61" s="745">
        <v>24.17</v>
      </c>
      <c r="BE61" s="745">
        <v>24.31</v>
      </c>
      <c r="BF61" s="745">
        <v>24.46</v>
      </c>
      <c r="BG61" s="745">
        <v>24.61</v>
      </c>
      <c r="BH61" s="745">
        <v>24.76</v>
      </c>
      <c r="BI61" s="745">
        <v>24.91</v>
      </c>
      <c r="BJ61" s="745">
        <v>25.06</v>
      </c>
      <c r="BK61" s="745">
        <v>25.21</v>
      </c>
      <c r="BL61" s="745">
        <v>25.36</v>
      </c>
      <c r="BM61" s="745">
        <v>25.51</v>
      </c>
      <c r="BN61" s="745">
        <v>25.66</v>
      </c>
      <c r="BO61" s="745">
        <v>25.8</v>
      </c>
      <c r="BP61" s="745">
        <v>25.95</v>
      </c>
      <c r="BQ61" s="745">
        <v>26.1</v>
      </c>
      <c r="BR61" s="745">
        <v>26.24</v>
      </c>
      <c r="BS61" s="745">
        <v>26.39</v>
      </c>
      <c r="BT61" s="857">
        <v>26.53</v>
      </c>
      <c r="BU61" s="745">
        <v>26.68</v>
      </c>
      <c r="BV61" s="745">
        <v>26.82</v>
      </c>
      <c r="BW61" s="745">
        <v>26.96</v>
      </c>
      <c r="BX61" s="745">
        <v>27.1</v>
      </c>
      <c r="BY61" s="745">
        <v>27.24</v>
      </c>
      <c r="BZ61" s="745">
        <v>27.38</v>
      </c>
      <c r="CA61" s="745">
        <v>27.52</v>
      </c>
      <c r="CB61" s="745">
        <v>27.66</v>
      </c>
      <c r="CC61" s="745">
        <v>27.8</v>
      </c>
      <c r="CD61" s="745">
        <v>27.93</v>
      </c>
      <c r="CE61" s="745">
        <v>28.07</v>
      </c>
      <c r="CF61" s="745">
        <v>28.21</v>
      </c>
      <c r="CG61" s="745">
        <v>28.34</v>
      </c>
      <c r="CH61" s="745">
        <v>28.48</v>
      </c>
      <c r="CI61" s="745">
        <v>28.61</v>
      </c>
      <c r="CJ61" s="745">
        <v>28.74</v>
      </c>
      <c r="CK61" s="745">
        <v>28.87</v>
      </c>
      <c r="CL61" s="745">
        <v>29.01</v>
      </c>
      <c r="CM61" s="745">
        <v>29.14</v>
      </c>
      <c r="CN61" s="745">
        <v>29.27</v>
      </c>
      <c r="CO61" s="745">
        <v>29.39</v>
      </c>
      <c r="CP61" s="745">
        <v>29.52</v>
      </c>
      <c r="CQ61" s="745">
        <v>29.65</v>
      </c>
      <c r="CR61" s="745">
        <v>29.78</v>
      </c>
      <c r="CS61" s="745">
        <v>29.9</v>
      </c>
      <c r="CT61" s="745">
        <v>30.03</v>
      </c>
      <c r="CU61" s="745">
        <v>30.15</v>
      </c>
      <c r="CV61" s="745">
        <v>30.28</v>
      </c>
      <c r="CW61" s="745">
        <v>30.4</v>
      </c>
      <c r="CX61" s="745">
        <v>30.52</v>
      </c>
      <c r="CY61" s="745">
        <v>30.64</v>
      </c>
      <c r="CZ61" s="745">
        <v>30.76</v>
      </c>
      <c r="DA61" s="745">
        <v>30.88</v>
      </c>
      <c r="DB61" s="745">
        <v>31</v>
      </c>
      <c r="DC61" s="745">
        <v>31.12</v>
      </c>
      <c r="DD61" s="745">
        <v>31.24</v>
      </c>
      <c r="DE61" s="745">
        <v>31.35</v>
      </c>
      <c r="DF61" s="745">
        <v>31.47</v>
      </c>
      <c r="DG61" s="745">
        <v>31.58</v>
      </c>
      <c r="DH61" s="745">
        <v>31.7</v>
      </c>
      <c r="DI61" s="745">
        <v>31.81</v>
      </c>
      <c r="DJ61" s="745">
        <v>31.93</v>
      </c>
      <c r="DK61" s="745">
        <v>32.04</v>
      </c>
      <c r="DL61" s="745">
        <v>32.15</v>
      </c>
      <c r="DM61" s="745">
        <v>32.26</v>
      </c>
      <c r="DN61" s="745">
        <v>32.369999999999997</v>
      </c>
      <c r="DO61" s="745">
        <v>32.479999999999997</v>
      </c>
      <c r="DP61" s="745">
        <v>32.590000000000003</v>
      </c>
      <c r="DQ61" s="745">
        <v>32.69</v>
      </c>
      <c r="DR61" s="745">
        <v>32.799999999999997</v>
      </c>
    </row>
    <row r="62" spans="1:122">
      <c r="A62" s="912">
        <v>60</v>
      </c>
      <c r="B62" s="92"/>
      <c r="C62" s="92"/>
      <c r="D62" s="92"/>
      <c r="E62" s="92"/>
      <c r="F62" s="92"/>
      <c r="G62" s="92"/>
      <c r="H62" s="92"/>
      <c r="I62" s="92"/>
      <c r="J62" s="92"/>
      <c r="K62" s="92"/>
      <c r="L62" s="92"/>
      <c r="M62" s="92"/>
      <c r="N62" s="92"/>
      <c r="O62" s="92"/>
      <c r="P62" s="92"/>
      <c r="Q62" s="92"/>
      <c r="R62" s="92"/>
      <c r="S62" s="92"/>
      <c r="T62" s="92"/>
      <c r="U62" s="92"/>
      <c r="V62" s="745"/>
      <c r="W62" s="745">
        <v>18.32</v>
      </c>
      <c r="X62" s="745">
        <v>18.55</v>
      </c>
      <c r="Y62" s="745">
        <v>18.670000000000002</v>
      </c>
      <c r="Z62" s="745">
        <v>18.88</v>
      </c>
      <c r="AA62" s="745">
        <v>19.07</v>
      </c>
      <c r="AB62" s="745">
        <v>19.260000000000002</v>
      </c>
      <c r="AC62" s="745">
        <v>19.28</v>
      </c>
      <c r="AD62" s="745">
        <v>19.28</v>
      </c>
      <c r="AE62" s="745">
        <v>19.399999999999999</v>
      </c>
      <c r="AF62" s="745">
        <v>19.63</v>
      </c>
      <c r="AG62" s="745">
        <v>19.88</v>
      </c>
      <c r="AH62" s="745">
        <v>20.14</v>
      </c>
      <c r="AI62" s="745">
        <v>20.399999999999999</v>
      </c>
      <c r="AJ62" s="745">
        <v>20.65</v>
      </c>
      <c r="AK62" s="745">
        <v>20.92</v>
      </c>
      <c r="AL62" s="745">
        <v>21.22</v>
      </c>
      <c r="AM62" s="745">
        <v>21.47</v>
      </c>
      <c r="AN62" s="745">
        <v>21.66</v>
      </c>
      <c r="AO62" s="745">
        <v>21.79</v>
      </c>
      <c r="AP62" s="745">
        <v>21.92</v>
      </c>
      <c r="AQ62" s="745">
        <v>22.05</v>
      </c>
      <c r="AR62" s="745">
        <v>22.21</v>
      </c>
      <c r="AS62" s="745">
        <v>22.26</v>
      </c>
      <c r="AT62" s="745">
        <v>22.33</v>
      </c>
      <c r="AU62" s="745">
        <v>22.39</v>
      </c>
      <c r="AV62" s="745">
        <v>22.45</v>
      </c>
      <c r="AW62" s="745">
        <v>22.63</v>
      </c>
      <c r="AX62" s="745">
        <v>22.72</v>
      </c>
      <c r="AY62" s="745">
        <v>22.81</v>
      </c>
      <c r="AZ62" s="745">
        <v>22.91</v>
      </c>
      <c r="BA62" s="745">
        <v>23</v>
      </c>
      <c r="BB62" s="745">
        <v>23.12</v>
      </c>
      <c r="BC62" s="745">
        <v>23.26</v>
      </c>
      <c r="BD62" s="745">
        <v>23.39</v>
      </c>
      <c r="BE62" s="745">
        <v>23.54</v>
      </c>
      <c r="BF62" s="745">
        <v>23.68</v>
      </c>
      <c r="BG62" s="745">
        <v>23.83</v>
      </c>
      <c r="BH62" s="745">
        <v>23.98</v>
      </c>
      <c r="BI62" s="745">
        <v>24.12</v>
      </c>
      <c r="BJ62" s="745">
        <v>24.27</v>
      </c>
      <c r="BK62" s="745">
        <v>24.42</v>
      </c>
      <c r="BL62" s="745">
        <v>24.56</v>
      </c>
      <c r="BM62" s="745">
        <v>24.71</v>
      </c>
      <c r="BN62" s="745">
        <v>24.86</v>
      </c>
      <c r="BO62" s="745">
        <v>25</v>
      </c>
      <c r="BP62" s="745">
        <v>25.15</v>
      </c>
      <c r="BQ62" s="745">
        <v>25.29</v>
      </c>
      <c r="BR62" s="745">
        <v>25.43</v>
      </c>
      <c r="BS62" s="745">
        <v>25.57</v>
      </c>
      <c r="BT62" s="857">
        <v>25.72</v>
      </c>
      <c r="BU62" s="745">
        <v>25.86</v>
      </c>
      <c r="BV62" s="745">
        <v>26</v>
      </c>
      <c r="BW62" s="745">
        <v>26.14</v>
      </c>
      <c r="BX62" s="745">
        <v>26.27</v>
      </c>
      <c r="BY62" s="745">
        <v>26.41</v>
      </c>
      <c r="BZ62" s="745">
        <v>26.55</v>
      </c>
      <c r="CA62" s="745">
        <v>26.69</v>
      </c>
      <c r="CB62" s="745">
        <v>26.82</v>
      </c>
      <c r="CC62" s="745">
        <v>26.96</v>
      </c>
      <c r="CD62" s="745">
        <v>27.09</v>
      </c>
      <c r="CE62" s="745">
        <v>27.23</v>
      </c>
      <c r="CF62" s="745">
        <v>27.36</v>
      </c>
      <c r="CG62" s="745">
        <v>27.49</v>
      </c>
      <c r="CH62" s="745">
        <v>27.63</v>
      </c>
      <c r="CI62" s="745">
        <v>27.76</v>
      </c>
      <c r="CJ62" s="745">
        <v>27.89</v>
      </c>
      <c r="CK62" s="745">
        <v>28.02</v>
      </c>
      <c r="CL62" s="745">
        <v>28.15</v>
      </c>
      <c r="CM62" s="745">
        <v>28.28</v>
      </c>
      <c r="CN62" s="745">
        <v>28.4</v>
      </c>
      <c r="CO62" s="745">
        <v>28.53</v>
      </c>
      <c r="CP62" s="745">
        <v>28.66</v>
      </c>
      <c r="CQ62" s="745">
        <v>28.78</v>
      </c>
      <c r="CR62" s="745">
        <v>28.91</v>
      </c>
      <c r="CS62" s="745">
        <v>29.03</v>
      </c>
      <c r="CT62" s="745">
        <v>29.15</v>
      </c>
      <c r="CU62" s="745">
        <v>29.28</v>
      </c>
      <c r="CV62" s="745">
        <v>29.4</v>
      </c>
      <c r="CW62" s="745">
        <v>29.52</v>
      </c>
      <c r="CX62" s="745">
        <v>29.64</v>
      </c>
      <c r="CY62" s="745">
        <v>29.76</v>
      </c>
      <c r="CZ62" s="745">
        <v>29.88</v>
      </c>
      <c r="DA62" s="745">
        <v>30</v>
      </c>
      <c r="DB62" s="745">
        <v>30.11</v>
      </c>
      <c r="DC62" s="745">
        <v>30.23</v>
      </c>
      <c r="DD62" s="745">
        <v>30.35</v>
      </c>
      <c r="DE62" s="745">
        <v>30.46</v>
      </c>
      <c r="DF62" s="745">
        <v>30.57</v>
      </c>
      <c r="DG62" s="745">
        <v>30.69</v>
      </c>
      <c r="DH62" s="745">
        <v>30.8</v>
      </c>
      <c r="DI62" s="745">
        <v>30.91</v>
      </c>
      <c r="DJ62" s="745">
        <v>31.02</v>
      </c>
      <c r="DK62" s="745">
        <v>31.13</v>
      </c>
      <c r="DL62" s="745">
        <v>31.24</v>
      </c>
      <c r="DM62" s="745">
        <v>31.35</v>
      </c>
      <c r="DN62" s="745">
        <v>31.46</v>
      </c>
      <c r="DO62" s="745">
        <v>31.57</v>
      </c>
      <c r="DP62" s="745">
        <v>31.68</v>
      </c>
      <c r="DQ62" s="745">
        <v>31.78</v>
      </c>
      <c r="DR62" s="745">
        <v>31.89</v>
      </c>
    </row>
    <row r="63" spans="1:122">
      <c r="A63" s="912">
        <v>61</v>
      </c>
      <c r="B63" s="92"/>
      <c r="C63" s="92"/>
      <c r="D63" s="92"/>
      <c r="E63" s="92"/>
      <c r="F63" s="92"/>
      <c r="G63" s="92"/>
      <c r="H63" s="92"/>
      <c r="I63" s="92"/>
      <c r="J63" s="92"/>
      <c r="K63" s="92"/>
      <c r="L63" s="92"/>
      <c r="M63" s="92"/>
      <c r="N63" s="92"/>
      <c r="O63" s="92"/>
      <c r="P63" s="92"/>
      <c r="Q63" s="92"/>
      <c r="R63" s="92"/>
      <c r="S63" s="92"/>
      <c r="T63" s="92"/>
      <c r="U63" s="92"/>
      <c r="V63" s="745"/>
      <c r="W63" s="745">
        <v>17.64</v>
      </c>
      <c r="X63" s="745">
        <v>17.87</v>
      </c>
      <c r="Y63" s="745">
        <v>17.989999999999998</v>
      </c>
      <c r="Z63" s="745">
        <v>18.190000000000001</v>
      </c>
      <c r="AA63" s="745">
        <v>18.38</v>
      </c>
      <c r="AB63" s="745">
        <v>18.57</v>
      </c>
      <c r="AC63" s="745">
        <v>18.579999999999998</v>
      </c>
      <c r="AD63" s="745">
        <v>18.600000000000001</v>
      </c>
      <c r="AE63" s="745">
        <v>18.72</v>
      </c>
      <c r="AF63" s="745">
        <v>18.96</v>
      </c>
      <c r="AG63" s="745">
        <v>19.2</v>
      </c>
      <c r="AH63" s="745">
        <v>19.46</v>
      </c>
      <c r="AI63" s="745">
        <v>19.71</v>
      </c>
      <c r="AJ63" s="745">
        <v>19.95</v>
      </c>
      <c r="AK63" s="745">
        <v>20.22</v>
      </c>
      <c r="AL63" s="745">
        <v>20.5</v>
      </c>
      <c r="AM63" s="745">
        <v>20.75</v>
      </c>
      <c r="AN63" s="745">
        <v>20.92</v>
      </c>
      <c r="AO63" s="745">
        <v>21.05</v>
      </c>
      <c r="AP63" s="745">
        <v>21.17</v>
      </c>
      <c r="AQ63" s="745">
        <v>21.31</v>
      </c>
      <c r="AR63" s="745">
        <v>21.45</v>
      </c>
      <c r="AS63" s="745">
        <v>21.51</v>
      </c>
      <c r="AT63" s="745">
        <v>21.57</v>
      </c>
      <c r="AU63" s="745">
        <v>21.63</v>
      </c>
      <c r="AV63" s="745">
        <v>21.69</v>
      </c>
      <c r="AW63" s="745">
        <v>21.87</v>
      </c>
      <c r="AX63" s="745">
        <v>21.96</v>
      </c>
      <c r="AY63" s="745">
        <v>22.05</v>
      </c>
      <c r="AZ63" s="745">
        <v>22.15</v>
      </c>
      <c r="BA63" s="745">
        <v>22.24</v>
      </c>
      <c r="BB63" s="745">
        <v>22.36</v>
      </c>
      <c r="BC63" s="745">
        <v>22.49</v>
      </c>
      <c r="BD63" s="745">
        <v>22.63</v>
      </c>
      <c r="BE63" s="745">
        <v>22.77</v>
      </c>
      <c r="BF63" s="745">
        <v>22.91</v>
      </c>
      <c r="BG63" s="745">
        <v>23.06</v>
      </c>
      <c r="BH63" s="745">
        <v>23.2</v>
      </c>
      <c r="BI63" s="745">
        <v>23.35</v>
      </c>
      <c r="BJ63" s="745">
        <v>23.49</v>
      </c>
      <c r="BK63" s="745">
        <v>23.64</v>
      </c>
      <c r="BL63" s="745">
        <v>23.78</v>
      </c>
      <c r="BM63" s="745">
        <v>23.92</v>
      </c>
      <c r="BN63" s="745">
        <v>24.07</v>
      </c>
      <c r="BO63" s="745">
        <v>24.21</v>
      </c>
      <c r="BP63" s="745">
        <v>24.35</v>
      </c>
      <c r="BQ63" s="745">
        <v>24.49</v>
      </c>
      <c r="BR63" s="745">
        <v>24.63</v>
      </c>
      <c r="BS63" s="745">
        <v>24.77</v>
      </c>
      <c r="BT63" s="857">
        <v>24.91</v>
      </c>
      <c r="BU63" s="745">
        <v>25.05</v>
      </c>
      <c r="BV63" s="745">
        <v>25.18</v>
      </c>
      <c r="BW63" s="745">
        <v>25.32</v>
      </c>
      <c r="BX63" s="745">
        <v>25.46</v>
      </c>
      <c r="BY63" s="745">
        <v>25.59</v>
      </c>
      <c r="BZ63" s="745">
        <v>25.73</v>
      </c>
      <c r="CA63" s="745">
        <v>25.86</v>
      </c>
      <c r="CB63" s="745">
        <v>26</v>
      </c>
      <c r="CC63" s="745">
        <v>26.13</v>
      </c>
      <c r="CD63" s="745">
        <v>26.26</v>
      </c>
      <c r="CE63" s="745">
        <v>26.39</v>
      </c>
      <c r="CF63" s="745">
        <v>26.52</v>
      </c>
      <c r="CG63" s="745">
        <v>26.65</v>
      </c>
      <c r="CH63" s="745">
        <v>26.78</v>
      </c>
      <c r="CI63" s="745">
        <v>26.91</v>
      </c>
      <c r="CJ63" s="745">
        <v>27.04</v>
      </c>
      <c r="CK63" s="745">
        <v>27.17</v>
      </c>
      <c r="CL63" s="745">
        <v>27.3</v>
      </c>
      <c r="CM63" s="745">
        <v>27.42</v>
      </c>
      <c r="CN63" s="745">
        <v>27.55</v>
      </c>
      <c r="CO63" s="745">
        <v>27.67</v>
      </c>
      <c r="CP63" s="745">
        <v>27.8</v>
      </c>
      <c r="CQ63" s="745">
        <v>27.92</v>
      </c>
      <c r="CR63" s="745">
        <v>28.04</v>
      </c>
      <c r="CS63" s="745">
        <v>28.17</v>
      </c>
      <c r="CT63" s="745">
        <v>28.29</v>
      </c>
      <c r="CU63" s="745">
        <v>28.41</v>
      </c>
      <c r="CV63" s="745">
        <v>28.53</v>
      </c>
      <c r="CW63" s="745">
        <v>28.65</v>
      </c>
      <c r="CX63" s="745">
        <v>28.76</v>
      </c>
      <c r="CY63" s="745">
        <v>28.88</v>
      </c>
      <c r="CZ63" s="745">
        <v>29</v>
      </c>
      <c r="DA63" s="745">
        <v>29.12</v>
      </c>
      <c r="DB63" s="745">
        <v>29.23</v>
      </c>
      <c r="DC63" s="745">
        <v>29.35</v>
      </c>
      <c r="DD63" s="745">
        <v>29.46</v>
      </c>
      <c r="DE63" s="745">
        <v>29.57</v>
      </c>
      <c r="DF63" s="745">
        <v>29.69</v>
      </c>
      <c r="DG63" s="745">
        <v>29.8</v>
      </c>
      <c r="DH63" s="745">
        <v>29.91</v>
      </c>
      <c r="DI63" s="745">
        <v>30.02</v>
      </c>
      <c r="DJ63" s="745">
        <v>30.13</v>
      </c>
      <c r="DK63" s="745">
        <v>30.24</v>
      </c>
      <c r="DL63" s="745">
        <v>30.35</v>
      </c>
      <c r="DM63" s="745">
        <v>30.45</v>
      </c>
      <c r="DN63" s="745">
        <v>30.56</v>
      </c>
      <c r="DO63" s="745">
        <v>30.67</v>
      </c>
      <c r="DP63" s="745">
        <v>30.77</v>
      </c>
      <c r="DQ63" s="745">
        <v>30.87</v>
      </c>
      <c r="DR63" s="745">
        <v>30.98</v>
      </c>
    </row>
    <row r="64" spans="1:122">
      <c r="A64" s="912">
        <v>62</v>
      </c>
      <c r="B64" s="92"/>
      <c r="C64" s="92"/>
      <c r="D64" s="92"/>
      <c r="E64" s="92"/>
      <c r="F64" s="92"/>
      <c r="G64" s="92"/>
      <c r="H64" s="92"/>
      <c r="I64" s="92"/>
      <c r="J64" s="92"/>
      <c r="K64" s="92"/>
      <c r="L64" s="92"/>
      <c r="M64" s="92"/>
      <c r="N64" s="92"/>
      <c r="O64" s="92"/>
      <c r="P64" s="92"/>
      <c r="Q64" s="92"/>
      <c r="R64" s="92"/>
      <c r="S64" s="92"/>
      <c r="T64" s="92"/>
      <c r="U64" s="92"/>
      <c r="V64" s="745"/>
      <c r="W64" s="745">
        <v>16.98</v>
      </c>
      <c r="X64" s="745">
        <v>17.21</v>
      </c>
      <c r="Y64" s="745">
        <v>17.329999999999998</v>
      </c>
      <c r="Z64" s="745">
        <v>17.53</v>
      </c>
      <c r="AA64" s="745">
        <v>17.71</v>
      </c>
      <c r="AB64" s="745">
        <v>17.89</v>
      </c>
      <c r="AC64" s="745">
        <v>17.91</v>
      </c>
      <c r="AD64" s="745">
        <v>17.93</v>
      </c>
      <c r="AE64" s="745">
        <v>18.059999999999999</v>
      </c>
      <c r="AF64" s="745">
        <v>18.29</v>
      </c>
      <c r="AG64" s="745">
        <v>18.52</v>
      </c>
      <c r="AH64" s="745">
        <v>18.78</v>
      </c>
      <c r="AI64" s="745">
        <v>19.03</v>
      </c>
      <c r="AJ64" s="745">
        <v>19.27</v>
      </c>
      <c r="AK64" s="745">
        <v>19.53</v>
      </c>
      <c r="AL64" s="745">
        <v>19.79</v>
      </c>
      <c r="AM64" s="745">
        <v>20.03</v>
      </c>
      <c r="AN64" s="745">
        <v>20.2</v>
      </c>
      <c r="AO64" s="745">
        <v>20.32</v>
      </c>
      <c r="AP64" s="745">
        <v>20.440000000000001</v>
      </c>
      <c r="AQ64" s="745">
        <v>20.57</v>
      </c>
      <c r="AR64" s="745">
        <v>20.71</v>
      </c>
      <c r="AS64" s="745">
        <v>20.76</v>
      </c>
      <c r="AT64" s="745">
        <v>20.81</v>
      </c>
      <c r="AU64" s="745">
        <v>20.88</v>
      </c>
      <c r="AV64" s="745">
        <v>20.94</v>
      </c>
      <c r="AW64" s="745">
        <v>21.11</v>
      </c>
      <c r="AX64" s="745">
        <v>21.2</v>
      </c>
      <c r="AY64" s="745">
        <v>21.3</v>
      </c>
      <c r="AZ64" s="745">
        <v>21.39</v>
      </c>
      <c r="BA64" s="745">
        <v>21.49</v>
      </c>
      <c r="BB64" s="745">
        <v>21.6</v>
      </c>
      <c r="BC64" s="745">
        <v>21.74</v>
      </c>
      <c r="BD64" s="745">
        <v>21.87</v>
      </c>
      <c r="BE64" s="745">
        <v>22.01</v>
      </c>
      <c r="BF64" s="745">
        <v>22.16</v>
      </c>
      <c r="BG64" s="1177">
        <v>22.3</v>
      </c>
      <c r="BH64" s="745">
        <v>22.44</v>
      </c>
      <c r="BI64" s="745">
        <v>22.58</v>
      </c>
      <c r="BJ64" s="745">
        <v>22.72</v>
      </c>
      <c r="BK64" s="745">
        <v>22.87</v>
      </c>
      <c r="BL64" s="745">
        <v>23.01</v>
      </c>
      <c r="BM64" s="745">
        <v>23.15</v>
      </c>
      <c r="BN64" s="745">
        <v>23.29</v>
      </c>
      <c r="BO64" s="745">
        <v>23.42</v>
      </c>
      <c r="BP64" s="745">
        <v>23.56</v>
      </c>
      <c r="BQ64" s="745">
        <v>23.7</v>
      </c>
      <c r="BR64" s="745">
        <v>23.84</v>
      </c>
      <c r="BS64" s="745">
        <v>23.97</v>
      </c>
      <c r="BT64" s="857">
        <v>24.11</v>
      </c>
      <c r="BU64" s="745">
        <v>24.25</v>
      </c>
      <c r="BV64" s="745">
        <v>24.38</v>
      </c>
      <c r="BW64" s="745">
        <v>24.52</v>
      </c>
      <c r="BX64" s="745">
        <v>24.65</v>
      </c>
      <c r="BY64" s="745">
        <v>24.78</v>
      </c>
      <c r="BZ64" s="745">
        <v>24.91</v>
      </c>
      <c r="CA64" s="745">
        <v>25.05</v>
      </c>
      <c r="CB64" s="745">
        <v>25.18</v>
      </c>
      <c r="CC64" s="745">
        <v>25.31</v>
      </c>
      <c r="CD64" s="745">
        <v>25.44</v>
      </c>
      <c r="CE64" s="745">
        <v>25.57</v>
      </c>
      <c r="CF64" s="745">
        <v>25.7</v>
      </c>
      <c r="CG64" s="745">
        <v>25.82</v>
      </c>
      <c r="CH64" s="745">
        <v>25.95</v>
      </c>
      <c r="CI64" s="745">
        <v>26.08</v>
      </c>
      <c r="CJ64" s="745">
        <v>26.2</v>
      </c>
      <c r="CK64" s="745">
        <v>26.33</v>
      </c>
      <c r="CL64" s="745">
        <v>26.45</v>
      </c>
      <c r="CM64" s="745">
        <v>26.58</v>
      </c>
      <c r="CN64" s="745">
        <v>26.7</v>
      </c>
      <c r="CO64" s="745">
        <v>26.82</v>
      </c>
      <c r="CP64" s="745">
        <v>26.95</v>
      </c>
      <c r="CQ64" s="745">
        <v>27.07</v>
      </c>
      <c r="CR64" s="745">
        <v>27.19</v>
      </c>
      <c r="CS64" s="745">
        <v>27.31</v>
      </c>
      <c r="CT64" s="745">
        <v>27.43</v>
      </c>
      <c r="CU64" s="745">
        <v>27.54</v>
      </c>
      <c r="CV64" s="745">
        <v>27.66</v>
      </c>
      <c r="CW64" s="745">
        <v>27.78</v>
      </c>
      <c r="CX64" s="745">
        <v>27.9</v>
      </c>
      <c r="CY64" s="745">
        <v>28.01</v>
      </c>
      <c r="CZ64" s="745">
        <v>28.13</v>
      </c>
      <c r="DA64" s="745">
        <v>28.24</v>
      </c>
      <c r="DB64" s="745">
        <v>28.35</v>
      </c>
      <c r="DC64" s="745">
        <v>28.47</v>
      </c>
      <c r="DD64" s="745">
        <v>28.58</v>
      </c>
      <c r="DE64" s="745">
        <v>28.69</v>
      </c>
      <c r="DF64" s="745">
        <v>28.8</v>
      </c>
      <c r="DG64" s="745">
        <v>28.91</v>
      </c>
      <c r="DH64" s="745">
        <v>29.02</v>
      </c>
      <c r="DI64" s="745">
        <v>29.13</v>
      </c>
      <c r="DJ64" s="745">
        <v>29.24</v>
      </c>
      <c r="DK64" s="745">
        <v>29.34</v>
      </c>
      <c r="DL64" s="745">
        <v>29.45</v>
      </c>
      <c r="DM64" s="745">
        <v>29.56</v>
      </c>
      <c r="DN64" s="745">
        <v>29.66</v>
      </c>
      <c r="DO64" s="745">
        <v>29.77</v>
      </c>
      <c r="DP64" s="745">
        <v>29.87</v>
      </c>
      <c r="DQ64" s="745">
        <v>29.97</v>
      </c>
      <c r="DR64" s="745">
        <v>30.07</v>
      </c>
    </row>
    <row r="65" spans="1:122">
      <c r="A65" s="912">
        <v>63</v>
      </c>
      <c r="B65" s="92"/>
      <c r="C65" s="92"/>
      <c r="D65" s="92"/>
      <c r="E65" s="92"/>
      <c r="F65" s="92"/>
      <c r="G65" s="92"/>
      <c r="H65" s="92"/>
      <c r="I65" s="92"/>
      <c r="J65" s="92"/>
      <c r="K65" s="92"/>
      <c r="L65" s="92"/>
      <c r="M65" s="92"/>
      <c r="N65" s="92"/>
      <c r="O65" s="92"/>
      <c r="P65" s="92"/>
      <c r="Q65" s="92"/>
      <c r="R65" s="92"/>
      <c r="S65" s="92"/>
      <c r="T65" s="92"/>
      <c r="U65" s="92"/>
      <c r="V65" s="745"/>
      <c r="W65" s="745">
        <v>16.329999999999998</v>
      </c>
      <c r="X65" s="745">
        <v>16.55</v>
      </c>
      <c r="Y65" s="745">
        <v>16.68</v>
      </c>
      <c r="Z65" s="745">
        <v>16.87</v>
      </c>
      <c r="AA65" s="745">
        <v>17.04</v>
      </c>
      <c r="AB65" s="745">
        <v>17.22</v>
      </c>
      <c r="AC65" s="745">
        <v>17.260000000000002</v>
      </c>
      <c r="AD65" s="745">
        <v>17.28</v>
      </c>
      <c r="AE65" s="745">
        <v>17.399999999999999</v>
      </c>
      <c r="AF65" s="745">
        <v>17.64</v>
      </c>
      <c r="AG65" s="745">
        <v>17.87</v>
      </c>
      <c r="AH65" s="745">
        <v>18.12</v>
      </c>
      <c r="AI65" s="745">
        <v>18.36</v>
      </c>
      <c r="AJ65" s="745">
        <v>18.59</v>
      </c>
      <c r="AK65" s="745">
        <v>18.84</v>
      </c>
      <c r="AL65" s="745">
        <v>19.100000000000001</v>
      </c>
      <c r="AM65" s="745">
        <v>19.309999999999999</v>
      </c>
      <c r="AN65" s="745">
        <v>19.48</v>
      </c>
      <c r="AO65" s="745">
        <v>19.600000000000001</v>
      </c>
      <c r="AP65" s="745">
        <v>19.71</v>
      </c>
      <c r="AQ65" s="745">
        <v>19.829999999999998</v>
      </c>
      <c r="AR65" s="745">
        <v>19.97</v>
      </c>
      <c r="AS65" s="745">
        <v>20.010000000000002</v>
      </c>
      <c r="AT65" s="745">
        <v>20.07</v>
      </c>
      <c r="AU65" s="745">
        <v>20.13</v>
      </c>
      <c r="AV65" s="745">
        <v>20.190000000000001</v>
      </c>
      <c r="AW65" s="745">
        <v>20.36</v>
      </c>
      <c r="AX65" s="745">
        <v>20.45</v>
      </c>
      <c r="AY65" s="745">
        <v>20.55</v>
      </c>
      <c r="AZ65" s="745">
        <v>20.64</v>
      </c>
      <c r="BA65" s="745">
        <v>20.74</v>
      </c>
      <c r="BB65" s="745">
        <v>20.87</v>
      </c>
      <c r="BC65" s="745">
        <v>21</v>
      </c>
      <c r="BD65" s="745">
        <v>21.12</v>
      </c>
      <c r="BE65" s="745">
        <v>21.27</v>
      </c>
      <c r="BF65" s="745">
        <v>21.41</v>
      </c>
      <c r="BG65" s="745">
        <v>21.55</v>
      </c>
      <c r="BH65" s="745">
        <v>21.69</v>
      </c>
      <c r="BI65" s="745">
        <v>21.83</v>
      </c>
      <c r="BJ65" s="745">
        <v>21.97</v>
      </c>
      <c r="BK65" s="745">
        <v>22.1</v>
      </c>
      <c r="BL65" s="745">
        <v>22.24</v>
      </c>
      <c r="BM65" s="745">
        <v>22.38</v>
      </c>
      <c r="BN65" s="745">
        <v>22.52</v>
      </c>
      <c r="BO65" s="745">
        <v>22.65</v>
      </c>
      <c r="BP65" s="745">
        <v>22.79</v>
      </c>
      <c r="BQ65" s="745">
        <v>22.92</v>
      </c>
      <c r="BR65" s="745">
        <v>23.06</v>
      </c>
      <c r="BS65" s="745">
        <v>23.19</v>
      </c>
      <c r="BT65" s="857">
        <v>23.32</v>
      </c>
      <c r="BU65" s="745">
        <v>23.45</v>
      </c>
      <c r="BV65" s="745">
        <v>23.59</v>
      </c>
      <c r="BW65" s="745">
        <v>23.72</v>
      </c>
      <c r="BX65" s="745">
        <v>23.85</v>
      </c>
      <c r="BY65" s="745">
        <v>23.98</v>
      </c>
      <c r="BZ65" s="745">
        <v>24.11</v>
      </c>
      <c r="CA65" s="745">
        <v>24.24</v>
      </c>
      <c r="CB65" s="745">
        <v>24.37</v>
      </c>
      <c r="CC65" s="745">
        <v>24.49</v>
      </c>
      <c r="CD65" s="745">
        <v>24.62</v>
      </c>
      <c r="CE65" s="745">
        <v>24.75</v>
      </c>
      <c r="CF65" s="745">
        <v>24.87</v>
      </c>
      <c r="CG65" s="745">
        <v>25</v>
      </c>
      <c r="CH65" s="745">
        <v>25.12</v>
      </c>
      <c r="CI65" s="745">
        <v>25.25</v>
      </c>
      <c r="CJ65" s="745">
        <v>25.37</v>
      </c>
      <c r="CK65" s="745">
        <v>25.5</v>
      </c>
      <c r="CL65" s="745">
        <v>25.62</v>
      </c>
      <c r="CM65" s="745">
        <v>25.74</v>
      </c>
      <c r="CN65" s="745">
        <v>25.86</v>
      </c>
      <c r="CO65" s="745">
        <v>25.98</v>
      </c>
      <c r="CP65" s="745">
        <v>26.1</v>
      </c>
      <c r="CQ65" s="745">
        <v>26.22</v>
      </c>
      <c r="CR65" s="745">
        <v>26.34</v>
      </c>
      <c r="CS65" s="745">
        <v>26.45</v>
      </c>
      <c r="CT65" s="745">
        <v>26.57</v>
      </c>
      <c r="CU65" s="745">
        <v>26.69</v>
      </c>
      <c r="CV65" s="745">
        <v>26.8</v>
      </c>
      <c r="CW65" s="745">
        <v>26.92</v>
      </c>
      <c r="CX65" s="745">
        <v>27.03</v>
      </c>
      <c r="CY65" s="745">
        <v>27.15</v>
      </c>
      <c r="CZ65" s="745">
        <v>27.26</v>
      </c>
      <c r="DA65" s="745">
        <v>27.37</v>
      </c>
      <c r="DB65" s="745">
        <v>27.48</v>
      </c>
      <c r="DC65" s="745">
        <v>27.59</v>
      </c>
      <c r="DD65" s="745">
        <v>27.7</v>
      </c>
      <c r="DE65" s="745">
        <v>27.81</v>
      </c>
      <c r="DF65" s="745">
        <v>27.92</v>
      </c>
      <c r="DG65" s="745">
        <v>28.03</v>
      </c>
      <c r="DH65" s="745">
        <v>28.14</v>
      </c>
      <c r="DI65" s="745">
        <v>28.25</v>
      </c>
      <c r="DJ65" s="745">
        <v>28.35</v>
      </c>
      <c r="DK65" s="745">
        <v>28.46</v>
      </c>
      <c r="DL65" s="745">
        <v>28.56</v>
      </c>
      <c r="DM65" s="745">
        <v>28.67</v>
      </c>
      <c r="DN65" s="745">
        <v>28.77</v>
      </c>
      <c r="DO65" s="745">
        <v>28.87</v>
      </c>
      <c r="DP65" s="745">
        <v>28.97</v>
      </c>
      <c r="DQ65" s="745">
        <v>29.07</v>
      </c>
      <c r="DR65" s="745">
        <v>29.17</v>
      </c>
    </row>
    <row r="66" spans="1:122">
      <c r="A66" s="912">
        <v>64</v>
      </c>
      <c r="B66" s="92"/>
      <c r="C66" s="92"/>
      <c r="D66" s="92"/>
      <c r="E66" s="92"/>
      <c r="F66" s="92"/>
      <c r="G66" s="92"/>
      <c r="H66" s="92"/>
      <c r="I66" s="92"/>
      <c r="J66" s="92"/>
      <c r="K66" s="92"/>
      <c r="L66" s="92"/>
      <c r="M66" s="92"/>
      <c r="N66" s="92"/>
      <c r="O66" s="92"/>
      <c r="P66" s="92"/>
      <c r="Q66" s="92"/>
      <c r="R66" s="92"/>
      <c r="S66" s="92"/>
      <c r="T66" s="92"/>
      <c r="U66" s="92"/>
      <c r="V66" s="745"/>
      <c r="W66" s="745">
        <v>15.71</v>
      </c>
      <c r="X66" s="745">
        <v>15.91</v>
      </c>
      <c r="Y66" s="745">
        <v>16.04</v>
      </c>
      <c r="Z66" s="745">
        <v>16.23</v>
      </c>
      <c r="AA66" s="745">
        <v>16.39</v>
      </c>
      <c r="AB66" s="745">
        <v>16.579999999999998</v>
      </c>
      <c r="AC66" s="745">
        <v>16.62</v>
      </c>
      <c r="AD66" s="745">
        <v>16.64</v>
      </c>
      <c r="AE66" s="745">
        <v>16.760000000000002</v>
      </c>
      <c r="AF66" s="745">
        <v>17</v>
      </c>
      <c r="AG66" s="745">
        <v>17.22</v>
      </c>
      <c r="AH66" s="745">
        <v>17.47</v>
      </c>
      <c r="AI66" s="745">
        <v>17.7</v>
      </c>
      <c r="AJ66" s="745">
        <v>17.91</v>
      </c>
      <c r="AK66" s="745">
        <v>18.149999999999999</v>
      </c>
      <c r="AL66" s="745">
        <v>18.41</v>
      </c>
      <c r="AM66" s="745">
        <v>18.61</v>
      </c>
      <c r="AN66" s="745">
        <v>18.77</v>
      </c>
      <c r="AO66" s="745">
        <v>18.89</v>
      </c>
      <c r="AP66" s="745">
        <v>18.989999999999998</v>
      </c>
      <c r="AQ66" s="745">
        <v>19.11</v>
      </c>
      <c r="AR66" s="745">
        <v>19.23</v>
      </c>
      <c r="AS66" s="745">
        <v>19.28</v>
      </c>
      <c r="AT66" s="745">
        <v>19.329999999999998</v>
      </c>
      <c r="AU66" s="745">
        <v>19.399999999999999</v>
      </c>
      <c r="AV66" s="745">
        <v>19.46</v>
      </c>
      <c r="AW66" s="745">
        <v>19.62</v>
      </c>
      <c r="AX66" s="745">
        <v>19.7</v>
      </c>
      <c r="AY66" s="745">
        <v>19.809999999999999</v>
      </c>
      <c r="AZ66" s="745">
        <v>19.899999999999999</v>
      </c>
      <c r="BA66" s="745">
        <v>20.010000000000002</v>
      </c>
      <c r="BB66" s="745">
        <v>20.14</v>
      </c>
      <c r="BC66" s="745">
        <v>20.27</v>
      </c>
      <c r="BD66" s="745">
        <v>20.399999999999999</v>
      </c>
      <c r="BE66" s="745">
        <v>20.54</v>
      </c>
      <c r="BF66" s="745">
        <v>20.68</v>
      </c>
      <c r="BG66" s="745">
        <v>20.81</v>
      </c>
      <c r="BH66" s="745">
        <v>20.95</v>
      </c>
      <c r="BI66" s="745">
        <v>21.08</v>
      </c>
      <c r="BJ66" s="745">
        <v>21.22</v>
      </c>
      <c r="BK66" s="745">
        <v>21.35</v>
      </c>
      <c r="BL66" s="745">
        <v>21.49</v>
      </c>
      <c r="BM66" s="745">
        <v>21.62</v>
      </c>
      <c r="BN66" s="745">
        <v>21.75</v>
      </c>
      <c r="BO66" s="745">
        <v>21.89</v>
      </c>
      <c r="BP66" s="745">
        <v>22.02</v>
      </c>
      <c r="BQ66" s="745">
        <v>22.15</v>
      </c>
      <c r="BR66" s="745">
        <v>22.28</v>
      </c>
      <c r="BS66" s="745">
        <v>22.41</v>
      </c>
      <c r="BT66" s="857">
        <v>22.54</v>
      </c>
      <c r="BU66" s="745">
        <v>22.67</v>
      </c>
      <c r="BV66" s="745">
        <v>22.8</v>
      </c>
      <c r="BW66" s="745">
        <v>22.93</v>
      </c>
      <c r="BX66" s="745">
        <v>23.06</v>
      </c>
      <c r="BY66" s="745">
        <v>23.18</v>
      </c>
      <c r="BZ66" s="745">
        <v>23.31</v>
      </c>
      <c r="CA66" s="745">
        <v>23.44</v>
      </c>
      <c r="CB66" s="745">
        <v>23.56</v>
      </c>
      <c r="CC66" s="745">
        <v>23.69</v>
      </c>
      <c r="CD66" s="745">
        <v>23.81</v>
      </c>
      <c r="CE66" s="745">
        <v>23.94</v>
      </c>
      <c r="CF66" s="745">
        <v>24.06</v>
      </c>
      <c r="CG66" s="745">
        <v>24.18</v>
      </c>
      <c r="CH66" s="745">
        <v>24.3</v>
      </c>
      <c r="CI66" s="745">
        <v>24.43</v>
      </c>
      <c r="CJ66" s="745">
        <v>24.55</v>
      </c>
      <c r="CK66" s="745">
        <v>24.67</v>
      </c>
      <c r="CL66" s="745">
        <v>24.79</v>
      </c>
      <c r="CM66" s="745">
        <v>24.91</v>
      </c>
      <c r="CN66" s="745">
        <v>25.03</v>
      </c>
      <c r="CO66" s="745">
        <v>25.14</v>
      </c>
      <c r="CP66" s="745">
        <v>25.26</v>
      </c>
      <c r="CQ66" s="745">
        <v>25.38</v>
      </c>
      <c r="CR66" s="745">
        <v>25.49</v>
      </c>
      <c r="CS66" s="745">
        <v>25.61</v>
      </c>
      <c r="CT66" s="745">
        <v>25.72</v>
      </c>
      <c r="CU66" s="745">
        <v>25.84</v>
      </c>
      <c r="CV66" s="745">
        <v>25.95</v>
      </c>
      <c r="CW66" s="745">
        <v>26.06</v>
      </c>
      <c r="CX66" s="745">
        <v>26.18</v>
      </c>
      <c r="CY66" s="745">
        <v>26.29</v>
      </c>
      <c r="CZ66" s="745">
        <v>26.4</v>
      </c>
      <c r="DA66" s="745">
        <v>26.51</v>
      </c>
      <c r="DB66" s="745">
        <v>26.62</v>
      </c>
      <c r="DC66" s="745">
        <v>26.73</v>
      </c>
      <c r="DD66" s="745">
        <v>26.83</v>
      </c>
      <c r="DE66" s="745">
        <v>26.94</v>
      </c>
      <c r="DF66" s="745">
        <v>27.05</v>
      </c>
      <c r="DG66" s="745">
        <v>27.15</v>
      </c>
      <c r="DH66" s="745">
        <v>27.26</v>
      </c>
      <c r="DI66" s="745">
        <v>27.37</v>
      </c>
      <c r="DJ66" s="745">
        <v>27.47</v>
      </c>
      <c r="DK66" s="745">
        <v>27.57</v>
      </c>
      <c r="DL66" s="745">
        <v>27.68</v>
      </c>
      <c r="DM66" s="745">
        <v>27.78</v>
      </c>
      <c r="DN66" s="745">
        <v>27.88</v>
      </c>
      <c r="DO66" s="745">
        <v>27.98</v>
      </c>
      <c r="DP66" s="745">
        <v>28.08</v>
      </c>
      <c r="DQ66" s="745">
        <v>28.18</v>
      </c>
      <c r="DR66" s="745">
        <v>28.28</v>
      </c>
    </row>
    <row r="67" spans="1:122">
      <c r="A67" s="912">
        <v>65</v>
      </c>
      <c r="B67" s="92"/>
      <c r="C67" s="92"/>
      <c r="D67" s="92"/>
      <c r="E67" s="92"/>
      <c r="F67" s="92"/>
      <c r="G67" s="92"/>
      <c r="H67" s="92"/>
      <c r="I67" s="92"/>
      <c r="J67" s="92"/>
      <c r="K67" s="92"/>
      <c r="L67" s="92"/>
      <c r="M67" s="92"/>
      <c r="N67" s="92"/>
      <c r="O67" s="92"/>
      <c r="P67" s="92"/>
      <c r="Q67" s="92"/>
      <c r="R67" s="92"/>
      <c r="S67" s="92"/>
      <c r="T67" s="92"/>
      <c r="U67" s="92"/>
      <c r="V67" s="745"/>
      <c r="W67" s="745">
        <v>15.08</v>
      </c>
      <c r="X67" s="745">
        <v>15.28</v>
      </c>
      <c r="Y67" s="745">
        <v>15.4</v>
      </c>
      <c r="Z67" s="745">
        <v>15.6</v>
      </c>
      <c r="AA67" s="745">
        <v>15.76</v>
      </c>
      <c r="AB67" s="745">
        <v>15.95</v>
      </c>
      <c r="AC67" s="745">
        <v>15.99</v>
      </c>
      <c r="AD67" s="745">
        <v>16.02</v>
      </c>
      <c r="AE67" s="745">
        <v>16.14</v>
      </c>
      <c r="AF67" s="745">
        <v>16.37</v>
      </c>
      <c r="AG67" s="745">
        <v>16.59</v>
      </c>
      <c r="AH67" s="745">
        <v>16.82</v>
      </c>
      <c r="AI67" s="745">
        <v>17.04</v>
      </c>
      <c r="AJ67" s="745">
        <v>17.239999999999998</v>
      </c>
      <c r="AK67" s="745">
        <v>17.48</v>
      </c>
      <c r="AL67" s="745">
        <v>17.72</v>
      </c>
      <c r="AM67" s="745">
        <v>17.91</v>
      </c>
      <c r="AN67" s="745">
        <v>18.07</v>
      </c>
      <c r="AO67" s="745">
        <v>18.18</v>
      </c>
      <c r="AP67" s="745">
        <v>18.27</v>
      </c>
      <c r="AQ67" s="745">
        <v>18.38</v>
      </c>
      <c r="AR67" s="745">
        <v>18.510000000000002</v>
      </c>
      <c r="AS67" s="745">
        <v>18.55</v>
      </c>
      <c r="AT67" s="745">
        <v>18.600000000000001</v>
      </c>
      <c r="AU67" s="745">
        <v>18.670000000000002</v>
      </c>
      <c r="AV67" s="745">
        <v>18.739999999999998</v>
      </c>
      <c r="AW67" s="745">
        <v>18.89</v>
      </c>
      <c r="AX67" s="745">
        <v>18.98</v>
      </c>
      <c r="AY67" s="745">
        <v>19.079999999999998</v>
      </c>
      <c r="AZ67" s="745">
        <v>19.18</v>
      </c>
      <c r="BA67" s="745">
        <v>19.29</v>
      </c>
      <c r="BB67" s="745">
        <v>19.420000000000002</v>
      </c>
      <c r="BC67" s="745">
        <v>19.559999999999999</v>
      </c>
      <c r="BD67" s="745">
        <v>19.690000000000001</v>
      </c>
      <c r="BE67" s="745">
        <v>19.82</v>
      </c>
      <c r="BF67" s="745">
        <v>19.95</v>
      </c>
      <c r="BG67" s="745">
        <v>20.079999999999998</v>
      </c>
      <c r="BH67" s="745">
        <v>20.22</v>
      </c>
      <c r="BI67" s="745">
        <v>20.350000000000001</v>
      </c>
      <c r="BJ67" s="745">
        <v>20.48</v>
      </c>
      <c r="BK67" s="745">
        <v>20.61</v>
      </c>
      <c r="BL67" s="745">
        <v>20.74</v>
      </c>
      <c r="BM67" s="745">
        <v>20.87</v>
      </c>
      <c r="BN67" s="745">
        <v>21</v>
      </c>
      <c r="BO67" s="745">
        <v>21.13</v>
      </c>
      <c r="BP67" s="745">
        <v>21.26</v>
      </c>
      <c r="BQ67" s="745">
        <v>21.39</v>
      </c>
      <c r="BR67" s="745">
        <v>21.51</v>
      </c>
      <c r="BS67" s="745">
        <v>21.64</v>
      </c>
      <c r="BT67" s="857">
        <v>21.77</v>
      </c>
      <c r="BU67" s="745">
        <v>21.9</v>
      </c>
      <c r="BV67" s="745">
        <v>22.02</v>
      </c>
      <c r="BW67" s="745">
        <v>22.15</v>
      </c>
      <c r="BX67" s="745">
        <v>22.27</v>
      </c>
      <c r="BY67" s="745">
        <v>22.4</v>
      </c>
      <c r="BZ67" s="745">
        <v>22.52</v>
      </c>
      <c r="CA67" s="745">
        <v>22.64</v>
      </c>
      <c r="CB67" s="745">
        <v>22.77</v>
      </c>
      <c r="CC67" s="745">
        <v>22.89</v>
      </c>
      <c r="CD67" s="745">
        <v>23.01</v>
      </c>
      <c r="CE67" s="745">
        <v>23.13</v>
      </c>
      <c r="CF67" s="745">
        <v>23.25</v>
      </c>
      <c r="CG67" s="745">
        <v>23.37</v>
      </c>
      <c r="CH67" s="745">
        <v>23.49</v>
      </c>
      <c r="CI67" s="745">
        <v>23.61</v>
      </c>
      <c r="CJ67" s="745">
        <v>23.73</v>
      </c>
      <c r="CK67" s="745">
        <v>23.85</v>
      </c>
      <c r="CL67" s="745">
        <v>23.96</v>
      </c>
      <c r="CM67" s="745">
        <v>24.08</v>
      </c>
      <c r="CN67" s="745">
        <v>24.2</v>
      </c>
      <c r="CO67" s="745">
        <v>24.31</v>
      </c>
      <c r="CP67" s="745">
        <v>24.43</v>
      </c>
      <c r="CQ67" s="745">
        <v>24.54</v>
      </c>
      <c r="CR67" s="745">
        <v>24.65</v>
      </c>
      <c r="CS67" s="745">
        <v>24.77</v>
      </c>
      <c r="CT67" s="745">
        <v>24.88</v>
      </c>
      <c r="CU67" s="745">
        <v>24.99</v>
      </c>
      <c r="CV67" s="745">
        <v>25.1</v>
      </c>
      <c r="CW67" s="745">
        <v>25.21</v>
      </c>
      <c r="CX67" s="745">
        <v>25.32</v>
      </c>
      <c r="CY67" s="745">
        <v>25.43</v>
      </c>
      <c r="CZ67" s="745">
        <v>25.54</v>
      </c>
      <c r="DA67" s="745">
        <v>25.65</v>
      </c>
      <c r="DB67" s="745">
        <v>25.76</v>
      </c>
      <c r="DC67" s="745">
        <v>25.86</v>
      </c>
      <c r="DD67" s="745">
        <v>25.97</v>
      </c>
      <c r="DE67" s="745">
        <v>26.07</v>
      </c>
      <c r="DF67" s="745">
        <v>26.18</v>
      </c>
      <c r="DG67" s="745">
        <v>26.28</v>
      </c>
      <c r="DH67" s="745">
        <v>26.39</v>
      </c>
      <c r="DI67" s="745">
        <v>26.49</v>
      </c>
      <c r="DJ67" s="745">
        <v>26.59</v>
      </c>
      <c r="DK67" s="745">
        <v>26.69</v>
      </c>
      <c r="DL67" s="745">
        <v>26.79</v>
      </c>
      <c r="DM67" s="745">
        <v>26.89</v>
      </c>
      <c r="DN67" s="745">
        <v>26.99</v>
      </c>
      <c r="DO67" s="745">
        <v>27.09</v>
      </c>
      <c r="DP67" s="745">
        <v>27.19</v>
      </c>
      <c r="DQ67" s="745">
        <v>27.29</v>
      </c>
      <c r="DR67" s="745">
        <v>27.39</v>
      </c>
    </row>
    <row r="68" spans="1:122">
      <c r="A68" s="912">
        <v>66</v>
      </c>
      <c r="B68" s="92"/>
      <c r="C68" s="92"/>
      <c r="D68" s="92"/>
      <c r="E68" s="92"/>
      <c r="F68" s="92"/>
      <c r="G68" s="92"/>
      <c r="H68" s="92"/>
      <c r="I68" s="92"/>
      <c r="J68" s="92"/>
      <c r="K68" s="92"/>
      <c r="L68" s="92"/>
      <c r="M68" s="92"/>
      <c r="N68" s="92"/>
      <c r="O68" s="92"/>
      <c r="P68" s="92"/>
      <c r="Q68" s="92"/>
      <c r="R68" s="92"/>
      <c r="S68" s="92"/>
      <c r="T68" s="92"/>
      <c r="U68" s="92"/>
      <c r="V68" s="745"/>
      <c r="W68" s="745">
        <v>14.48</v>
      </c>
      <c r="X68" s="745">
        <v>14.66</v>
      </c>
      <c r="Y68" s="745">
        <v>14.79</v>
      </c>
      <c r="Z68" s="745">
        <v>14.99</v>
      </c>
      <c r="AA68" s="745">
        <v>15.15</v>
      </c>
      <c r="AB68" s="745">
        <v>15.33</v>
      </c>
      <c r="AC68" s="745">
        <v>15.37</v>
      </c>
      <c r="AD68" s="745">
        <v>15.4</v>
      </c>
      <c r="AE68" s="745">
        <v>15.52</v>
      </c>
      <c r="AF68" s="745">
        <v>15.76</v>
      </c>
      <c r="AG68" s="745">
        <v>15.96</v>
      </c>
      <c r="AH68" s="745">
        <v>16.18</v>
      </c>
      <c r="AI68" s="745">
        <v>16.39</v>
      </c>
      <c r="AJ68" s="745">
        <v>16.579999999999998</v>
      </c>
      <c r="AK68" s="745">
        <v>16.8</v>
      </c>
      <c r="AL68" s="745">
        <v>17.04</v>
      </c>
      <c r="AM68" s="745">
        <v>17.22</v>
      </c>
      <c r="AN68" s="745">
        <v>17.37</v>
      </c>
      <c r="AO68" s="745">
        <v>17.48</v>
      </c>
      <c r="AP68" s="745">
        <v>17.559999999999999</v>
      </c>
      <c r="AQ68" s="745">
        <v>17.66</v>
      </c>
      <c r="AR68" s="745">
        <v>17.79</v>
      </c>
      <c r="AS68" s="745">
        <v>17.829999999999998</v>
      </c>
      <c r="AT68" s="745">
        <v>17.88</v>
      </c>
      <c r="AU68" s="745">
        <v>17.96</v>
      </c>
      <c r="AV68" s="745">
        <v>18.03</v>
      </c>
      <c r="AW68" s="745">
        <v>18.18</v>
      </c>
      <c r="AX68" s="745">
        <v>18.260000000000002</v>
      </c>
      <c r="AY68" s="745">
        <v>18.37</v>
      </c>
      <c r="AZ68" s="745">
        <v>18.48</v>
      </c>
      <c r="BA68" s="745">
        <v>18.59</v>
      </c>
      <c r="BB68" s="745">
        <v>18.72</v>
      </c>
      <c r="BC68" s="745">
        <v>18.850000000000001</v>
      </c>
      <c r="BD68" s="745">
        <v>18.98</v>
      </c>
      <c r="BE68" s="745">
        <v>19.11</v>
      </c>
      <c r="BF68" s="745">
        <v>19.23</v>
      </c>
      <c r="BG68" s="745">
        <v>19.36</v>
      </c>
      <c r="BH68" s="745">
        <v>19.489999999999998</v>
      </c>
      <c r="BI68" s="745">
        <v>19.62</v>
      </c>
      <c r="BJ68" s="745">
        <v>19.75</v>
      </c>
      <c r="BK68" s="745">
        <v>19.87</v>
      </c>
      <c r="BL68" s="745">
        <v>20</v>
      </c>
      <c r="BM68" s="745">
        <v>20.13</v>
      </c>
      <c r="BN68" s="745">
        <v>20.25</v>
      </c>
      <c r="BO68" s="745">
        <v>20.38</v>
      </c>
      <c r="BP68" s="745">
        <v>20.51</v>
      </c>
      <c r="BQ68" s="745">
        <v>20.63</v>
      </c>
      <c r="BR68" s="745">
        <v>20.76</v>
      </c>
      <c r="BS68" s="745">
        <v>20.88</v>
      </c>
      <c r="BT68" s="857">
        <v>21</v>
      </c>
      <c r="BU68" s="745">
        <v>21.13</v>
      </c>
      <c r="BV68" s="745">
        <v>21.25</v>
      </c>
      <c r="BW68" s="745">
        <v>21.37</v>
      </c>
      <c r="BX68" s="745">
        <v>21.49</v>
      </c>
      <c r="BY68" s="745">
        <v>21.61</v>
      </c>
      <c r="BZ68" s="745">
        <v>21.73</v>
      </c>
      <c r="CA68" s="745">
        <v>21.86</v>
      </c>
      <c r="CB68" s="745">
        <v>21.97</v>
      </c>
      <c r="CC68" s="745">
        <v>22.09</v>
      </c>
      <c r="CD68" s="745">
        <v>22.21</v>
      </c>
      <c r="CE68" s="745">
        <v>22.33</v>
      </c>
      <c r="CF68" s="745">
        <v>22.45</v>
      </c>
      <c r="CG68" s="745">
        <v>22.57</v>
      </c>
      <c r="CH68" s="745">
        <v>22.68</v>
      </c>
      <c r="CI68" s="745">
        <v>22.8</v>
      </c>
      <c r="CJ68" s="745">
        <v>22.91</v>
      </c>
      <c r="CK68" s="745">
        <v>23.03</v>
      </c>
      <c r="CL68" s="745">
        <v>23.14</v>
      </c>
      <c r="CM68" s="745">
        <v>23.26</v>
      </c>
      <c r="CN68" s="745">
        <v>23.37</v>
      </c>
      <c r="CO68" s="745">
        <v>23.48</v>
      </c>
      <c r="CP68" s="745">
        <v>23.6</v>
      </c>
      <c r="CQ68" s="745">
        <v>23.71</v>
      </c>
      <c r="CR68" s="745">
        <v>23.82</v>
      </c>
      <c r="CS68" s="745">
        <v>23.93</v>
      </c>
      <c r="CT68" s="745">
        <v>24.04</v>
      </c>
      <c r="CU68" s="745">
        <v>24.15</v>
      </c>
      <c r="CV68" s="745">
        <v>24.26</v>
      </c>
      <c r="CW68" s="745">
        <v>24.37</v>
      </c>
      <c r="CX68" s="745">
        <v>24.47</v>
      </c>
      <c r="CY68" s="745">
        <v>24.58</v>
      </c>
      <c r="CZ68" s="745">
        <v>24.69</v>
      </c>
      <c r="DA68" s="745">
        <v>24.79</v>
      </c>
      <c r="DB68" s="745">
        <v>24.9</v>
      </c>
      <c r="DC68" s="745">
        <v>25</v>
      </c>
      <c r="DD68" s="745">
        <v>25.11</v>
      </c>
      <c r="DE68" s="745">
        <v>25.21</v>
      </c>
      <c r="DF68" s="745">
        <v>25.31</v>
      </c>
      <c r="DG68" s="745">
        <v>25.41</v>
      </c>
      <c r="DH68" s="745">
        <v>25.52</v>
      </c>
      <c r="DI68" s="745">
        <v>25.62</v>
      </c>
      <c r="DJ68" s="745">
        <v>25.72</v>
      </c>
      <c r="DK68" s="745">
        <v>25.82</v>
      </c>
      <c r="DL68" s="745">
        <v>25.92</v>
      </c>
      <c r="DM68" s="745">
        <v>26.01</v>
      </c>
      <c r="DN68" s="745">
        <v>26.11</v>
      </c>
      <c r="DO68" s="745">
        <v>26.21</v>
      </c>
      <c r="DP68" s="745">
        <v>26.31</v>
      </c>
      <c r="DQ68" s="745">
        <v>26.4</v>
      </c>
      <c r="DR68" s="745">
        <v>26.5</v>
      </c>
    </row>
    <row r="69" spans="1:122">
      <c r="A69" s="912">
        <v>67</v>
      </c>
      <c r="B69" s="92"/>
      <c r="C69" s="92"/>
      <c r="D69" s="92"/>
      <c r="E69" s="92"/>
      <c r="F69" s="92"/>
      <c r="G69" s="92"/>
      <c r="H69" s="92"/>
      <c r="I69" s="92"/>
      <c r="J69" s="92"/>
      <c r="K69" s="92"/>
      <c r="L69" s="92"/>
      <c r="M69" s="92"/>
      <c r="N69" s="92"/>
      <c r="O69" s="92"/>
      <c r="P69" s="92"/>
      <c r="Q69" s="92"/>
      <c r="R69" s="92"/>
      <c r="S69" s="92"/>
      <c r="T69" s="92"/>
      <c r="U69" s="92"/>
      <c r="V69" s="745"/>
      <c r="W69" s="745">
        <v>13.88</v>
      </c>
      <c r="X69" s="745">
        <v>14.06</v>
      </c>
      <c r="Y69" s="745">
        <v>14.2</v>
      </c>
      <c r="Z69" s="745">
        <v>14.4</v>
      </c>
      <c r="AA69" s="745">
        <v>14.54</v>
      </c>
      <c r="AB69" s="745">
        <v>14.72</v>
      </c>
      <c r="AC69" s="745">
        <v>14.78</v>
      </c>
      <c r="AD69" s="745">
        <v>14.8</v>
      </c>
      <c r="AE69" s="745">
        <v>14.92</v>
      </c>
      <c r="AF69" s="745">
        <v>15.14</v>
      </c>
      <c r="AG69" s="745">
        <v>15.34</v>
      </c>
      <c r="AH69" s="745">
        <v>15.54</v>
      </c>
      <c r="AI69" s="745">
        <v>15.75</v>
      </c>
      <c r="AJ69" s="745">
        <v>15.92</v>
      </c>
      <c r="AK69" s="745">
        <v>16.14</v>
      </c>
      <c r="AL69" s="745">
        <v>16.37</v>
      </c>
      <c r="AM69" s="745">
        <v>16.55</v>
      </c>
      <c r="AN69" s="745">
        <v>16.68</v>
      </c>
      <c r="AO69" s="745">
        <v>16.78</v>
      </c>
      <c r="AP69" s="745">
        <v>16.87</v>
      </c>
      <c r="AQ69" s="745">
        <v>16.96</v>
      </c>
      <c r="AR69" s="745">
        <v>17.079999999999998</v>
      </c>
      <c r="AS69" s="745">
        <v>17.12</v>
      </c>
      <c r="AT69" s="745">
        <v>17.18</v>
      </c>
      <c r="AU69" s="745">
        <v>17.25</v>
      </c>
      <c r="AV69" s="745">
        <v>17.32</v>
      </c>
      <c r="AW69" s="745">
        <v>17.47</v>
      </c>
      <c r="AX69" s="745">
        <v>17.559999999999999</v>
      </c>
      <c r="AY69" s="745">
        <v>17.670000000000002</v>
      </c>
      <c r="AZ69" s="745">
        <v>17.77</v>
      </c>
      <c r="BA69" s="745">
        <v>17.899999999999999</v>
      </c>
      <c r="BB69" s="745">
        <v>18.02</v>
      </c>
      <c r="BC69" s="745">
        <v>18.149999999999999</v>
      </c>
      <c r="BD69" s="745">
        <v>18.27</v>
      </c>
      <c r="BE69" s="745">
        <v>18.399999999999999</v>
      </c>
      <c r="BF69" s="745">
        <v>18.52</v>
      </c>
      <c r="BG69" s="745">
        <v>18.649999999999999</v>
      </c>
      <c r="BH69" s="745">
        <v>18.77</v>
      </c>
      <c r="BI69" s="745">
        <v>18.899999999999999</v>
      </c>
      <c r="BJ69" s="745">
        <v>19.02</v>
      </c>
      <c r="BK69" s="745">
        <v>19.149999999999999</v>
      </c>
      <c r="BL69" s="745">
        <v>19.27</v>
      </c>
      <c r="BM69" s="745">
        <v>19.39</v>
      </c>
      <c r="BN69" s="745">
        <v>19.510000000000002</v>
      </c>
      <c r="BO69" s="745">
        <v>19.64</v>
      </c>
      <c r="BP69" s="745">
        <v>19.760000000000002</v>
      </c>
      <c r="BQ69" s="745">
        <v>19.88</v>
      </c>
      <c r="BR69" s="745">
        <v>20</v>
      </c>
      <c r="BS69" s="745">
        <v>20.12</v>
      </c>
      <c r="BT69" s="857">
        <v>20.239999999999998</v>
      </c>
      <c r="BU69" s="745">
        <v>20.36</v>
      </c>
      <c r="BV69" s="745">
        <v>20.48</v>
      </c>
      <c r="BW69" s="745">
        <v>20.6</v>
      </c>
      <c r="BX69" s="745">
        <v>20.72</v>
      </c>
      <c r="BY69" s="745">
        <v>20.84</v>
      </c>
      <c r="BZ69" s="745">
        <v>20.96</v>
      </c>
      <c r="CA69" s="745">
        <v>21.07</v>
      </c>
      <c r="CB69" s="745">
        <v>21.19</v>
      </c>
      <c r="CC69" s="745">
        <v>21.31</v>
      </c>
      <c r="CD69" s="745">
        <v>21.42</v>
      </c>
      <c r="CE69" s="745">
        <v>21.54</v>
      </c>
      <c r="CF69" s="745">
        <v>21.65</v>
      </c>
      <c r="CG69" s="745">
        <v>21.77</v>
      </c>
      <c r="CH69" s="745">
        <v>21.88</v>
      </c>
      <c r="CI69" s="745">
        <v>21.99</v>
      </c>
      <c r="CJ69" s="745">
        <v>22.1</v>
      </c>
      <c r="CK69" s="745">
        <v>22.22</v>
      </c>
      <c r="CL69" s="745">
        <v>22.33</v>
      </c>
      <c r="CM69" s="745">
        <v>22.44</v>
      </c>
      <c r="CN69" s="745">
        <v>22.55</v>
      </c>
      <c r="CO69" s="745">
        <v>22.66</v>
      </c>
      <c r="CP69" s="745">
        <v>22.77</v>
      </c>
      <c r="CQ69" s="745">
        <v>22.88</v>
      </c>
      <c r="CR69" s="745">
        <v>22.99</v>
      </c>
      <c r="CS69" s="745">
        <v>23.1</v>
      </c>
      <c r="CT69" s="745">
        <v>23.2</v>
      </c>
      <c r="CU69" s="745">
        <v>23.31</v>
      </c>
      <c r="CV69" s="745">
        <v>23.42</v>
      </c>
      <c r="CW69" s="745">
        <v>23.52</v>
      </c>
      <c r="CX69" s="745">
        <v>23.63</v>
      </c>
      <c r="CY69" s="745">
        <v>23.73</v>
      </c>
      <c r="CZ69" s="745">
        <v>23.84</v>
      </c>
      <c r="DA69" s="745">
        <v>23.94</v>
      </c>
      <c r="DB69" s="745">
        <v>24.04</v>
      </c>
      <c r="DC69" s="745">
        <v>24.14</v>
      </c>
      <c r="DD69" s="745">
        <v>24.25</v>
      </c>
      <c r="DE69" s="745">
        <v>24.35</v>
      </c>
      <c r="DF69" s="745">
        <v>24.45</v>
      </c>
      <c r="DG69" s="745">
        <v>24.55</v>
      </c>
      <c r="DH69" s="745">
        <v>24.65</v>
      </c>
      <c r="DI69" s="745">
        <v>24.75</v>
      </c>
      <c r="DJ69" s="745">
        <v>24.84</v>
      </c>
      <c r="DK69" s="745">
        <v>24.94</v>
      </c>
      <c r="DL69" s="745">
        <v>25.04</v>
      </c>
      <c r="DM69" s="745">
        <v>25.14</v>
      </c>
      <c r="DN69" s="745">
        <v>25.23</v>
      </c>
      <c r="DO69" s="745">
        <v>25.33</v>
      </c>
      <c r="DP69" s="745">
        <v>25.42</v>
      </c>
      <c r="DQ69" s="745">
        <v>25.52</v>
      </c>
      <c r="DR69" s="745">
        <v>25.61</v>
      </c>
    </row>
    <row r="70" spans="1:122">
      <c r="A70" s="912">
        <v>68</v>
      </c>
      <c r="B70" s="92"/>
      <c r="C70" s="92"/>
      <c r="D70" s="92"/>
      <c r="E70" s="92"/>
      <c r="F70" s="92"/>
      <c r="G70" s="92"/>
      <c r="H70" s="92"/>
      <c r="I70" s="92"/>
      <c r="J70" s="92"/>
      <c r="K70" s="92"/>
      <c r="L70" s="92"/>
      <c r="M70" s="92"/>
      <c r="N70" s="92"/>
      <c r="O70" s="92"/>
      <c r="P70" s="92"/>
      <c r="Q70" s="92"/>
      <c r="R70" s="92"/>
      <c r="S70" s="92"/>
      <c r="T70" s="92"/>
      <c r="U70" s="92"/>
      <c r="V70" s="745"/>
      <c r="W70" s="745">
        <v>13.3</v>
      </c>
      <c r="X70" s="745">
        <v>13.48</v>
      </c>
      <c r="Y70" s="745">
        <v>13.61</v>
      </c>
      <c r="Z70" s="745">
        <v>13.82</v>
      </c>
      <c r="AA70" s="745">
        <v>13.95</v>
      </c>
      <c r="AB70" s="745">
        <v>14.13</v>
      </c>
      <c r="AC70" s="745">
        <v>14.19</v>
      </c>
      <c r="AD70" s="745">
        <v>14.22</v>
      </c>
      <c r="AE70" s="745">
        <v>14.32</v>
      </c>
      <c r="AF70" s="745">
        <v>14.53</v>
      </c>
      <c r="AG70" s="745">
        <v>14.72</v>
      </c>
      <c r="AH70" s="745">
        <v>14.92</v>
      </c>
      <c r="AI70" s="745">
        <v>15.11</v>
      </c>
      <c r="AJ70" s="745">
        <v>15.28</v>
      </c>
      <c r="AK70" s="745">
        <v>15.49</v>
      </c>
      <c r="AL70" s="745">
        <v>15.7</v>
      </c>
      <c r="AM70" s="745">
        <v>15.87</v>
      </c>
      <c r="AN70" s="745">
        <v>16</v>
      </c>
      <c r="AO70" s="745">
        <v>16.09</v>
      </c>
      <c r="AP70" s="745">
        <v>16.170000000000002</v>
      </c>
      <c r="AQ70" s="745">
        <v>16.260000000000002</v>
      </c>
      <c r="AR70" s="745">
        <v>16.37</v>
      </c>
      <c r="AS70" s="745">
        <v>16.420000000000002</v>
      </c>
      <c r="AT70" s="745">
        <v>16.48</v>
      </c>
      <c r="AU70" s="745">
        <v>16.55</v>
      </c>
      <c r="AV70" s="745">
        <v>16.63</v>
      </c>
      <c r="AW70" s="745">
        <v>16.77</v>
      </c>
      <c r="AX70" s="745">
        <v>16.87</v>
      </c>
      <c r="AY70" s="745">
        <v>16.98</v>
      </c>
      <c r="AZ70" s="745">
        <v>17.09</v>
      </c>
      <c r="BA70" s="745">
        <v>17.21</v>
      </c>
      <c r="BB70" s="745">
        <v>17.34</v>
      </c>
      <c r="BC70" s="745">
        <v>17.46</v>
      </c>
      <c r="BD70" s="745">
        <v>17.579999999999998</v>
      </c>
      <c r="BE70" s="745">
        <v>17.7</v>
      </c>
      <c r="BF70" s="745">
        <v>17.82</v>
      </c>
      <c r="BG70" s="745">
        <v>17.940000000000001</v>
      </c>
      <c r="BH70" s="745">
        <v>18.059999999999999</v>
      </c>
      <c r="BI70" s="745">
        <v>18.18</v>
      </c>
      <c r="BJ70" s="745">
        <v>18.3</v>
      </c>
      <c r="BK70" s="745">
        <v>18.420000000000002</v>
      </c>
      <c r="BL70" s="745">
        <v>18.54</v>
      </c>
      <c r="BM70" s="745">
        <v>18.66</v>
      </c>
      <c r="BN70" s="745">
        <v>18.78</v>
      </c>
      <c r="BO70" s="745">
        <v>18.899999999999999</v>
      </c>
      <c r="BP70" s="745">
        <v>19.02</v>
      </c>
      <c r="BQ70" s="745">
        <v>19.14</v>
      </c>
      <c r="BR70" s="745">
        <v>19.25</v>
      </c>
      <c r="BS70" s="745">
        <v>19.37</v>
      </c>
      <c r="BT70" s="857">
        <v>19.489999999999998</v>
      </c>
      <c r="BU70" s="745">
        <v>19.600000000000001</v>
      </c>
      <c r="BV70" s="745">
        <v>19.72</v>
      </c>
      <c r="BW70" s="745">
        <v>19.84</v>
      </c>
      <c r="BX70" s="745">
        <v>19.95</v>
      </c>
      <c r="BY70" s="745">
        <v>20.07</v>
      </c>
      <c r="BZ70" s="745">
        <v>20.18</v>
      </c>
      <c r="CA70" s="745">
        <v>20.29</v>
      </c>
      <c r="CB70" s="745">
        <v>20.41</v>
      </c>
      <c r="CC70" s="745">
        <v>20.52</v>
      </c>
      <c r="CD70" s="745">
        <v>20.63</v>
      </c>
      <c r="CE70" s="745">
        <v>20.75</v>
      </c>
      <c r="CF70" s="745">
        <v>20.86</v>
      </c>
      <c r="CG70" s="745">
        <v>20.97</v>
      </c>
      <c r="CH70" s="745">
        <v>21.08</v>
      </c>
      <c r="CI70" s="745">
        <v>21.19</v>
      </c>
      <c r="CJ70" s="745">
        <v>21.3</v>
      </c>
      <c r="CK70" s="745">
        <v>21.41</v>
      </c>
      <c r="CL70" s="745">
        <v>21.52</v>
      </c>
      <c r="CM70" s="745">
        <v>21.63</v>
      </c>
      <c r="CN70" s="745">
        <v>21.73</v>
      </c>
      <c r="CO70" s="745">
        <v>21.84</v>
      </c>
      <c r="CP70" s="745">
        <v>21.95</v>
      </c>
      <c r="CQ70" s="745">
        <v>22.05</v>
      </c>
      <c r="CR70" s="745">
        <v>22.16</v>
      </c>
      <c r="CS70" s="745">
        <v>22.27</v>
      </c>
      <c r="CT70" s="745">
        <v>22.37</v>
      </c>
      <c r="CU70" s="745">
        <v>22.48</v>
      </c>
      <c r="CV70" s="745">
        <v>22.58</v>
      </c>
      <c r="CW70" s="745">
        <v>22.68</v>
      </c>
      <c r="CX70" s="745">
        <v>22.79</v>
      </c>
      <c r="CY70" s="745">
        <v>22.89</v>
      </c>
      <c r="CZ70" s="745">
        <v>22.99</v>
      </c>
      <c r="DA70" s="745">
        <v>23.09</v>
      </c>
      <c r="DB70" s="745">
        <v>23.19</v>
      </c>
      <c r="DC70" s="745">
        <v>23.29</v>
      </c>
      <c r="DD70" s="745">
        <v>23.39</v>
      </c>
      <c r="DE70" s="745">
        <v>23.49</v>
      </c>
      <c r="DF70" s="745">
        <v>23.59</v>
      </c>
      <c r="DG70" s="745">
        <v>23.69</v>
      </c>
      <c r="DH70" s="745">
        <v>23.78</v>
      </c>
      <c r="DI70" s="745">
        <v>23.88</v>
      </c>
      <c r="DJ70" s="745">
        <v>23.98</v>
      </c>
      <c r="DK70" s="745">
        <v>24.07</v>
      </c>
      <c r="DL70" s="745">
        <v>24.17</v>
      </c>
      <c r="DM70" s="745">
        <v>24.26</v>
      </c>
      <c r="DN70" s="745">
        <v>24.35</v>
      </c>
      <c r="DO70" s="745">
        <v>24.45</v>
      </c>
      <c r="DP70" s="745">
        <v>24.54</v>
      </c>
      <c r="DQ70" s="745">
        <v>24.63</v>
      </c>
      <c r="DR70" s="745">
        <v>24.72</v>
      </c>
    </row>
    <row r="71" spans="1:122">
      <c r="A71" s="912">
        <v>69</v>
      </c>
      <c r="B71" s="92"/>
      <c r="C71" s="92"/>
      <c r="D71" s="92"/>
      <c r="E71" s="92"/>
      <c r="F71" s="92"/>
      <c r="G71" s="92"/>
      <c r="H71" s="92"/>
      <c r="I71" s="92"/>
      <c r="J71" s="92"/>
      <c r="K71" s="92"/>
      <c r="L71" s="92"/>
      <c r="M71" s="92"/>
      <c r="N71" s="92"/>
      <c r="O71" s="92"/>
      <c r="P71" s="92"/>
      <c r="Q71" s="92"/>
      <c r="R71" s="92"/>
      <c r="S71" s="92"/>
      <c r="T71" s="92"/>
      <c r="U71" s="92"/>
      <c r="V71" s="745"/>
      <c r="W71" s="745">
        <v>12.74</v>
      </c>
      <c r="X71" s="745">
        <v>12.91</v>
      </c>
      <c r="Y71" s="745">
        <v>13.03</v>
      </c>
      <c r="Z71" s="745">
        <v>13.25</v>
      </c>
      <c r="AA71" s="745">
        <v>13.37</v>
      </c>
      <c r="AB71" s="745">
        <v>13.54</v>
      </c>
      <c r="AC71" s="745">
        <v>13.62</v>
      </c>
      <c r="AD71" s="745">
        <v>13.64</v>
      </c>
      <c r="AE71" s="745">
        <v>13.73</v>
      </c>
      <c r="AF71" s="745">
        <v>13.94</v>
      </c>
      <c r="AG71" s="745">
        <v>14.12</v>
      </c>
      <c r="AH71" s="745">
        <v>14.3</v>
      </c>
      <c r="AI71" s="745">
        <v>14.48</v>
      </c>
      <c r="AJ71" s="745">
        <v>14.66</v>
      </c>
      <c r="AK71" s="745">
        <v>14.85</v>
      </c>
      <c r="AL71" s="745">
        <v>15.04</v>
      </c>
      <c r="AM71" s="745">
        <v>15.2</v>
      </c>
      <c r="AN71" s="745">
        <v>15.31</v>
      </c>
      <c r="AO71" s="745">
        <v>15.4</v>
      </c>
      <c r="AP71" s="745">
        <v>15.48</v>
      </c>
      <c r="AQ71" s="745">
        <v>15.57</v>
      </c>
      <c r="AR71" s="745">
        <v>15.68</v>
      </c>
      <c r="AS71" s="745">
        <v>15.73</v>
      </c>
      <c r="AT71" s="745">
        <v>15.8</v>
      </c>
      <c r="AU71" s="745">
        <v>15.86</v>
      </c>
      <c r="AV71" s="745">
        <v>15.95</v>
      </c>
      <c r="AW71" s="745">
        <v>16.09</v>
      </c>
      <c r="AX71" s="745">
        <v>16.190000000000001</v>
      </c>
      <c r="AY71" s="745">
        <v>16.3</v>
      </c>
      <c r="AZ71" s="745">
        <v>16.420000000000002</v>
      </c>
      <c r="BA71" s="745">
        <v>16.54</v>
      </c>
      <c r="BB71" s="745">
        <v>16.649999999999999</v>
      </c>
      <c r="BC71" s="745">
        <v>16.77</v>
      </c>
      <c r="BD71" s="745">
        <v>16.89</v>
      </c>
      <c r="BE71" s="745">
        <v>17</v>
      </c>
      <c r="BF71" s="745">
        <v>17.12</v>
      </c>
      <c r="BG71" s="745">
        <v>17.239999999999998</v>
      </c>
      <c r="BH71" s="745">
        <v>17.350000000000001</v>
      </c>
      <c r="BI71" s="745">
        <v>17.47</v>
      </c>
      <c r="BJ71" s="745">
        <v>17.59</v>
      </c>
      <c r="BK71" s="745">
        <v>17.7</v>
      </c>
      <c r="BL71" s="745">
        <v>17.82</v>
      </c>
      <c r="BM71" s="745">
        <v>17.940000000000001</v>
      </c>
      <c r="BN71" s="745">
        <v>18.05</v>
      </c>
      <c r="BO71" s="745">
        <v>18.170000000000002</v>
      </c>
      <c r="BP71" s="745">
        <v>18.28</v>
      </c>
      <c r="BQ71" s="745">
        <v>18.399999999999999</v>
      </c>
      <c r="BR71" s="745">
        <v>18.510000000000002</v>
      </c>
      <c r="BS71" s="745">
        <v>18.62</v>
      </c>
      <c r="BT71" s="857">
        <v>18.739999999999998</v>
      </c>
      <c r="BU71" s="745">
        <v>18.850000000000001</v>
      </c>
      <c r="BV71" s="745">
        <v>18.96</v>
      </c>
      <c r="BW71" s="745">
        <v>19.07</v>
      </c>
      <c r="BX71" s="745">
        <v>19.190000000000001</v>
      </c>
      <c r="BY71" s="745">
        <v>19.3</v>
      </c>
      <c r="BZ71" s="745">
        <v>19.41</v>
      </c>
      <c r="CA71" s="745">
        <v>19.52</v>
      </c>
      <c r="CB71" s="745">
        <v>19.63</v>
      </c>
      <c r="CC71" s="745">
        <v>19.739999999999998</v>
      </c>
      <c r="CD71" s="745">
        <v>19.850000000000001</v>
      </c>
      <c r="CE71" s="745">
        <v>19.96</v>
      </c>
      <c r="CF71" s="745">
        <v>20.07</v>
      </c>
      <c r="CG71" s="745">
        <v>20.18</v>
      </c>
      <c r="CH71" s="745">
        <v>20.28</v>
      </c>
      <c r="CI71" s="745">
        <v>20.39</v>
      </c>
      <c r="CJ71" s="745">
        <v>20.5</v>
      </c>
      <c r="CK71" s="745">
        <v>20.6</v>
      </c>
      <c r="CL71" s="745">
        <v>20.71</v>
      </c>
      <c r="CM71" s="745">
        <v>20.82</v>
      </c>
      <c r="CN71" s="745">
        <v>20.92</v>
      </c>
      <c r="CO71" s="745">
        <v>21.03</v>
      </c>
      <c r="CP71" s="745">
        <v>21.13</v>
      </c>
      <c r="CQ71" s="745">
        <v>21.23</v>
      </c>
      <c r="CR71" s="745">
        <v>21.34</v>
      </c>
      <c r="CS71" s="745">
        <v>21.44</v>
      </c>
      <c r="CT71" s="745">
        <v>21.54</v>
      </c>
      <c r="CU71" s="745">
        <v>21.64</v>
      </c>
      <c r="CV71" s="745">
        <v>21.74</v>
      </c>
      <c r="CW71" s="745">
        <v>21.85</v>
      </c>
      <c r="CX71" s="745">
        <v>21.95</v>
      </c>
      <c r="CY71" s="745">
        <v>22.05</v>
      </c>
      <c r="CZ71" s="745">
        <v>22.15</v>
      </c>
      <c r="DA71" s="745">
        <v>22.24</v>
      </c>
      <c r="DB71" s="745">
        <v>22.34</v>
      </c>
      <c r="DC71" s="745">
        <v>22.44</v>
      </c>
      <c r="DD71" s="745">
        <v>22.54</v>
      </c>
      <c r="DE71" s="745">
        <v>22.63</v>
      </c>
      <c r="DF71" s="745">
        <v>22.73</v>
      </c>
      <c r="DG71" s="745">
        <v>22.83</v>
      </c>
      <c r="DH71" s="745">
        <v>22.92</v>
      </c>
      <c r="DI71" s="745">
        <v>23.01</v>
      </c>
      <c r="DJ71" s="745">
        <v>23.11</v>
      </c>
      <c r="DK71" s="745">
        <v>23.2</v>
      </c>
      <c r="DL71" s="745">
        <v>23.3</v>
      </c>
      <c r="DM71" s="745">
        <v>23.39</v>
      </c>
      <c r="DN71" s="745">
        <v>23.48</v>
      </c>
      <c r="DO71" s="745">
        <v>23.57</v>
      </c>
      <c r="DP71" s="745">
        <v>23.66</v>
      </c>
      <c r="DQ71" s="745">
        <v>23.75</v>
      </c>
      <c r="DR71" s="745">
        <v>23.84</v>
      </c>
    </row>
    <row r="72" spans="1:122">
      <c r="A72" s="912">
        <v>70</v>
      </c>
      <c r="B72" s="92"/>
      <c r="C72" s="92"/>
      <c r="D72" s="92"/>
      <c r="E72" s="92"/>
      <c r="F72" s="92"/>
      <c r="G72" s="92"/>
      <c r="H72" s="92"/>
      <c r="I72" s="92"/>
      <c r="J72" s="92"/>
      <c r="K72" s="92"/>
      <c r="L72" s="92"/>
      <c r="M72" s="92"/>
      <c r="N72" s="92"/>
      <c r="O72" s="92"/>
      <c r="P72" s="92"/>
      <c r="Q72" s="92"/>
      <c r="R72" s="92"/>
      <c r="S72" s="92"/>
      <c r="T72" s="92"/>
      <c r="U72" s="92"/>
      <c r="V72" s="745"/>
      <c r="W72" s="745">
        <v>12.18</v>
      </c>
      <c r="X72" s="745">
        <v>12.35</v>
      </c>
      <c r="Y72" s="745">
        <v>12.48</v>
      </c>
      <c r="Z72" s="745">
        <v>12.69</v>
      </c>
      <c r="AA72" s="745">
        <v>12.8</v>
      </c>
      <c r="AB72" s="745">
        <v>12.99</v>
      </c>
      <c r="AC72" s="745">
        <v>13.04</v>
      </c>
      <c r="AD72" s="745">
        <v>13.07</v>
      </c>
      <c r="AE72" s="745">
        <v>13.16</v>
      </c>
      <c r="AF72" s="745">
        <v>13.34</v>
      </c>
      <c r="AG72" s="745">
        <v>13.51</v>
      </c>
      <c r="AH72" s="745">
        <v>13.68</v>
      </c>
      <c r="AI72" s="745">
        <v>13.86</v>
      </c>
      <c r="AJ72" s="745">
        <v>14.03</v>
      </c>
      <c r="AK72" s="745">
        <v>14.21</v>
      </c>
      <c r="AL72" s="745">
        <v>14.39</v>
      </c>
      <c r="AM72" s="745">
        <v>14.53</v>
      </c>
      <c r="AN72" s="745">
        <v>14.64</v>
      </c>
      <c r="AO72" s="745">
        <v>14.73</v>
      </c>
      <c r="AP72" s="745">
        <v>14.8</v>
      </c>
      <c r="AQ72" s="745">
        <v>14.9</v>
      </c>
      <c r="AR72" s="745">
        <v>15</v>
      </c>
      <c r="AS72" s="745">
        <v>15.06</v>
      </c>
      <c r="AT72" s="745">
        <v>15.11</v>
      </c>
      <c r="AU72" s="745">
        <v>15.19</v>
      </c>
      <c r="AV72" s="745">
        <v>15.28</v>
      </c>
      <c r="AW72" s="745">
        <v>15.42</v>
      </c>
      <c r="AX72" s="745">
        <v>15.53</v>
      </c>
      <c r="AY72" s="745">
        <v>15.64</v>
      </c>
      <c r="AZ72" s="745">
        <v>15.75</v>
      </c>
      <c r="BA72" s="745">
        <v>15.86</v>
      </c>
      <c r="BB72" s="745">
        <v>15.97</v>
      </c>
      <c r="BC72" s="745">
        <v>16.09</v>
      </c>
      <c r="BD72" s="745">
        <v>16.2</v>
      </c>
      <c r="BE72" s="745">
        <v>16.309999999999999</v>
      </c>
      <c r="BF72" s="745">
        <v>16.43</v>
      </c>
      <c r="BG72" s="745">
        <v>16.54</v>
      </c>
      <c r="BH72" s="745">
        <v>16.649999999999999</v>
      </c>
      <c r="BI72" s="745">
        <v>16.77</v>
      </c>
      <c r="BJ72" s="745">
        <v>16.88</v>
      </c>
      <c r="BK72" s="745">
        <v>16.989999999999998</v>
      </c>
      <c r="BL72" s="745">
        <v>17.100000000000001</v>
      </c>
      <c r="BM72" s="745">
        <v>17.21</v>
      </c>
      <c r="BN72" s="745">
        <v>17.329999999999998</v>
      </c>
      <c r="BO72" s="745">
        <v>17.440000000000001</v>
      </c>
      <c r="BP72" s="745">
        <v>17.55</v>
      </c>
      <c r="BQ72" s="745">
        <v>17.66</v>
      </c>
      <c r="BR72" s="745">
        <v>17.77</v>
      </c>
      <c r="BS72" s="745">
        <v>17.88</v>
      </c>
      <c r="BT72" s="857">
        <v>17.989999999999998</v>
      </c>
      <c r="BU72" s="745">
        <v>18.100000000000001</v>
      </c>
      <c r="BV72" s="745">
        <v>18.21</v>
      </c>
      <c r="BW72" s="745">
        <v>18.32</v>
      </c>
      <c r="BX72" s="745">
        <v>18.43</v>
      </c>
      <c r="BY72" s="745">
        <v>18.53</v>
      </c>
      <c r="BZ72" s="745">
        <v>18.64</v>
      </c>
      <c r="CA72" s="745">
        <v>18.75</v>
      </c>
      <c r="CB72" s="745">
        <v>18.86</v>
      </c>
      <c r="CC72" s="745">
        <v>18.96</v>
      </c>
      <c r="CD72" s="745">
        <v>19.07</v>
      </c>
      <c r="CE72" s="745">
        <v>19.18</v>
      </c>
      <c r="CF72" s="745">
        <v>19.28</v>
      </c>
      <c r="CG72" s="745">
        <v>19.39</v>
      </c>
      <c r="CH72" s="745">
        <v>19.489999999999998</v>
      </c>
      <c r="CI72" s="745">
        <v>19.600000000000001</v>
      </c>
      <c r="CJ72" s="745">
        <v>19.7</v>
      </c>
      <c r="CK72" s="745">
        <v>19.8</v>
      </c>
      <c r="CL72" s="745">
        <v>19.91</v>
      </c>
      <c r="CM72" s="745">
        <v>20.010000000000002</v>
      </c>
      <c r="CN72" s="745">
        <v>20.11</v>
      </c>
      <c r="CO72" s="745">
        <v>20.21</v>
      </c>
      <c r="CP72" s="745">
        <v>20.309999999999999</v>
      </c>
      <c r="CQ72" s="745">
        <v>20.420000000000002</v>
      </c>
      <c r="CR72" s="745">
        <v>20.52</v>
      </c>
      <c r="CS72" s="745">
        <v>20.62</v>
      </c>
      <c r="CT72" s="745">
        <v>20.72</v>
      </c>
      <c r="CU72" s="745">
        <v>20.81</v>
      </c>
      <c r="CV72" s="745">
        <v>20.91</v>
      </c>
      <c r="CW72" s="745">
        <v>21.01</v>
      </c>
      <c r="CX72" s="745">
        <v>21.11</v>
      </c>
      <c r="CY72" s="745">
        <v>21.21</v>
      </c>
      <c r="CZ72" s="745">
        <v>21.3</v>
      </c>
      <c r="DA72" s="745">
        <v>21.4</v>
      </c>
      <c r="DB72" s="745">
        <v>21.5</v>
      </c>
      <c r="DC72" s="745">
        <v>21.59</v>
      </c>
      <c r="DD72" s="745">
        <v>21.69</v>
      </c>
      <c r="DE72" s="745">
        <v>21.78</v>
      </c>
      <c r="DF72" s="745">
        <v>21.87</v>
      </c>
      <c r="DG72" s="745">
        <v>21.97</v>
      </c>
      <c r="DH72" s="745">
        <v>22.06</v>
      </c>
      <c r="DI72" s="745">
        <v>22.15</v>
      </c>
      <c r="DJ72" s="745">
        <v>22.24</v>
      </c>
      <c r="DK72" s="745">
        <v>22.34</v>
      </c>
      <c r="DL72" s="745">
        <v>22.43</v>
      </c>
      <c r="DM72" s="745">
        <v>22.52</v>
      </c>
      <c r="DN72" s="745">
        <v>22.61</v>
      </c>
      <c r="DO72" s="745">
        <v>22.7</v>
      </c>
      <c r="DP72" s="745">
        <v>22.79</v>
      </c>
      <c r="DQ72" s="745">
        <v>22.87</v>
      </c>
      <c r="DR72" s="745">
        <v>22.96</v>
      </c>
    </row>
    <row r="73" spans="1:122">
      <c r="A73" s="912">
        <v>71</v>
      </c>
      <c r="B73" s="92"/>
      <c r="C73" s="92"/>
      <c r="D73" s="92"/>
      <c r="E73" s="92"/>
      <c r="F73" s="92"/>
      <c r="G73" s="92"/>
      <c r="H73" s="92"/>
      <c r="I73" s="92"/>
      <c r="J73" s="92"/>
      <c r="K73" s="92"/>
      <c r="L73" s="92"/>
      <c r="M73" s="92"/>
      <c r="N73" s="92"/>
      <c r="O73" s="92"/>
      <c r="P73" s="92"/>
      <c r="Q73" s="92"/>
      <c r="R73" s="92"/>
      <c r="S73" s="92"/>
      <c r="T73" s="92"/>
      <c r="U73" s="92"/>
      <c r="V73" s="745"/>
      <c r="W73" s="745">
        <v>11.64</v>
      </c>
      <c r="X73" s="745">
        <v>11.81</v>
      </c>
      <c r="Y73" s="745">
        <v>11.93</v>
      </c>
      <c r="Z73" s="745">
        <v>12.15</v>
      </c>
      <c r="AA73" s="745">
        <v>12.25</v>
      </c>
      <c r="AB73" s="745">
        <v>12.41</v>
      </c>
      <c r="AC73" s="745">
        <v>12.48</v>
      </c>
      <c r="AD73" s="745">
        <v>12.5</v>
      </c>
      <c r="AE73" s="745">
        <v>12.58</v>
      </c>
      <c r="AF73" s="745">
        <v>12.76</v>
      </c>
      <c r="AG73" s="745">
        <v>12.91</v>
      </c>
      <c r="AH73" s="745">
        <v>13.09</v>
      </c>
      <c r="AI73" s="745">
        <v>13.25</v>
      </c>
      <c r="AJ73" s="745">
        <v>13.41</v>
      </c>
      <c r="AK73" s="745">
        <v>13.56</v>
      </c>
      <c r="AL73" s="745">
        <v>13.74</v>
      </c>
      <c r="AM73" s="745">
        <v>13.87</v>
      </c>
      <c r="AN73" s="745">
        <v>13.98</v>
      </c>
      <c r="AO73" s="745">
        <v>14.07</v>
      </c>
      <c r="AP73" s="745">
        <v>14.14</v>
      </c>
      <c r="AQ73" s="745">
        <v>14.23</v>
      </c>
      <c r="AR73" s="745">
        <v>14.33</v>
      </c>
      <c r="AS73" s="745">
        <v>14.38</v>
      </c>
      <c r="AT73" s="745">
        <v>14.45</v>
      </c>
      <c r="AU73" s="745">
        <v>14.54</v>
      </c>
      <c r="AV73" s="745">
        <v>14.63</v>
      </c>
      <c r="AW73" s="745">
        <v>14.76</v>
      </c>
      <c r="AX73" s="745">
        <v>14.87</v>
      </c>
      <c r="AY73" s="745">
        <v>14.97</v>
      </c>
      <c r="AZ73" s="745">
        <v>15.08</v>
      </c>
      <c r="BA73" s="745">
        <v>15.19</v>
      </c>
      <c r="BB73" s="745">
        <v>15.3</v>
      </c>
      <c r="BC73" s="745">
        <v>15.41</v>
      </c>
      <c r="BD73" s="745">
        <v>15.52</v>
      </c>
      <c r="BE73" s="745">
        <v>15.63</v>
      </c>
      <c r="BF73" s="745">
        <v>15.74</v>
      </c>
      <c r="BG73" s="745">
        <v>15.85</v>
      </c>
      <c r="BH73" s="745">
        <v>15.96</v>
      </c>
      <c r="BI73" s="745">
        <v>16.059999999999999</v>
      </c>
      <c r="BJ73" s="745">
        <v>16.170000000000002</v>
      </c>
      <c r="BK73" s="745">
        <v>16.28</v>
      </c>
      <c r="BL73" s="745">
        <v>16.39</v>
      </c>
      <c r="BM73" s="745">
        <v>16.5</v>
      </c>
      <c r="BN73" s="745">
        <v>16.61</v>
      </c>
      <c r="BO73" s="745">
        <v>16.71</v>
      </c>
      <c r="BP73" s="745">
        <v>16.82</v>
      </c>
      <c r="BQ73" s="745">
        <v>16.93</v>
      </c>
      <c r="BR73" s="745">
        <v>17.03</v>
      </c>
      <c r="BS73" s="745">
        <v>17.14</v>
      </c>
      <c r="BT73" s="857">
        <v>17.25</v>
      </c>
      <c r="BU73" s="745">
        <v>17.350000000000001</v>
      </c>
      <c r="BV73" s="745">
        <v>17.46</v>
      </c>
      <c r="BW73" s="745">
        <v>17.559999999999999</v>
      </c>
      <c r="BX73" s="745">
        <v>17.670000000000002</v>
      </c>
      <c r="BY73" s="745">
        <v>17.77</v>
      </c>
      <c r="BZ73" s="745">
        <v>17.88</v>
      </c>
      <c r="CA73" s="745">
        <v>17.98</v>
      </c>
      <c r="CB73" s="745">
        <v>18.09</v>
      </c>
      <c r="CC73" s="745">
        <v>18.190000000000001</v>
      </c>
      <c r="CD73" s="745">
        <v>18.29</v>
      </c>
      <c r="CE73" s="745">
        <v>18.399999999999999</v>
      </c>
      <c r="CF73" s="745">
        <v>18.5</v>
      </c>
      <c r="CG73" s="745">
        <v>18.600000000000001</v>
      </c>
      <c r="CH73" s="745">
        <v>18.7</v>
      </c>
      <c r="CI73" s="745">
        <v>18.8</v>
      </c>
      <c r="CJ73" s="745">
        <v>18.899999999999999</v>
      </c>
      <c r="CK73" s="745">
        <v>19.010000000000002</v>
      </c>
      <c r="CL73" s="745">
        <v>19.11</v>
      </c>
      <c r="CM73" s="745">
        <v>19.21</v>
      </c>
      <c r="CN73" s="745">
        <v>19.3</v>
      </c>
      <c r="CO73" s="745">
        <v>19.399999999999999</v>
      </c>
      <c r="CP73" s="745">
        <v>19.5</v>
      </c>
      <c r="CQ73" s="745">
        <v>19.600000000000001</v>
      </c>
      <c r="CR73" s="745">
        <v>19.7</v>
      </c>
      <c r="CS73" s="745">
        <v>19.8</v>
      </c>
      <c r="CT73" s="745">
        <v>19.89</v>
      </c>
      <c r="CU73" s="745">
        <v>19.989999999999998</v>
      </c>
      <c r="CV73" s="745">
        <v>20.09</v>
      </c>
      <c r="CW73" s="745">
        <v>20.18</v>
      </c>
      <c r="CX73" s="745">
        <v>20.28</v>
      </c>
      <c r="CY73" s="745">
        <v>20.37</v>
      </c>
      <c r="CZ73" s="745">
        <v>20.47</v>
      </c>
      <c r="DA73" s="745">
        <v>20.56</v>
      </c>
      <c r="DB73" s="745">
        <v>20.65</v>
      </c>
      <c r="DC73" s="745">
        <v>20.75</v>
      </c>
      <c r="DD73" s="745">
        <v>20.84</v>
      </c>
      <c r="DE73" s="745">
        <v>20.93</v>
      </c>
      <c r="DF73" s="745">
        <v>21.02</v>
      </c>
      <c r="DG73" s="745">
        <v>21.11</v>
      </c>
      <c r="DH73" s="745">
        <v>21.2</v>
      </c>
      <c r="DI73" s="745">
        <v>21.29</v>
      </c>
      <c r="DJ73" s="745">
        <v>21.38</v>
      </c>
      <c r="DK73" s="745">
        <v>21.47</v>
      </c>
      <c r="DL73" s="745">
        <v>21.56</v>
      </c>
      <c r="DM73" s="745">
        <v>21.65</v>
      </c>
      <c r="DN73" s="745">
        <v>21.74</v>
      </c>
      <c r="DO73" s="745">
        <v>21.82</v>
      </c>
      <c r="DP73" s="745">
        <v>21.91</v>
      </c>
      <c r="DQ73" s="745">
        <v>22</v>
      </c>
      <c r="DR73" s="745">
        <v>22.08</v>
      </c>
    </row>
    <row r="74" spans="1:122">
      <c r="A74" s="912">
        <v>72</v>
      </c>
      <c r="B74" s="92"/>
      <c r="C74" s="92"/>
      <c r="D74" s="92"/>
      <c r="E74" s="92"/>
      <c r="F74" s="92"/>
      <c r="G74" s="92"/>
      <c r="H74" s="92"/>
      <c r="I74" s="92"/>
      <c r="J74" s="92"/>
      <c r="K74" s="92"/>
      <c r="L74" s="92"/>
      <c r="M74" s="92"/>
      <c r="N74" s="92"/>
      <c r="O74" s="92"/>
      <c r="P74" s="92"/>
      <c r="Q74" s="92"/>
      <c r="R74" s="92"/>
      <c r="S74" s="92"/>
      <c r="T74" s="92"/>
      <c r="U74" s="92"/>
      <c r="V74" s="745"/>
      <c r="W74" s="745">
        <v>11.12</v>
      </c>
      <c r="X74" s="745">
        <v>11.28</v>
      </c>
      <c r="Y74" s="745">
        <v>11.4</v>
      </c>
      <c r="Z74" s="745">
        <v>11.63</v>
      </c>
      <c r="AA74" s="745">
        <v>11.71</v>
      </c>
      <c r="AB74" s="745">
        <v>11.86</v>
      </c>
      <c r="AC74" s="745">
        <v>11.92</v>
      </c>
      <c r="AD74" s="745">
        <v>11.94</v>
      </c>
      <c r="AE74" s="745">
        <v>12.01</v>
      </c>
      <c r="AF74" s="745">
        <v>12.18</v>
      </c>
      <c r="AG74" s="745">
        <v>12.33</v>
      </c>
      <c r="AH74" s="745">
        <v>12.49</v>
      </c>
      <c r="AI74" s="745">
        <v>12.64</v>
      </c>
      <c r="AJ74" s="745">
        <v>12.79</v>
      </c>
      <c r="AK74" s="745">
        <v>12.93</v>
      </c>
      <c r="AL74" s="745">
        <v>13.1</v>
      </c>
      <c r="AM74" s="745">
        <v>13.23</v>
      </c>
      <c r="AN74" s="745">
        <v>13.32</v>
      </c>
      <c r="AO74" s="745">
        <v>13.41</v>
      </c>
      <c r="AP74" s="745">
        <v>13.48</v>
      </c>
      <c r="AQ74" s="745">
        <v>13.57</v>
      </c>
      <c r="AR74" s="745">
        <v>13.66</v>
      </c>
      <c r="AS74" s="745">
        <v>13.73</v>
      </c>
      <c r="AT74" s="745">
        <v>13.8</v>
      </c>
      <c r="AU74" s="745">
        <v>13.89</v>
      </c>
      <c r="AV74" s="745">
        <v>14</v>
      </c>
      <c r="AW74" s="745">
        <v>14.11</v>
      </c>
      <c r="AX74" s="745">
        <v>14.21</v>
      </c>
      <c r="AY74" s="745">
        <v>14.32</v>
      </c>
      <c r="AZ74" s="745">
        <v>14.42</v>
      </c>
      <c r="BA74" s="745">
        <v>14.53</v>
      </c>
      <c r="BB74" s="745">
        <v>14.63</v>
      </c>
      <c r="BC74" s="745">
        <v>14.74</v>
      </c>
      <c r="BD74" s="745">
        <v>14.84</v>
      </c>
      <c r="BE74" s="745">
        <v>14.95</v>
      </c>
      <c r="BF74" s="745">
        <v>15.05</v>
      </c>
      <c r="BG74" s="745">
        <v>15.16</v>
      </c>
      <c r="BH74" s="745">
        <v>15.26</v>
      </c>
      <c r="BI74" s="745">
        <v>15.37</v>
      </c>
      <c r="BJ74" s="745">
        <v>15.47</v>
      </c>
      <c r="BK74" s="745">
        <v>15.58</v>
      </c>
      <c r="BL74" s="745">
        <v>15.68</v>
      </c>
      <c r="BM74" s="745">
        <v>15.79</v>
      </c>
      <c r="BN74" s="745">
        <v>15.89</v>
      </c>
      <c r="BO74" s="745">
        <v>15.99</v>
      </c>
      <c r="BP74" s="745">
        <v>16.100000000000001</v>
      </c>
      <c r="BQ74" s="745">
        <v>16.2</v>
      </c>
      <c r="BR74" s="745">
        <v>16.3</v>
      </c>
      <c r="BS74" s="745">
        <v>16.41</v>
      </c>
      <c r="BT74" s="857">
        <v>16.510000000000002</v>
      </c>
      <c r="BU74" s="745">
        <v>16.61</v>
      </c>
      <c r="BV74" s="745">
        <v>16.71</v>
      </c>
      <c r="BW74" s="745">
        <v>16.82</v>
      </c>
      <c r="BX74" s="745">
        <v>16.920000000000002</v>
      </c>
      <c r="BY74" s="745">
        <v>17.02</v>
      </c>
      <c r="BZ74" s="745">
        <v>17.12</v>
      </c>
      <c r="CA74" s="745">
        <v>17.22</v>
      </c>
      <c r="CB74" s="745">
        <v>17.32</v>
      </c>
      <c r="CC74" s="745">
        <v>17.420000000000002</v>
      </c>
      <c r="CD74" s="745">
        <v>17.52</v>
      </c>
      <c r="CE74" s="745">
        <v>17.62</v>
      </c>
      <c r="CF74" s="745">
        <v>17.72</v>
      </c>
      <c r="CG74" s="745">
        <v>17.82</v>
      </c>
      <c r="CH74" s="745">
        <v>17.920000000000002</v>
      </c>
      <c r="CI74" s="745">
        <v>18.02</v>
      </c>
      <c r="CJ74" s="745">
        <v>18.12</v>
      </c>
      <c r="CK74" s="745">
        <v>18.21</v>
      </c>
      <c r="CL74" s="745">
        <v>18.309999999999999</v>
      </c>
      <c r="CM74" s="745">
        <v>18.41</v>
      </c>
      <c r="CN74" s="745">
        <v>18.5</v>
      </c>
      <c r="CO74" s="745">
        <v>18.600000000000001</v>
      </c>
      <c r="CP74" s="745">
        <v>18.7</v>
      </c>
      <c r="CQ74" s="745">
        <v>18.79</v>
      </c>
      <c r="CR74" s="745">
        <v>18.89</v>
      </c>
      <c r="CS74" s="745">
        <v>18.98</v>
      </c>
      <c r="CT74" s="745">
        <v>19.07</v>
      </c>
      <c r="CU74" s="745">
        <v>19.170000000000002</v>
      </c>
      <c r="CV74" s="745">
        <v>19.260000000000002</v>
      </c>
      <c r="CW74" s="745">
        <v>19.350000000000001</v>
      </c>
      <c r="CX74" s="745">
        <v>19.45</v>
      </c>
      <c r="CY74" s="745">
        <v>19.54</v>
      </c>
      <c r="CZ74" s="745">
        <v>19.63</v>
      </c>
      <c r="DA74" s="745">
        <v>19.72</v>
      </c>
      <c r="DB74" s="745">
        <v>19.809999999999999</v>
      </c>
      <c r="DC74" s="745">
        <v>19.899999999999999</v>
      </c>
      <c r="DD74" s="745">
        <v>19.989999999999998</v>
      </c>
      <c r="DE74" s="745">
        <v>20.079999999999998</v>
      </c>
      <c r="DF74" s="745">
        <v>20.170000000000002</v>
      </c>
      <c r="DG74" s="745">
        <v>20.260000000000002</v>
      </c>
      <c r="DH74" s="745">
        <v>20.350000000000001</v>
      </c>
      <c r="DI74" s="745">
        <v>20.440000000000001</v>
      </c>
      <c r="DJ74" s="745">
        <v>20.53</v>
      </c>
      <c r="DK74" s="745">
        <v>20.61</v>
      </c>
      <c r="DL74" s="745">
        <v>20.7</v>
      </c>
      <c r="DM74" s="745">
        <v>20.79</v>
      </c>
      <c r="DN74" s="745">
        <v>20.87</v>
      </c>
      <c r="DO74" s="745">
        <v>20.96</v>
      </c>
      <c r="DP74" s="745">
        <v>21.04</v>
      </c>
      <c r="DQ74" s="745">
        <v>21.13</v>
      </c>
      <c r="DR74" s="745">
        <v>21.21</v>
      </c>
    </row>
    <row r="75" spans="1:122">
      <c r="A75" s="912">
        <v>73</v>
      </c>
      <c r="B75" s="92"/>
      <c r="C75" s="92"/>
      <c r="D75" s="92"/>
      <c r="E75" s="92"/>
      <c r="F75" s="92"/>
      <c r="G75" s="92"/>
      <c r="H75" s="92"/>
      <c r="I75" s="92"/>
      <c r="J75" s="92"/>
      <c r="K75" s="92"/>
      <c r="L75" s="92"/>
      <c r="M75" s="92"/>
      <c r="N75" s="92"/>
      <c r="O75" s="92"/>
      <c r="P75" s="92"/>
      <c r="Q75" s="92"/>
      <c r="R75" s="92"/>
      <c r="S75" s="92"/>
      <c r="T75" s="92"/>
      <c r="U75" s="92"/>
      <c r="V75" s="745"/>
      <c r="W75" s="745">
        <v>10.62</v>
      </c>
      <c r="X75" s="745">
        <v>10.77</v>
      </c>
      <c r="Y75" s="745">
        <v>10.9</v>
      </c>
      <c r="Z75" s="745">
        <v>11.1</v>
      </c>
      <c r="AA75" s="745">
        <v>11.17</v>
      </c>
      <c r="AB75" s="745">
        <v>11.32</v>
      </c>
      <c r="AC75" s="745">
        <v>11.37</v>
      </c>
      <c r="AD75" s="745">
        <v>11.37</v>
      </c>
      <c r="AE75" s="745">
        <v>11.45</v>
      </c>
      <c r="AF75" s="745">
        <v>11.62</v>
      </c>
      <c r="AG75" s="745">
        <v>11.76</v>
      </c>
      <c r="AH75" s="745">
        <v>11.89</v>
      </c>
      <c r="AI75" s="745">
        <v>12.03</v>
      </c>
      <c r="AJ75" s="745">
        <v>12.17</v>
      </c>
      <c r="AK75" s="745">
        <v>12.31</v>
      </c>
      <c r="AL75" s="745">
        <v>12.47</v>
      </c>
      <c r="AM75" s="745">
        <v>12.58</v>
      </c>
      <c r="AN75" s="745">
        <v>12.68</v>
      </c>
      <c r="AO75" s="745">
        <v>12.77</v>
      </c>
      <c r="AP75" s="745">
        <v>12.84</v>
      </c>
      <c r="AQ75" s="745">
        <v>12.92</v>
      </c>
      <c r="AR75" s="745">
        <v>13.02</v>
      </c>
      <c r="AS75" s="745">
        <v>13.08</v>
      </c>
      <c r="AT75" s="745">
        <v>13.16</v>
      </c>
      <c r="AU75" s="745">
        <v>13.26</v>
      </c>
      <c r="AV75" s="745">
        <v>13.37</v>
      </c>
      <c r="AW75" s="745">
        <v>13.47</v>
      </c>
      <c r="AX75" s="745">
        <v>13.57</v>
      </c>
      <c r="AY75" s="745">
        <v>13.67</v>
      </c>
      <c r="AZ75" s="745">
        <v>13.77</v>
      </c>
      <c r="BA75" s="745">
        <v>13.87</v>
      </c>
      <c r="BB75" s="745">
        <v>13.97</v>
      </c>
      <c r="BC75" s="745">
        <v>14.07</v>
      </c>
      <c r="BD75" s="745">
        <v>14.17</v>
      </c>
      <c r="BE75" s="745">
        <v>14.27</v>
      </c>
      <c r="BF75" s="745">
        <v>14.37</v>
      </c>
      <c r="BG75" s="745">
        <v>14.47</v>
      </c>
      <c r="BH75" s="745">
        <v>14.58</v>
      </c>
      <c r="BI75" s="745">
        <v>14.68</v>
      </c>
      <c r="BJ75" s="745">
        <v>14.78</v>
      </c>
      <c r="BK75" s="745">
        <v>14.88</v>
      </c>
      <c r="BL75" s="745">
        <v>14.98</v>
      </c>
      <c r="BM75" s="745">
        <v>15.08</v>
      </c>
      <c r="BN75" s="745">
        <v>15.18</v>
      </c>
      <c r="BO75" s="745">
        <v>15.28</v>
      </c>
      <c r="BP75" s="745">
        <v>15.38</v>
      </c>
      <c r="BQ75" s="745">
        <v>15.48</v>
      </c>
      <c r="BR75" s="745">
        <v>15.58</v>
      </c>
      <c r="BS75" s="745">
        <v>15.68</v>
      </c>
      <c r="BT75" s="857">
        <v>15.78</v>
      </c>
      <c r="BU75" s="745">
        <v>15.88</v>
      </c>
      <c r="BV75" s="745">
        <v>15.98</v>
      </c>
      <c r="BW75" s="745">
        <v>16.07</v>
      </c>
      <c r="BX75" s="745">
        <v>16.170000000000002</v>
      </c>
      <c r="BY75" s="745">
        <v>16.27</v>
      </c>
      <c r="BZ75" s="745">
        <v>16.37</v>
      </c>
      <c r="CA75" s="745">
        <v>16.47</v>
      </c>
      <c r="CB75" s="745">
        <v>16.559999999999999</v>
      </c>
      <c r="CC75" s="745">
        <v>16.66</v>
      </c>
      <c r="CD75" s="745">
        <v>16.760000000000002</v>
      </c>
      <c r="CE75" s="745">
        <v>16.850000000000001</v>
      </c>
      <c r="CF75" s="745">
        <v>16.95</v>
      </c>
      <c r="CG75" s="745">
        <v>17.05</v>
      </c>
      <c r="CH75" s="745">
        <v>17.14</v>
      </c>
      <c r="CI75" s="745">
        <v>17.239999999999998</v>
      </c>
      <c r="CJ75" s="745">
        <v>17.329999999999998</v>
      </c>
      <c r="CK75" s="745">
        <v>17.43</v>
      </c>
      <c r="CL75" s="745">
        <v>17.52</v>
      </c>
      <c r="CM75" s="745">
        <v>17.61</v>
      </c>
      <c r="CN75" s="745">
        <v>17.71</v>
      </c>
      <c r="CO75" s="745">
        <v>17.8</v>
      </c>
      <c r="CP75" s="745">
        <v>17.89</v>
      </c>
      <c r="CQ75" s="745">
        <v>17.989999999999998</v>
      </c>
      <c r="CR75" s="745">
        <v>18.079999999999998</v>
      </c>
      <c r="CS75" s="745">
        <v>18.170000000000002</v>
      </c>
      <c r="CT75" s="745">
        <v>18.260000000000002</v>
      </c>
      <c r="CU75" s="745">
        <v>18.350000000000001</v>
      </c>
      <c r="CV75" s="745">
        <v>18.440000000000001</v>
      </c>
      <c r="CW75" s="745">
        <v>18.53</v>
      </c>
      <c r="CX75" s="745">
        <v>18.62</v>
      </c>
      <c r="CY75" s="745">
        <v>18.71</v>
      </c>
      <c r="CZ75" s="745">
        <v>18.8</v>
      </c>
      <c r="DA75" s="745">
        <v>18.89</v>
      </c>
      <c r="DB75" s="745">
        <v>18.98</v>
      </c>
      <c r="DC75" s="745">
        <v>19.07</v>
      </c>
      <c r="DD75" s="745">
        <v>19.16</v>
      </c>
      <c r="DE75" s="745">
        <v>19.239999999999998</v>
      </c>
      <c r="DF75" s="745">
        <v>19.329999999999998</v>
      </c>
      <c r="DG75" s="745">
        <v>19.420000000000002</v>
      </c>
      <c r="DH75" s="745">
        <v>19.5</v>
      </c>
      <c r="DI75" s="745">
        <v>19.59</v>
      </c>
      <c r="DJ75" s="745">
        <v>19.670000000000002</v>
      </c>
      <c r="DK75" s="745">
        <v>19.760000000000002</v>
      </c>
      <c r="DL75" s="745">
        <v>19.84</v>
      </c>
      <c r="DM75" s="745">
        <v>19.93</v>
      </c>
      <c r="DN75" s="745">
        <v>20.010000000000002</v>
      </c>
      <c r="DO75" s="745">
        <v>20.09</v>
      </c>
      <c r="DP75" s="745">
        <v>20.18</v>
      </c>
      <c r="DQ75" s="745">
        <v>20.260000000000002</v>
      </c>
      <c r="DR75" s="745">
        <v>20.34</v>
      </c>
    </row>
    <row r="76" spans="1:122">
      <c r="A76" s="912">
        <v>74</v>
      </c>
      <c r="B76" s="92"/>
      <c r="C76" s="92"/>
      <c r="D76" s="92"/>
      <c r="E76" s="92"/>
      <c r="F76" s="92"/>
      <c r="G76" s="92"/>
      <c r="H76" s="92"/>
      <c r="I76" s="92"/>
      <c r="J76" s="92"/>
      <c r="K76" s="92"/>
      <c r="L76" s="92"/>
      <c r="M76" s="92"/>
      <c r="N76" s="92"/>
      <c r="O76" s="92"/>
      <c r="P76" s="92"/>
      <c r="Q76" s="92"/>
      <c r="R76" s="92"/>
      <c r="S76" s="92"/>
      <c r="T76" s="92"/>
      <c r="U76" s="92"/>
      <c r="V76" s="745"/>
      <c r="W76" s="745">
        <v>10.119999999999999</v>
      </c>
      <c r="X76" s="745">
        <v>10.27</v>
      </c>
      <c r="Y76" s="745">
        <v>10.39</v>
      </c>
      <c r="Z76" s="745">
        <v>10.58</v>
      </c>
      <c r="AA76" s="745">
        <v>10.65</v>
      </c>
      <c r="AB76" s="745">
        <v>10.77</v>
      </c>
      <c r="AC76" s="745">
        <v>10.81</v>
      </c>
      <c r="AD76" s="745">
        <v>10.82</v>
      </c>
      <c r="AE76" s="745">
        <v>10.91</v>
      </c>
      <c r="AF76" s="745">
        <v>11.06</v>
      </c>
      <c r="AG76" s="745">
        <v>11.19</v>
      </c>
      <c r="AH76" s="745">
        <v>11.29</v>
      </c>
      <c r="AI76" s="745">
        <v>11.43</v>
      </c>
      <c r="AJ76" s="745">
        <v>11.57</v>
      </c>
      <c r="AK76" s="745">
        <v>11.7</v>
      </c>
      <c r="AL76" s="745">
        <v>11.84</v>
      </c>
      <c r="AM76" s="745">
        <v>11.95</v>
      </c>
      <c r="AN76" s="745">
        <v>12.04</v>
      </c>
      <c r="AO76" s="745">
        <v>12.14</v>
      </c>
      <c r="AP76" s="745">
        <v>12.19</v>
      </c>
      <c r="AQ76" s="745">
        <v>12.29</v>
      </c>
      <c r="AR76" s="745">
        <v>12.37</v>
      </c>
      <c r="AS76" s="745">
        <v>12.45</v>
      </c>
      <c r="AT76" s="745">
        <v>12.54</v>
      </c>
      <c r="AU76" s="745">
        <v>12.64</v>
      </c>
      <c r="AV76" s="745">
        <v>12.73</v>
      </c>
      <c r="AW76" s="745">
        <v>12.83</v>
      </c>
      <c r="AX76" s="745">
        <v>12.93</v>
      </c>
      <c r="AY76" s="745">
        <v>13.02</v>
      </c>
      <c r="AZ76" s="745">
        <v>13.12</v>
      </c>
      <c r="BA76" s="745">
        <v>13.21</v>
      </c>
      <c r="BB76" s="745">
        <v>13.31</v>
      </c>
      <c r="BC76" s="745">
        <v>13.41</v>
      </c>
      <c r="BD76" s="745">
        <v>13.51</v>
      </c>
      <c r="BE76" s="745">
        <v>13.6</v>
      </c>
      <c r="BF76" s="745">
        <v>13.7</v>
      </c>
      <c r="BG76" s="745">
        <v>13.8</v>
      </c>
      <c r="BH76" s="745">
        <v>13.89</v>
      </c>
      <c r="BI76" s="745">
        <v>13.99</v>
      </c>
      <c r="BJ76" s="745">
        <v>14.09</v>
      </c>
      <c r="BK76" s="745">
        <v>14.19</v>
      </c>
      <c r="BL76" s="745">
        <v>14.28</v>
      </c>
      <c r="BM76" s="745">
        <v>14.38</v>
      </c>
      <c r="BN76" s="745">
        <v>14.48</v>
      </c>
      <c r="BO76" s="745">
        <v>14.57</v>
      </c>
      <c r="BP76" s="745">
        <v>14.67</v>
      </c>
      <c r="BQ76" s="745">
        <v>14.77</v>
      </c>
      <c r="BR76" s="745">
        <v>14.86</v>
      </c>
      <c r="BS76" s="745">
        <v>14.96</v>
      </c>
      <c r="BT76" s="857">
        <v>15.05</v>
      </c>
      <c r="BU76" s="745">
        <v>15.15</v>
      </c>
      <c r="BV76" s="745">
        <v>15.24</v>
      </c>
      <c r="BW76" s="745">
        <v>15.34</v>
      </c>
      <c r="BX76" s="745">
        <v>15.43</v>
      </c>
      <c r="BY76" s="745">
        <v>15.53</v>
      </c>
      <c r="BZ76" s="745">
        <v>15.62</v>
      </c>
      <c r="CA76" s="745">
        <v>15.72</v>
      </c>
      <c r="CB76" s="745">
        <v>15.81</v>
      </c>
      <c r="CC76" s="745">
        <v>15.9</v>
      </c>
      <c r="CD76" s="745">
        <v>16</v>
      </c>
      <c r="CE76" s="745">
        <v>16.09</v>
      </c>
      <c r="CF76" s="745">
        <v>16.18</v>
      </c>
      <c r="CG76" s="745">
        <v>16.28</v>
      </c>
      <c r="CH76" s="745">
        <v>16.37</v>
      </c>
      <c r="CI76" s="745">
        <v>16.46</v>
      </c>
      <c r="CJ76" s="745">
        <v>16.55</v>
      </c>
      <c r="CK76" s="745">
        <v>16.64</v>
      </c>
      <c r="CL76" s="745">
        <v>16.739999999999998</v>
      </c>
      <c r="CM76" s="745">
        <v>16.829999999999998</v>
      </c>
      <c r="CN76" s="745">
        <v>16.920000000000002</v>
      </c>
      <c r="CO76" s="745">
        <v>17.010000000000002</v>
      </c>
      <c r="CP76" s="745">
        <v>17.100000000000001</v>
      </c>
      <c r="CQ76" s="745">
        <v>17.190000000000001</v>
      </c>
      <c r="CR76" s="745">
        <v>17.28</v>
      </c>
      <c r="CS76" s="745">
        <v>17.37</v>
      </c>
      <c r="CT76" s="745">
        <v>17.46</v>
      </c>
      <c r="CU76" s="745">
        <v>17.54</v>
      </c>
      <c r="CV76" s="745">
        <v>17.63</v>
      </c>
      <c r="CW76" s="745">
        <v>17.72</v>
      </c>
      <c r="CX76" s="745">
        <v>17.809999999999999</v>
      </c>
      <c r="CY76" s="745">
        <v>17.89</v>
      </c>
      <c r="CZ76" s="745">
        <v>17.98</v>
      </c>
      <c r="DA76" s="745">
        <v>18.07</v>
      </c>
      <c r="DB76" s="745">
        <v>18.149999999999999</v>
      </c>
      <c r="DC76" s="745">
        <v>18.239999999999998</v>
      </c>
      <c r="DD76" s="745">
        <v>18.32</v>
      </c>
      <c r="DE76" s="745">
        <v>18.41</v>
      </c>
      <c r="DF76" s="745">
        <v>18.489999999999998</v>
      </c>
      <c r="DG76" s="745">
        <v>18.579999999999998</v>
      </c>
      <c r="DH76" s="745">
        <v>18.66</v>
      </c>
      <c r="DI76" s="745">
        <v>18.739999999999998</v>
      </c>
      <c r="DJ76" s="745">
        <v>18.829999999999998</v>
      </c>
      <c r="DK76" s="745">
        <v>18.91</v>
      </c>
      <c r="DL76" s="745">
        <v>18.989999999999998</v>
      </c>
      <c r="DM76" s="745">
        <v>19.07</v>
      </c>
      <c r="DN76" s="745">
        <v>19.16</v>
      </c>
      <c r="DO76" s="745">
        <v>19.239999999999998</v>
      </c>
      <c r="DP76" s="745">
        <v>19.32</v>
      </c>
      <c r="DQ76" s="745">
        <v>19.399999999999999</v>
      </c>
      <c r="DR76" s="745">
        <v>19.48</v>
      </c>
    </row>
    <row r="77" spans="1:122">
      <c r="A77" s="912">
        <v>75</v>
      </c>
      <c r="B77" s="92"/>
      <c r="C77" s="92"/>
      <c r="D77" s="92"/>
      <c r="E77" s="92"/>
      <c r="F77" s="92"/>
      <c r="G77" s="92"/>
      <c r="H77" s="92"/>
      <c r="I77" s="92"/>
      <c r="J77" s="92"/>
      <c r="K77" s="92"/>
      <c r="L77" s="92"/>
      <c r="M77" s="92"/>
      <c r="N77" s="92"/>
      <c r="O77" s="92"/>
      <c r="P77" s="92"/>
      <c r="Q77" s="92"/>
      <c r="R77" s="92"/>
      <c r="S77" s="92"/>
      <c r="T77" s="92"/>
      <c r="U77" s="92"/>
      <c r="V77" s="745"/>
      <c r="W77" s="745">
        <v>9.65</v>
      </c>
      <c r="X77" s="745">
        <v>9.7799999999999994</v>
      </c>
      <c r="Y77" s="745">
        <v>9.89</v>
      </c>
      <c r="Z77" s="745">
        <v>10.07</v>
      </c>
      <c r="AA77" s="745">
        <v>10.119999999999999</v>
      </c>
      <c r="AB77" s="745">
        <v>10.24</v>
      </c>
      <c r="AC77" s="745">
        <v>10.27</v>
      </c>
      <c r="AD77" s="745">
        <v>10.29</v>
      </c>
      <c r="AE77" s="745">
        <v>10.37</v>
      </c>
      <c r="AF77" s="745">
        <v>10.5</v>
      </c>
      <c r="AG77" s="745">
        <v>10.62</v>
      </c>
      <c r="AH77" s="745">
        <v>10.71</v>
      </c>
      <c r="AI77" s="745">
        <v>10.85</v>
      </c>
      <c r="AJ77" s="745">
        <v>10.98</v>
      </c>
      <c r="AK77" s="745">
        <v>11.1</v>
      </c>
      <c r="AL77" s="745">
        <v>11.23</v>
      </c>
      <c r="AM77" s="745">
        <v>11.33</v>
      </c>
      <c r="AN77" s="745">
        <v>11.42</v>
      </c>
      <c r="AO77" s="745">
        <v>11.5</v>
      </c>
      <c r="AP77" s="745">
        <v>11.58</v>
      </c>
      <c r="AQ77" s="745">
        <v>11.66</v>
      </c>
      <c r="AR77" s="745">
        <v>11.75</v>
      </c>
      <c r="AS77" s="745">
        <v>11.84</v>
      </c>
      <c r="AT77" s="745">
        <v>11.92</v>
      </c>
      <c r="AU77" s="745">
        <v>12.01</v>
      </c>
      <c r="AV77" s="745">
        <v>12.11</v>
      </c>
      <c r="AW77" s="745">
        <v>12.2</v>
      </c>
      <c r="AX77" s="745">
        <v>12.29</v>
      </c>
      <c r="AY77" s="745">
        <v>12.38</v>
      </c>
      <c r="AZ77" s="745">
        <v>12.47</v>
      </c>
      <c r="BA77" s="745">
        <v>12.57</v>
      </c>
      <c r="BB77" s="745">
        <v>12.66</v>
      </c>
      <c r="BC77" s="745">
        <v>12.75</v>
      </c>
      <c r="BD77" s="745">
        <v>12.85</v>
      </c>
      <c r="BE77" s="745">
        <v>12.94</v>
      </c>
      <c r="BF77" s="745">
        <v>13.03</v>
      </c>
      <c r="BG77" s="745">
        <v>13.13</v>
      </c>
      <c r="BH77" s="745">
        <v>13.22</v>
      </c>
      <c r="BI77" s="745">
        <v>13.31</v>
      </c>
      <c r="BJ77" s="745">
        <v>13.41</v>
      </c>
      <c r="BK77" s="745">
        <v>13.5</v>
      </c>
      <c r="BL77" s="745">
        <v>13.59</v>
      </c>
      <c r="BM77" s="745">
        <v>13.69</v>
      </c>
      <c r="BN77" s="745">
        <v>13.78</v>
      </c>
      <c r="BO77" s="745">
        <v>13.87</v>
      </c>
      <c r="BP77" s="745">
        <v>13.96</v>
      </c>
      <c r="BQ77" s="745">
        <v>14.06</v>
      </c>
      <c r="BR77" s="745">
        <v>14.15</v>
      </c>
      <c r="BS77" s="745">
        <v>14.24</v>
      </c>
      <c r="BT77" s="857">
        <v>14.33</v>
      </c>
      <c r="BU77" s="745">
        <v>14.43</v>
      </c>
      <c r="BV77" s="745">
        <v>14.52</v>
      </c>
      <c r="BW77" s="745">
        <v>14.61</v>
      </c>
      <c r="BX77" s="745">
        <v>14.7</v>
      </c>
      <c r="BY77" s="745">
        <v>14.79</v>
      </c>
      <c r="BZ77" s="745">
        <v>14.88</v>
      </c>
      <c r="CA77" s="745">
        <v>14.97</v>
      </c>
      <c r="CB77" s="745">
        <v>15.07</v>
      </c>
      <c r="CC77" s="745">
        <v>15.16</v>
      </c>
      <c r="CD77" s="745">
        <v>15.25</v>
      </c>
      <c r="CE77" s="745">
        <v>15.34</v>
      </c>
      <c r="CF77" s="745">
        <v>15.43</v>
      </c>
      <c r="CG77" s="745">
        <v>15.52</v>
      </c>
      <c r="CH77" s="745">
        <v>15.6</v>
      </c>
      <c r="CI77" s="745">
        <v>15.69</v>
      </c>
      <c r="CJ77" s="745">
        <v>15.78</v>
      </c>
      <c r="CK77" s="745">
        <v>15.87</v>
      </c>
      <c r="CL77" s="745">
        <v>15.96</v>
      </c>
      <c r="CM77" s="745">
        <v>16.05</v>
      </c>
      <c r="CN77" s="745">
        <v>16.14</v>
      </c>
      <c r="CO77" s="745">
        <v>16.22</v>
      </c>
      <c r="CP77" s="745">
        <v>16.309999999999999</v>
      </c>
      <c r="CQ77" s="745">
        <v>16.399999999999999</v>
      </c>
      <c r="CR77" s="745">
        <v>16.48</v>
      </c>
      <c r="CS77" s="745">
        <v>16.57</v>
      </c>
      <c r="CT77" s="745">
        <v>16.66</v>
      </c>
      <c r="CU77" s="745">
        <v>16.739999999999998</v>
      </c>
      <c r="CV77" s="745">
        <v>16.829999999999998</v>
      </c>
      <c r="CW77" s="745">
        <v>16.91</v>
      </c>
      <c r="CX77" s="745">
        <v>17</v>
      </c>
      <c r="CY77" s="745">
        <v>17.079999999999998</v>
      </c>
      <c r="CZ77" s="745">
        <v>17.170000000000002</v>
      </c>
      <c r="DA77" s="745">
        <v>17.25</v>
      </c>
      <c r="DB77" s="745">
        <v>17.329999999999998</v>
      </c>
      <c r="DC77" s="745">
        <v>17.420000000000002</v>
      </c>
      <c r="DD77" s="745">
        <v>17.5</v>
      </c>
      <c r="DE77" s="745">
        <v>17.579999999999998</v>
      </c>
      <c r="DF77" s="745">
        <v>17.66</v>
      </c>
      <c r="DG77" s="745">
        <v>17.739999999999998</v>
      </c>
      <c r="DH77" s="745">
        <v>17.829999999999998</v>
      </c>
      <c r="DI77" s="745">
        <v>17.91</v>
      </c>
      <c r="DJ77" s="745">
        <v>17.989999999999998</v>
      </c>
      <c r="DK77" s="745">
        <v>18.07</v>
      </c>
      <c r="DL77" s="745">
        <v>18.149999999999999</v>
      </c>
      <c r="DM77" s="745">
        <v>18.23</v>
      </c>
      <c r="DN77" s="745">
        <v>18.309999999999999</v>
      </c>
      <c r="DO77" s="745">
        <v>18.39</v>
      </c>
      <c r="DP77" s="745">
        <v>18.46</v>
      </c>
      <c r="DQ77" s="745">
        <v>18.54</v>
      </c>
      <c r="DR77" s="745">
        <v>18.62</v>
      </c>
    </row>
    <row r="78" spans="1:122">
      <c r="A78" s="912">
        <v>76</v>
      </c>
      <c r="B78" s="92"/>
      <c r="C78" s="92"/>
      <c r="D78" s="92"/>
      <c r="E78" s="92"/>
      <c r="F78" s="92"/>
      <c r="G78" s="92"/>
      <c r="H78" s="92"/>
      <c r="I78" s="92"/>
      <c r="J78" s="92"/>
      <c r="K78" s="92"/>
      <c r="L78" s="92"/>
      <c r="M78" s="92"/>
      <c r="N78" s="92"/>
      <c r="O78" s="92"/>
      <c r="P78" s="92"/>
      <c r="Q78" s="92"/>
      <c r="R78" s="92"/>
      <c r="S78" s="92"/>
      <c r="T78" s="92"/>
      <c r="U78" s="92"/>
      <c r="V78" s="745"/>
      <c r="W78" s="745">
        <v>9.18</v>
      </c>
      <c r="X78" s="745">
        <v>9.3000000000000007</v>
      </c>
      <c r="Y78" s="745">
        <v>9.4</v>
      </c>
      <c r="Z78" s="745">
        <v>9.56</v>
      </c>
      <c r="AA78" s="745">
        <v>9.61</v>
      </c>
      <c r="AB78" s="745">
        <v>9.7100000000000009</v>
      </c>
      <c r="AC78" s="745">
        <v>9.75</v>
      </c>
      <c r="AD78" s="745">
        <v>9.77</v>
      </c>
      <c r="AE78" s="745">
        <v>9.83</v>
      </c>
      <c r="AF78" s="745">
        <v>9.9499999999999993</v>
      </c>
      <c r="AG78" s="745">
        <v>10.050000000000001</v>
      </c>
      <c r="AH78" s="745">
        <v>10.15</v>
      </c>
      <c r="AI78" s="745">
        <v>10.27</v>
      </c>
      <c r="AJ78" s="745">
        <v>10.39</v>
      </c>
      <c r="AK78" s="745">
        <v>10.51</v>
      </c>
      <c r="AL78" s="745">
        <v>10.63</v>
      </c>
      <c r="AM78" s="745">
        <v>10.73</v>
      </c>
      <c r="AN78" s="745">
        <v>10.8</v>
      </c>
      <c r="AO78" s="745">
        <v>10.9</v>
      </c>
      <c r="AP78" s="745">
        <v>10.97</v>
      </c>
      <c r="AQ78" s="745">
        <v>11.05</v>
      </c>
      <c r="AR78" s="745">
        <v>11.14</v>
      </c>
      <c r="AS78" s="745">
        <v>11.22</v>
      </c>
      <c r="AT78" s="745">
        <v>11.31</v>
      </c>
      <c r="AU78" s="745">
        <v>11.4</v>
      </c>
      <c r="AV78" s="745">
        <v>11.48</v>
      </c>
      <c r="AW78" s="745">
        <v>11.57</v>
      </c>
      <c r="AX78" s="745">
        <v>11.66</v>
      </c>
      <c r="AY78" s="745">
        <v>11.75</v>
      </c>
      <c r="AZ78" s="745">
        <v>11.84</v>
      </c>
      <c r="BA78" s="745">
        <v>11.93</v>
      </c>
      <c r="BB78" s="745">
        <v>12.01</v>
      </c>
      <c r="BC78" s="745">
        <v>12.1</v>
      </c>
      <c r="BD78" s="745">
        <v>12.19</v>
      </c>
      <c r="BE78" s="745">
        <v>12.28</v>
      </c>
      <c r="BF78" s="745">
        <v>12.37</v>
      </c>
      <c r="BG78" s="745">
        <v>12.46</v>
      </c>
      <c r="BH78" s="745">
        <v>12.55</v>
      </c>
      <c r="BI78" s="745">
        <v>12.64</v>
      </c>
      <c r="BJ78" s="745">
        <v>12.73</v>
      </c>
      <c r="BK78" s="745">
        <v>12.82</v>
      </c>
      <c r="BL78" s="745">
        <v>12.91</v>
      </c>
      <c r="BM78" s="745">
        <v>13</v>
      </c>
      <c r="BN78" s="745">
        <v>13.09</v>
      </c>
      <c r="BO78" s="745">
        <v>13.18</v>
      </c>
      <c r="BP78" s="745">
        <v>13.27</v>
      </c>
      <c r="BQ78" s="745">
        <v>13.36</v>
      </c>
      <c r="BR78" s="745">
        <v>13.45</v>
      </c>
      <c r="BS78" s="745">
        <v>13.53</v>
      </c>
      <c r="BT78" s="857">
        <v>13.62</v>
      </c>
      <c r="BU78" s="745">
        <v>13.71</v>
      </c>
      <c r="BV78" s="745">
        <v>13.8</v>
      </c>
      <c r="BW78" s="745">
        <v>13.89</v>
      </c>
      <c r="BX78" s="745">
        <v>13.98</v>
      </c>
      <c r="BY78" s="745">
        <v>14.06</v>
      </c>
      <c r="BZ78" s="745">
        <v>14.15</v>
      </c>
      <c r="CA78" s="745">
        <v>14.24</v>
      </c>
      <c r="CB78" s="745">
        <v>14.33</v>
      </c>
      <c r="CC78" s="745">
        <v>14.41</v>
      </c>
      <c r="CD78" s="745">
        <v>14.5</v>
      </c>
      <c r="CE78" s="745">
        <v>14.59</v>
      </c>
      <c r="CF78" s="745">
        <v>14.68</v>
      </c>
      <c r="CG78" s="745">
        <v>14.76</v>
      </c>
      <c r="CH78" s="745">
        <v>14.85</v>
      </c>
      <c r="CI78" s="745">
        <v>14.93</v>
      </c>
      <c r="CJ78" s="745">
        <v>15.02</v>
      </c>
      <c r="CK78" s="745">
        <v>15.11</v>
      </c>
      <c r="CL78" s="745">
        <v>15.19</v>
      </c>
      <c r="CM78" s="745">
        <v>15.28</v>
      </c>
      <c r="CN78" s="745">
        <v>15.36</v>
      </c>
      <c r="CO78" s="745">
        <v>15.45</v>
      </c>
      <c r="CP78" s="745">
        <v>15.53</v>
      </c>
      <c r="CQ78" s="745">
        <v>15.61</v>
      </c>
      <c r="CR78" s="745">
        <v>15.7</v>
      </c>
      <c r="CS78" s="745">
        <v>15.78</v>
      </c>
      <c r="CT78" s="745">
        <v>15.86</v>
      </c>
      <c r="CU78" s="745">
        <v>15.95</v>
      </c>
      <c r="CV78" s="745">
        <v>16.03</v>
      </c>
      <c r="CW78" s="745">
        <v>16.11</v>
      </c>
      <c r="CX78" s="745">
        <v>16.190000000000001</v>
      </c>
      <c r="CY78" s="745">
        <v>16.28</v>
      </c>
      <c r="CZ78" s="745">
        <v>16.36</v>
      </c>
      <c r="DA78" s="745">
        <v>16.440000000000001</v>
      </c>
      <c r="DB78" s="745">
        <v>16.52</v>
      </c>
      <c r="DC78" s="745">
        <v>16.600000000000001</v>
      </c>
      <c r="DD78" s="745">
        <v>16.68</v>
      </c>
      <c r="DE78" s="745">
        <v>16.760000000000002</v>
      </c>
      <c r="DF78" s="745">
        <v>16.84</v>
      </c>
      <c r="DG78" s="745">
        <v>16.920000000000002</v>
      </c>
      <c r="DH78" s="745">
        <v>17</v>
      </c>
      <c r="DI78" s="745">
        <v>17.079999999999998</v>
      </c>
      <c r="DJ78" s="745">
        <v>17.16</v>
      </c>
      <c r="DK78" s="745">
        <v>17.23</v>
      </c>
      <c r="DL78" s="745">
        <v>17.309999999999999</v>
      </c>
      <c r="DM78" s="745">
        <v>17.39</v>
      </c>
      <c r="DN78" s="745">
        <v>17.47</v>
      </c>
      <c r="DO78" s="745">
        <v>17.54</v>
      </c>
      <c r="DP78" s="745">
        <v>17.62</v>
      </c>
      <c r="DQ78" s="745">
        <v>17.690000000000001</v>
      </c>
      <c r="DR78" s="745">
        <v>17.77</v>
      </c>
    </row>
    <row r="79" spans="1:122">
      <c r="A79" s="912">
        <v>77</v>
      </c>
      <c r="B79" s="92"/>
      <c r="C79" s="92"/>
      <c r="D79" s="92"/>
      <c r="E79" s="92"/>
      <c r="F79" s="92"/>
      <c r="G79" s="92"/>
      <c r="H79" s="92"/>
      <c r="I79" s="92"/>
      <c r="J79" s="92"/>
      <c r="K79" s="92"/>
      <c r="L79" s="92"/>
      <c r="M79" s="92"/>
      <c r="N79" s="92"/>
      <c r="O79" s="92"/>
      <c r="P79" s="92"/>
      <c r="Q79" s="92"/>
      <c r="R79" s="92"/>
      <c r="S79" s="92"/>
      <c r="T79" s="92"/>
      <c r="U79" s="92"/>
      <c r="V79" s="745"/>
      <c r="W79" s="745">
        <v>8.7200000000000006</v>
      </c>
      <c r="X79" s="745">
        <v>8.83</v>
      </c>
      <c r="Y79" s="745">
        <v>8.91</v>
      </c>
      <c r="Z79" s="745">
        <v>9.0500000000000007</v>
      </c>
      <c r="AA79" s="745">
        <v>9.1</v>
      </c>
      <c r="AB79" s="745">
        <v>9.1999999999999993</v>
      </c>
      <c r="AC79" s="745">
        <v>9.2200000000000006</v>
      </c>
      <c r="AD79" s="745">
        <v>9.24</v>
      </c>
      <c r="AE79" s="745">
        <v>9.3000000000000007</v>
      </c>
      <c r="AF79" s="745">
        <v>9.4</v>
      </c>
      <c r="AG79" s="745">
        <v>9.5</v>
      </c>
      <c r="AH79" s="745">
        <v>9.59</v>
      </c>
      <c r="AI79" s="745">
        <v>9.6999999999999993</v>
      </c>
      <c r="AJ79" s="745">
        <v>9.82</v>
      </c>
      <c r="AK79" s="745">
        <v>9.93</v>
      </c>
      <c r="AL79" s="745">
        <v>10.06</v>
      </c>
      <c r="AM79" s="745">
        <v>10.130000000000001</v>
      </c>
      <c r="AN79" s="745">
        <v>10.210000000000001</v>
      </c>
      <c r="AO79" s="745">
        <v>10.3</v>
      </c>
      <c r="AP79" s="745">
        <v>10.38</v>
      </c>
      <c r="AQ79" s="745">
        <v>10.46</v>
      </c>
      <c r="AR79" s="745">
        <v>10.54</v>
      </c>
      <c r="AS79" s="745">
        <v>10.62</v>
      </c>
      <c r="AT79" s="745">
        <v>10.7</v>
      </c>
      <c r="AU79" s="745">
        <v>10.79</v>
      </c>
      <c r="AV79" s="745">
        <v>10.87</v>
      </c>
      <c r="AW79" s="745">
        <v>10.95</v>
      </c>
      <c r="AX79" s="745">
        <v>11.04</v>
      </c>
      <c r="AY79" s="745">
        <v>11.12</v>
      </c>
      <c r="AZ79" s="745">
        <v>11.21</v>
      </c>
      <c r="BA79" s="745">
        <v>11.29</v>
      </c>
      <c r="BB79" s="745">
        <v>11.38</v>
      </c>
      <c r="BC79" s="745">
        <v>11.46</v>
      </c>
      <c r="BD79" s="745">
        <v>11.55</v>
      </c>
      <c r="BE79" s="745">
        <v>11.64</v>
      </c>
      <c r="BF79" s="745">
        <v>11.72</v>
      </c>
      <c r="BG79" s="745">
        <v>11.81</v>
      </c>
      <c r="BH79" s="745">
        <v>11.89</v>
      </c>
      <c r="BI79" s="745">
        <v>11.98</v>
      </c>
      <c r="BJ79" s="745">
        <v>12.07</v>
      </c>
      <c r="BK79" s="745">
        <v>12.15</v>
      </c>
      <c r="BL79" s="745">
        <v>12.24</v>
      </c>
      <c r="BM79" s="745">
        <v>12.32</v>
      </c>
      <c r="BN79" s="745">
        <v>12.41</v>
      </c>
      <c r="BO79" s="745">
        <v>12.49</v>
      </c>
      <c r="BP79" s="745">
        <v>12.58</v>
      </c>
      <c r="BQ79" s="745">
        <v>12.67</v>
      </c>
      <c r="BR79" s="745">
        <v>12.75</v>
      </c>
      <c r="BS79" s="745">
        <v>12.84</v>
      </c>
      <c r="BT79" s="857">
        <v>12.92</v>
      </c>
      <c r="BU79" s="745">
        <v>13.01</v>
      </c>
      <c r="BV79" s="745">
        <v>13.09</v>
      </c>
      <c r="BW79" s="745">
        <v>13.18</v>
      </c>
      <c r="BX79" s="745">
        <v>13.26</v>
      </c>
      <c r="BY79" s="745">
        <v>13.35</v>
      </c>
      <c r="BZ79" s="745">
        <v>13.43</v>
      </c>
      <c r="CA79" s="745">
        <v>13.51</v>
      </c>
      <c r="CB79" s="745">
        <v>13.6</v>
      </c>
      <c r="CC79" s="745">
        <v>13.68</v>
      </c>
      <c r="CD79" s="745">
        <v>13.77</v>
      </c>
      <c r="CE79" s="745">
        <v>13.85</v>
      </c>
      <c r="CF79" s="745">
        <v>13.93</v>
      </c>
      <c r="CG79" s="745">
        <v>14.02</v>
      </c>
      <c r="CH79" s="745">
        <v>14.1</v>
      </c>
      <c r="CI79" s="745">
        <v>14.18</v>
      </c>
      <c r="CJ79" s="745">
        <v>14.27</v>
      </c>
      <c r="CK79" s="745">
        <v>14.35</v>
      </c>
      <c r="CL79" s="745">
        <v>14.43</v>
      </c>
      <c r="CM79" s="745">
        <v>14.51</v>
      </c>
      <c r="CN79" s="745">
        <v>14.59</v>
      </c>
      <c r="CO79" s="745">
        <v>14.68</v>
      </c>
      <c r="CP79" s="745">
        <v>14.76</v>
      </c>
      <c r="CQ79" s="745">
        <v>14.84</v>
      </c>
      <c r="CR79" s="745">
        <v>14.92</v>
      </c>
      <c r="CS79" s="745">
        <v>15</v>
      </c>
      <c r="CT79" s="745">
        <v>15.08</v>
      </c>
      <c r="CU79" s="745">
        <v>15.16</v>
      </c>
      <c r="CV79" s="745">
        <v>15.24</v>
      </c>
      <c r="CW79" s="745">
        <v>15.32</v>
      </c>
      <c r="CX79" s="745">
        <v>15.4</v>
      </c>
      <c r="CY79" s="745">
        <v>15.48</v>
      </c>
      <c r="CZ79" s="745">
        <v>15.56</v>
      </c>
      <c r="DA79" s="745">
        <v>15.64</v>
      </c>
      <c r="DB79" s="745">
        <v>15.72</v>
      </c>
      <c r="DC79" s="745">
        <v>15.79</v>
      </c>
      <c r="DD79" s="745">
        <v>15.87</v>
      </c>
      <c r="DE79" s="745">
        <v>15.95</v>
      </c>
      <c r="DF79" s="745">
        <v>16.03</v>
      </c>
      <c r="DG79" s="745">
        <v>16.100000000000001</v>
      </c>
      <c r="DH79" s="745">
        <v>16.18</v>
      </c>
      <c r="DI79" s="745">
        <v>16.260000000000002</v>
      </c>
      <c r="DJ79" s="745">
        <v>16.329999999999998</v>
      </c>
      <c r="DK79" s="745">
        <v>16.41</v>
      </c>
      <c r="DL79" s="745">
        <v>16.48</v>
      </c>
      <c r="DM79" s="745">
        <v>16.559999999999999</v>
      </c>
      <c r="DN79" s="745">
        <v>16.63</v>
      </c>
      <c r="DO79" s="745">
        <v>16.71</v>
      </c>
      <c r="DP79" s="745">
        <v>16.78</v>
      </c>
      <c r="DQ79" s="745">
        <v>16.850000000000001</v>
      </c>
      <c r="DR79" s="745">
        <v>16.93</v>
      </c>
    </row>
    <row r="80" spans="1:122">
      <c r="A80" s="912">
        <v>78</v>
      </c>
      <c r="B80" s="92"/>
      <c r="C80" s="92"/>
      <c r="D80" s="92"/>
      <c r="E80" s="92"/>
      <c r="F80" s="92"/>
      <c r="G80" s="92"/>
      <c r="H80" s="92"/>
      <c r="I80" s="92"/>
      <c r="J80" s="92"/>
      <c r="K80" s="92"/>
      <c r="L80" s="92"/>
      <c r="M80" s="92"/>
      <c r="N80" s="92"/>
      <c r="O80" s="92"/>
      <c r="P80" s="92"/>
      <c r="Q80" s="92"/>
      <c r="R80" s="92"/>
      <c r="S80" s="92"/>
      <c r="T80" s="92"/>
      <c r="U80" s="92"/>
      <c r="V80" s="745"/>
      <c r="W80" s="745">
        <v>8.27</v>
      </c>
      <c r="X80" s="745">
        <v>8.36</v>
      </c>
      <c r="Y80" s="745">
        <v>8.42</v>
      </c>
      <c r="Z80" s="745">
        <v>8.56</v>
      </c>
      <c r="AA80" s="745">
        <v>8.61</v>
      </c>
      <c r="AB80" s="745">
        <v>8.6999999999999993</v>
      </c>
      <c r="AC80" s="745">
        <v>8.7200000000000006</v>
      </c>
      <c r="AD80" s="745">
        <v>8.73</v>
      </c>
      <c r="AE80" s="745">
        <v>8.77</v>
      </c>
      <c r="AF80" s="745">
        <v>8.8699999999999992</v>
      </c>
      <c r="AG80" s="745">
        <v>8.9700000000000006</v>
      </c>
      <c r="AH80" s="745">
        <v>9.0399999999999991</v>
      </c>
      <c r="AI80" s="745">
        <v>9.16</v>
      </c>
      <c r="AJ80" s="745">
        <v>9.27</v>
      </c>
      <c r="AK80" s="745">
        <v>9.3800000000000008</v>
      </c>
      <c r="AL80" s="745">
        <v>9.4700000000000006</v>
      </c>
      <c r="AM80" s="745">
        <v>9.56</v>
      </c>
      <c r="AN80" s="745">
        <v>9.6300000000000008</v>
      </c>
      <c r="AO80" s="745">
        <v>9.7200000000000006</v>
      </c>
      <c r="AP80" s="745">
        <v>9.7899999999999991</v>
      </c>
      <c r="AQ80" s="745">
        <v>9.8699999999999992</v>
      </c>
      <c r="AR80" s="745">
        <v>9.9499999999999993</v>
      </c>
      <c r="AS80" s="745">
        <v>10.029999999999999</v>
      </c>
      <c r="AT80" s="745">
        <v>10.11</v>
      </c>
      <c r="AU80" s="745">
        <v>10.19</v>
      </c>
      <c r="AV80" s="745">
        <v>10.27</v>
      </c>
      <c r="AW80" s="745">
        <v>10.35</v>
      </c>
      <c r="AX80" s="745">
        <v>10.43</v>
      </c>
      <c r="AY80" s="745">
        <v>10.51</v>
      </c>
      <c r="AZ80" s="745">
        <v>10.59</v>
      </c>
      <c r="BA80" s="745">
        <v>10.67</v>
      </c>
      <c r="BB80" s="745">
        <v>10.75</v>
      </c>
      <c r="BC80" s="745">
        <v>10.83</v>
      </c>
      <c r="BD80" s="745">
        <v>10.92</v>
      </c>
      <c r="BE80" s="745">
        <v>11</v>
      </c>
      <c r="BF80" s="745">
        <v>11.08</v>
      </c>
      <c r="BG80" s="745">
        <v>11.16</v>
      </c>
      <c r="BH80" s="745">
        <v>11.24</v>
      </c>
      <c r="BI80" s="745">
        <v>11.33</v>
      </c>
      <c r="BJ80" s="745">
        <v>11.41</v>
      </c>
      <c r="BK80" s="745">
        <v>11.49</v>
      </c>
      <c r="BL80" s="745">
        <v>11.57</v>
      </c>
      <c r="BM80" s="745">
        <v>11.66</v>
      </c>
      <c r="BN80" s="745">
        <v>11.74</v>
      </c>
      <c r="BO80" s="745">
        <v>11.82</v>
      </c>
      <c r="BP80" s="745">
        <v>11.9</v>
      </c>
      <c r="BQ80" s="745">
        <v>11.98</v>
      </c>
      <c r="BR80" s="745">
        <v>12.07</v>
      </c>
      <c r="BS80" s="745">
        <v>12.15</v>
      </c>
      <c r="BT80" s="857">
        <v>12.23</v>
      </c>
      <c r="BU80" s="745">
        <v>12.31</v>
      </c>
      <c r="BV80" s="745">
        <v>12.39</v>
      </c>
      <c r="BW80" s="745">
        <v>12.47</v>
      </c>
      <c r="BX80" s="745">
        <v>12.56</v>
      </c>
      <c r="BY80" s="745">
        <v>12.64</v>
      </c>
      <c r="BZ80" s="745">
        <v>12.72</v>
      </c>
      <c r="CA80" s="745">
        <v>12.8</v>
      </c>
      <c r="CB80" s="745">
        <v>12.88</v>
      </c>
      <c r="CC80" s="745">
        <v>12.96</v>
      </c>
      <c r="CD80" s="745">
        <v>13.04</v>
      </c>
      <c r="CE80" s="745">
        <v>13.12</v>
      </c>
      <c r="CF80" s="745">
        <v>13.2</v>
      </c>
      <c r="CG80" s="745">
        <v>13.28</v>
      </c>
      <c r="CH80" s="745">
        <v>13.36</v>
      </c>
      <c r="CI80" s="745">
        <v>13.44</v>
      </c>
      <c r="CJ80" s="745">
        <v>13.52</v>
      </c>
      <c r="CK80" s="745">
        <v>13.6</v>
      </c>
      <c r="CL80" s="745">
        <v>13.68</v>
      </c>
      <c r="CM80" s="745">
        <v>13.76</v>
      </c>
      <c r="CN80" s="745">
        <v>13.84</v>
      </c>
      <c r="CO80" s="745">
        <v>13.92</v>
      </c>
      <c r="CP80" s="745">
        <v>14</v>
      </c>
      <c r="CQ80" s="745">
        <v>14.07</v>
      </c>
      <c r="CR80" s="745">
        <v>14.15</v>
      </c>
      <c r="CS80" s="745">
        <v>14.23</v>
      </c>
      <c r="CT80" s="745">
        <v>14.31</v>
      </c>
      <c r="CU80" s="745">
        <v>14.39</v>
      </c>
      <c r="CV80" s="745">
        <v>14.46</v>
      </c>
      <c r="CW80" s="745">
        <v>14.54</v>
      </c>
      <c r="CX80" s="745">
        <v>14.62</v>
      </c>
      <c r="CY80" s="745">
        <v>14.69</v>
      </c>
      <c r="CZ80" s="745">
        <v>14.77</v>
      </c>
      <c r="DA80" s="745">
        <v>14.85</v>
      </c>
      <c r="DB80" s="745">
        <v>14.92</v>
      </c>
      <c r="DC80" s="745">
        <v>15</v>
      </c>
      <c r="DD80" s="745">
        <v>15.07</v>
      </c>
      <c r="DE80" s="745">
        <v>15.15</v>
      </c>
      <c r="DF80" s="745">
        <v>15.22</v>
      </c>
      <c r="DG80" s="745">
        <v>15.3</v>
      </c>
      <c r="DH80" s="745">
        <v>15.37</v>
      </c>
      <c r="DI80" s="745">
        <v>15.44</v>
      </c>
      <c r="DJ80" s="745">
        <v>15.52</v>
      </c>
      <c r="DK80" s="745">
        <v>15.59</v>
      </c>
      <c r="DL80" s="745">
        <v>15.66</v>
      </c>
      <c r="DM80" s="745">
        <v>15.74</v>
      </c>
      <c r="DN80" s="745">
        <v>15.81</v>
      </c>
      <c r="DO80" s="745">
        <v>15.88</v>
      </c>
      <c r="DP80" s="745">
        <v>15.95</v>
      </c>
      <c r="DQ80" s="745">
        <v>16.02</v>
      </c>
      <c r="DR80" s="745">
        <v>16.09</v>
      </c>
    </row>
    <row r="81" spans="1:122">
      <c r="A81" s="912">
        <v>79</v>
      </c>
      <c r="B81" s="92"/>
      <c r="C81" s="92"/>
      <c r="D81" s="92"/>
      <c r="E81" s="92"/>
      <c r="F81" s="92"/>
      <c r="G81" s="92"/>
      <c r="H81" s="92"/>
      <c r="I81" s="92"/>
      <c r="J81" s="92"/>
      <c r="K81" s="92"/>
      <c r="L81" s="92"/>
      <c r="M81" s="92"/>
      <c r="N81" s="92"/>
      <c r="O81" s="92"/>
      <c r="P81" s="92"/>
      <c r="Q81" s="92"/>
      <c r="R81" s="92"/>
      <c r="S81" s="92"/>
      <c r="T81" s="92"/>
      <c r="U81" s="92"/>
      <c r="V81" s="745"/>
      <c r="W81" s="745">
        <v>7.83</v>
      </c>
      <c r="X81" s="745">
        <v>7.89</v>
      </c>
      <c r="Y81" s="745">
        <v>7.96</v>
      </c>
      <c r="Z81" s="745">
        <v>8.09</v>
      </c>
      <c r="AA81" s="745">
        <v>8.1300000000000008</v>
      </c>
      <c r="AB81" s="745">
        <v>8.1999999999999993</v>
      </c>
      <c r="AC81" s="745">
        <v>8.2200000000000006</v>
      </c>
      <c r="AD81" s="745">
        <v>8.2200000000000006</v>
      </c>
      <c r="AE81" s="745">
        <v>8.27</v>
      </c>
      <c r="AF81" s="745">
        <v>8.36</v>
      </c>
      <c r="AG81" s="745">
        <v>8.4499999999999993</v>
      </c>
      <c r="AH81" s="745">
        <v>8.52</v>
      </c>
      <c r="AI81" s="745">
        <v>8.6300000000000008</v>
      </c>
      <c r="AJ81" s="745">
        <v>8.73</v>
      </c>
      <c r="AK81" s="745">
        <v>8.81</v>
      </c>
      <c r="AL81" s="745">
        <v>8.92</v>
      </c>
      <c r="AM81" s="745">
        <v>8.99</v>
      </c>
      <c r="AN81" s="745">
        <v>9.07</v>
      </c>
      <c r="AO81" s="745">
        <v>9.15</v>
      </c>
      <c r="AP81" s="745">
        <v>9.2200000000000006</v>
      </c>
      <c r="AQ81" s="745">
        <v>9.3000000000000007</v>
      </c>
      <c r="AR81" s="745">
        <v>9.3699999999999992</v>
      </c>
      <c r="AS81" s="745">
        <v>9.4499999999999993</v>
      </c>
      <c r="AT81" s="745">
        <v>9.52</v>
      </c>
      <c r="AU81" s="745">
        <v>9.6</v>
      </c>
      <c r="AV81" s="745">
        <v>9.67</v>
      </c>
      <c r="AW81" s="745">
        <v>9.75</v>
      </c>
      <c r="AX81" s="745">
        <v>9.82</v>
      </c>
      <c r="AY81" s="745">
        <v>9.9</v>
      </c>
      <c r="AZ81" s="745">
        <v>9.98</v>
      </c>
      <c r="BA81" s="745">
        <v>10.06</v>
      </c>
      <c r="BB81" s="745">
        <v>10.14</v>
      </c>
      <c r="BC81" s="745">
        <v>10.210000000000001</v>
      </c>
      <c r="BD81" s="745">
        <v>10.29</v>
      </c>
      <c r="BE81" s="745">
        <v>10.37</v>
      </c>
      <c r="BF81" s="745">
        <v>10.45</v>
      </c>
      <c r="BG81" s="745">
        <v>10.53</v>
      </c>
      <c r="BH81" s="745">
        <v>10.61</v>
      </c>
      <c r="BI81" s="745">
        <v>10.69</v>
      </c>
      <c r="BJ81" s="745">
        <v>10.76</v>
      </c>
      <c r="BK81" s="745">
        <v>10.84</v>
      </c>
      <c r="BL81" s="745">
        <v>10.92</v>
      </c>
      <c r="BM81" s="745">
        <v>11</v>
      </c>
      <c r="BN81" s="745">
        <v>11.08</v>
      </c>
      <c r="BO81" s="745">
        <v>11.16</v>
      </c>
      <c r="BP81" s="745">
        <v>11.24</v>
      </c>
      <c r="BQ81" s="745">
        <v>11.31</v>
      </c>
      <c r="BR81" s="745">
        <v>11.39</v>
      </c>
      <c r="BS81" s="745">
        <v>11.47</v>
      </c>
      <c r="BT81" s="857">
        <v>11.55</v>
      </c>
      <c r="BU81" s="745">
        <v>11.63</v>
      </c>
      <c r="BV81" s="745">
        <v>11.71</v>
      </c>
      <c r="BW81" s="745">
        <v>11.78</v>
      </c>
      <c r="BX81" s="745">
        <v>11.86</v>
      </c>
      <c r="BY81" s="745">
        <v>11.94</v>
      </c>
      <c r="BZ81" s="745">
        <v>12.02</v>
      </c>
      <c r="CA81" s="745">
        <v>12.1</v>
      </c>
      <c r="CB81" s="745">
        <v>12.17</v>
      </c>
      <c r="CC81" s="745">
        <v>12.25</v>
      </c>
      <c r="CD81" s="745">
        <v>12.33</v>
      </c>
      <c r="CE81" s="745">
        <v>12.41</v>
      </c>
      <c r="CF81" s="745">
        <v>12.48</v>
      </c>
      <c r="CG81" s="745">
        <v>12.56</v>
      </c>
      <c r="CH81" s="745">
        <v>12.64</v>
      </c>
      <c r="CI81" s="745">
        <v>12.71</v>
      </c>
      <c r="CJ81" s="745">
        <v>12.79</v>
      </c>
      <c r="CK81" s="745">
        <v>12.87</v>
      </c>
      <c r="CL81" s="745">
        <v>12.94</v>
      </c>
      <c r="CM81" s="745">
        <v>13.02</v>
      </c>
      <c r="CN81" s="745">
        <v>13.1</v>
      </c>
      <c r="CO81" s="745">
        <v>13.17</v>
      </c>
      <c r="CP81" s="745">
        <v>13.25</v>
      </c>
      <c r="CQ81" s="745">
        <v>13.32</v>
      </c>
      <c r="CR81" s="745">
        <v>13.4</v>
      </c>
      <c r="CS81" s="745">
        <v>13.47</v>
      </c>
      <c r="CT81" s="745">
        <v>13.55</v>
      </c>
      <c r="CU81" s="745">
        <v>13.62</v>
      </c>
      <c r="CV81" s="745">
        <v>13.7</v>
      </c>
      <c r="CW81" s="745">
        <v>13.77</v>
      </c>
      <c r="CX81" s="745">
        <v>13.84</v>
      </c>
      <c r="CY81" s="745">
        <v>13.92</v>
      </c>
      <c r="CZ81" s="745">
        <v>13.99</v>
      </c>
      <c r="DA81" s="745">
        <v>14.07</v>
      </c>
      <c r="DB81" s="745">
        <v>14.14</v>
      </c>
      <c r="DC81" s="745">
        <v>14.21</v>
      </c>
      <c r="DD81" s="745">
        <v>14.28</v>
      </c>
      <c r="DE81" s="745">
        <v>14.36</v>
      </c>
      <c r="DF81" s="745">
        <v>14.43</v>
      </c>
      <c r="DG81" s="745">
        <v>14.5</v>
      </c>
      <c r="DH81" s="745">
        <v>14.57</v>
      </c>
      <c r="DI81" s="745">
        <v>14.64</v>
      </c>
      <c r="DJ81" s="745">
        <v>14.71</v>
      </c>
      <c r="DK81" s="745">
        <v>14.78</v>
      </c>
      <c r="DL81" s="745">
        <v>14.86</v>
      </c>
      <c r="DM81" s="745">
        <v>14.93</v>
      </c>
      <c r="DN81" s="745">
        <v>15</v>
      </c>
      <c r="DO81" s="745">
        <v>15.07</v>
      </c>
      <c r="DP81" s="745">
        <v>15.13</v>
      </c>
      <c r="DQ81" s="745">
        <v>15.2</v>
      </c>
      <c r="DR81" s="745">
        <v>15.27</v>
      </c>
    </row>
    <row r="82" spans="1:122">
      <c r="A82" s="912">
        <v>80</v>
      </c>
      <c r="B82" s="92"/>
      <c r="C82" s="92"/>
      <c r="D82" s="92"/>
      <c r="E82" s="92"/>
      <c r="F82" s="92"/>
      <c r="G82" s="92"/>
      <c r="H82" s="92"/>
      <c r="I82" s="92"/>
      <c r="J82" s="92"/>
      <c r="K82" s="92"/>
      <c r="L82" s="92"/>
      <c r="M82" s="92"/>
      <c r="N82" s="92"/>
      <c r="O82" s="92"/>
      <c r="P82" s="92"/>
      <c r="Q82" s="92"/>
      <c r="R82" s="92"/>
      <c r="S82" s="92"/>
      <c r="T82" s="92"/>
      <c r="U82" s="92"/>
      <c r="V82" s="745"/>
      <c r="W82" s="745">
        <v>7.38</v>
      </c>
      <c r="X82" s="745">
        <v>7.43</v>
      </c>
      <c r="Y82" s="745">
        <v>7.51</v>
      </c>
      <c r="Z82" s="745">
        <v>7.62</v>
      </c>
      <c r="AA82" s="745">
        <v>7.65</v>
      </c>
      <c r="AB82" s="745">
        <v>7.71</v>
      </c>
      <c r="AC82" s="745">
        <v>7.71</v>
      </c>
      <c r="AD82" s="745">
        <v>7.72</v>
      </c>
      <c r="AE82" s="745">
        <v>7.78</v>
      </c>
      <c r="AF82" s="745">
        <v>7.86</v>
      </c>
      <c r="AG82" s="745">
        <v>7.94</v>
      </c>
      <c r="AH82" s="745">
        <v>8.01</v>
      </c>
      <c r="AI82" s="745">
        <v>8.1199999999999992</v>
      </c>
      <c r="AJ82" s="745">
        <v>8.1999999999999993</v>
      </c>
      <c r="AK82" s="745">
        <v>8.2799999999999994</v>
      </c>
      <c r="AL82" s="745">
        <v>8.3699999999999992</v>
      </c>
      <c r="AM82" s="745">
        <v>8.4499999999999993</v>
      </c>
      <c r="AN82" s="745">
        <v>8.5299999999999994</v>
      </c>
      <c r="AO82" s="745">
        <v>8.6</v>
      </c>
      <c r="AP82" s="745">
        <v>8.66</v>
      </c>
      <c r="AQ82" s="745">
        <v>8.73</v>
      </c>
      <c r="AR82" s="745">
        <v>8.8000000000000007</v>
      </c>
      <c r="AS82" s="745">
        <v>8.8800000000000008</v>
      </c>
      <c r="AT82" s="745">
        <v>8.9499999999999993</v>
      </c>
      <c r="AU82" s="745">
        <v>9.02</v>
      </c>
      <c r="AV82" s="745">
        <v>9.09</v>
      </c>
      <c r="AW82" s="745">
        <v>9.16</v>
      </c>
      <c r="AX82" s="745">
        <v>9.24</v>
      </c>
      <c r="AY82" s="745">
        <v>9.31</v>
      </c>
      <c r="AZ82" s="745">
        <v>9.3800000000000008</v>
      </c>
      <c r="BA82" s="745">
        <v>9.4600000000000009</v>
      </c>
      <c r="BB82" s="745">
        <v>9.5299999999999994</v>
      </c>
      <c r="BC82" s="745">
        <v>9.61</v>
      </c>
      <c r="BD82" s="745">
        <v>9.68</v>
      </c>
      <c r="BE82" s="745">
        <v>9.76</v>
      </c>
      <c r="BF82" s="745">
        <v>9.83</v>
      </c>
      <c r="BG82" s="745">
        <v>9.91</v>
      </c>
      <c r="BH82" s="745">
        <v>9.98</v>
      </c>
      <c r="BI82" s="745">
        <v>10.06</v>
      </c>
      <c r="BJ82" s="745">
        <v>10.130000000000001</v>
      </c>
      <c r="BK82" s="745">
        <v>10.210000000000001</v>
      </c>
      <c r="BL82" s="745">
        <v>10.28</v>
      </c>
      <c r="BM82" s="745">
        <v>10.36</v>
      </c>
      <c r="BN82" s="745">
        <v>10.43</v>
      </c>
      <c r="BO82" s="745">
        <v>10.51</v>
      </c>
      <c r="BP82" s="745">
        <v>10.58</v>
      </c>
      <c r="BQ82" s="745">
        <v>10.66</v>
      </c>
      <c r="BR82" s="745">
        <v>10.73</v>
      </c>
      <c r="BS82" s="745">
        <v>10.81</v>
      </c>
      <c r="BT82" s="857">
        <v>10.88</v>
      </c>
      <c r="BU82" s="745">
        <v>10.96</v>
      </c>
      <c r="BV82" s="745">
        <v>11.03</v>
      </c>
      <c r="BW82" s="745">
        <v>11.11</v>
      </c>
      <c r="BX82" s="745">
        <v>11.18</v>
      </c>
      <c r="BY82" s="745">
        <v>11.26</v>
      </c>
      <c r="BZ82" s="745">
        <v>11.33</v>
      </c>
      <c r="CA82" s="745">
        <v>11.41</v>
      </c>
      <c r="CB82" s="745">
        <v>11.48</v>
      </c>
      <c r="CC82" s="745">
        <v>11.55</v>
      </c>
      <c r="CD82" s="745">
        <v>11.63</v>
      </c>
      <c r="CE82" s="745">
        <v>11.7</v>
      </c>
      <c r="CF82" s="745">
        <v>11.78</v>
      </c>
      <c r="CG82" s="745">
        <v>11.85</v>
      </c>
      <c r="CH82" s="745">
        <v>11.92</v>
      </c>
      <c r="CI82" s="745">
        <v>12</v>
      </c>
      <c r="CJ82" s="745">
        <v>12.07</v>
      </c>
      <c r="CK82" s="745">
        <v>12.14</v>
      </c>
      <c r="CL82" s="745">
        <v>12.22</v>
      </c>
      <c r="CM82" s="745">
        <v>12.29</v>
      </c>
      <c r="CN82" s="745">
        <v>12.36</v>
      </c>
      <c r="CO82" s="745">
        <v>12.44</v>
      </c>
      <c r="CP82" s="745">
        <v>12.51</v>
      </c>
      <c r="CQ82" s="745">
        <v>12.58</v>
      </c>
      <c r="CR82" s="745">
        <v>12.65</v>
      </c>
      <c r="CS82" s="745">
        <v>12.73</v>
      </c>
      <c r="CT82" s="745">
        <v>12.8</v>
      </c>
      <c r="CU82" s="745">
        <v>12.87</v>
      </c>
      <c r="CV82" s="745">
        <v>12.94</v>
      </c>
      <c r="CW82" s="745">
        <v>13.01</v>
      </c>
      <c r="CX82" s="745">
        <v>13.08</v>
      </c>
      <c r="CY82" s="745">
        <v>13.16</v>
      </c>
      <c r="CZ82" s="745">
        <v>13.23</v>
      </c>
      <c r="DA82" s="745">
        <v>13.3</v>
      </c>
      <c r="DB82" s="745">
        <v>13.37</v>
      </c>
      <c r="DC82" s="745">
        <v>13.44</v>
      </c>
      <c r="DD82" s="745">
        <v>13.51</v>
      </c>
      <c r="DE82" s="745">
        <v>13.58</v>
      </c>
      <c r="DF82" s="745">
        <v>13.65</v>
      </c>
      <c r="DG82" s="745">
        <v>13.72</v>
      </c>
      <c r="DH82" s="745">
        <v>13.79</v>
      </c>
      <c r="DI82" s="745">
        <v>13.85</v>
      </c>
      <c r="DJ82" s="745">
        <v>13.92</v>
      </c>
      <c r="DK82" s="745">
        <v>13.99</v>
      </c>
      <c r="DL82" s="745">
        <v>14.06</v>
      </c>
      <c r="DM82" s="745">
        <v>14.13</v>
      </c>
      <c r="DN82" s="745">
        <v>14.19</v>
      </c>
      <c r="DO82" s="745">
        <v>14.26</v>
      </c>
      <c r="DP82" s="745">
        <v>14.33</v>
      </c>
      <c r="DQ82" s="745">
        <v>14.39</v>
      </c>
      <c r="DR82" s="745">
        <v>14.46</v>
      </c>
    </row>
    <row r="83" spans="1:122">
      <c r="A83" s="912">
        <v>81</v>
      </c>
      <c r="B83" s="92"/>
      <c r="C83" s="92"/>
      <c r="D83" s="92"/>
      <c r="E83" s="92"/>
      <c r="F83" s="92"/>
      <c r="G83" s="92"/>
      <c r="H83" s="92"/>
      <c r="I83" s="92"/>
      <c r="J83" s="92"/>
      <c r="K83" s="92"/>
      <c r="L83" s="92"/>
      <c r="M83" s="92"/>
      <c r="N83" s="92"/>
      <c r="O83" s="92"/>
      <c r="P83" s="92"/>
      <c r="Q83" s="92"/>
      <c r="R83" s="92"/>
      <c r="S83" s="92"/>
      <c r="T83" s="92"/>
      <c r="U83" s="92"/>
      <c r="V83" s="745"/>
      <c r="W83" s="745">
        <v>6.95</v>
      </c>
      <c r="X83" s="745">
        <v>7.01</v>
      </c>
      <c r="Y83" s="745">
        <v>7.07</v>
      </c>
      <c r="Z83" s="745">
        <v>7.16</v>
      </c>
      <c r="AA83" s="745">
        <v>7.17</v>
      </c>
      <c r="AB83" s="745">
        <v>7.23</v>
      </c>
      <c r="AC83" s="745">
        <v>7.24</v>
      </c>
      <c r="AD83" s="745">
        <v>7.25</v>
      </c>
      <c r="AE83" s="745">
        <v>7.29</v>
      </c>
      <c r="AF83" s="745">
        <v>7.37</v>
      </c>
      <c r="AG83" s="745">
        <v>7.45</v>
      </c>
      <c r="AH83" s="745">
        <v>7.51</v>
      </c>
      <c r="AI83" s="745">
        <v>7.6</v>
      </c>
      <c r="AJ83" s="745">
        <v>7.69</v>
      </c>
      <c r="AK83" s="745">
        <v>7.76</v>
      </c>
      <c r="AL83" s="745">
        <v>7.85</v>
      </c>
      <c r="AM83" s="745">
        <v>7.92</v>
      </c>
      <c r="AN83" s="745">
        <v>7.99</v>
      </c>
      <c r="AO83" s="745">
        <v>8.0500000000000007</v>
      </c>
      <c r="AP83" s="745">
        <v>8.1199999999999992</v>
      </c>
      <c r="AQ83" s="745">
        <v>8.19</v>
      </c>
      <c r="AR83" s="745">
        <v>8.25</v>
      </c>
      <c r="AS83" s="745">
        <v>8.32</v>
      </c>
      <c r="AT83" s="745">
        <v>8.39</v>
      </c>
      <c r="AU83" s="745">
        <v>8.4600000000000009</v>
      </c>
      <c r="AV83" s="745">
        <v>8.52</v>
      </c>
      <c r="AW83" s="745">
        <v>8.59</v>
      </c>
      <c r="AX83" s="745">
        <v>8.66</v>
      </c>
      <c r="AY83" s="745">
        <v>8.73</v>
      </c>
      <c r="AZ83" s="745">
        <v>8.81</v>
      </c>
      <c r="BA83" s="745">
        <v>8.8800000000000008</v>
      </c>
      <c r="BB83" s="745">
        <v>8.9499999999999993</v>
      </c>
      <c r="BC83" s="745">
        <v>9.02</v>
      </c>
      <c r="BD83" s="745">
        <v>9.09</v>
      </c>
      <c r="BE83" s="745">
        <v>9.16</v>
      </c>
      <c r="BF83" s="745">
        <v>9.23</v>
      </c>
      <c r="BG83" s="745">
        <v>9.3000000000000007</v>
      </c>
      <c r="BH83" s="745">
        <v>9.3699999999999992</v>
      </c>
      <c r="BI83" s="745">
        <v>9.4499999999999993</v>
      </c>
      <c r="BJ83" s="745">
        <v>9.52</v>
      </c>
      <c r="BK83" s="745">
        <v>9.59</v>
      </c>
      <c r="BL83" s="745">
        <v>9.66</v>
      </c>
      <c r="BM83" s="745">
        <v>9.73</v>
      </c>
      <c r="BN83" s="745">
        <v>9.8000000000000007</v>
      </c>
      <c r="BO83" s="745">
        <v>9.8699999999999992</v>
      </c>
      <c r="BP83" s="745">
        <v>9.9499999999999993</v>
      </c>
      <c r="BQ83" s="745">
        <v>10.02</v>
      </c>
      <c r="BR83" s="745">
        <v>10.09</v>
      </c>
      <c r="BS83" s="745">
        <v>10.16</v>
      </c>
      <c r="BT83" s="857">
        <v>10.23</v>
      </c>
      <c r="BU83" s="745">
        <v>10.3</v>
      </c>
      <c r="BV83" s="745">
        <v>10.37</v>
      </c>
      <c r="BW83" s="745">
        <v>10.45</v>
      </c>
      <c r="BX83" s="745">
        <v>10.52</v>
      </c>
      <c r="BY83" s="745">
        <v>10.59</v>
      </c>
      <c r="BZ83" s="745">
        <v>10.66</v>
      </c>
      <c r="CA83" s="745">
        <v>10.73</v>
      </c>
      <c r="CB83" s="745">
        <v>10.8</v>
      </c>
      <c r="CC83" s="745">
        <v>10.87</v>
      </c>
      <c r="CD83" s="745">
        <v>10.94</v>
      </c>
      <c r="CE83" s="745">
        <v>11.02</v>
      </c>
      <c r="CF83" s="745">
        <v>11.09</v>
      </c>
      <c r="CG83" s="745">
        <v>11.16</v>
      </c>
      <c r="CH83" s="745">
        <v>11.23</v>
      </c>
      <c r="CI83" s="745">
        <v>11.3</v>
      </c>
      <c r="CJ83" s="745">
        <v>11.37</v>
      </c>
      <c r="CK83" s="745">
        <v>11.44</v>
      </c>
      <c r="CL83" s="745">
        <v>11.51</v>
      </c>
      <c r="CM83" s="745">
        <v>11.58</v>
      </c>
      <c r="CN83" s="745">
        <v>11.65</v>
      </c>
      <c r="CO83" s="745">
        <v>11.72</v>
      </c>
      <c r="CP83" s="745">
        <v>11.79</v>
      </c>
      <c r="CQ83" s="745">
        <v>11.86</v>
      </c>
      <c r="CR83" s="745">
        <v>11.93</v>
      </c>
      <c r="CS83" s="745">
        <v>12</v>
      </c>
      <c r="CT83" s="745">
        <v>12.07</v>
      </c>
      <c r="CU83" s="745">
        <v>12.13</v>
      </c>
      <c r="CV83" s="745">
        <v>12.2</v>
      </c>
      <c r="CW83" s="745">
        <v>12.27</v>
      </c>
      <c r="CX83" s="745">
        <v>12.34</v>
      </c>
      <c r="CY83" s="745">
        <v>12.41</v>
      </c>
      <c r="CZ83" s="745">
        <v>12.48</v>
      </c>
      <c r="DA83" s="745">
        <v>12.54</v>
      </c>
      <c r="DB83" s="745">
        <v>12.61</v>
      </c>
      <c r="DC83" s="745">
        <v>12.68</v>
      </c>
      <c r="DD83" s="745">
        <v>12.75</v>
      </c>
      <c r="DE83" s="745">
        <v>12.81</v>
      </c>
      <c r="DF83" s="745">
        <v>12.88</v>
      </c>
      <c r="DG83" s="745">
        <v>12.95</v>
      </c>
      <c r="DH83" s="745">
        <v>13.01</v>
      </c>
      <c r="DI83" s="745">
        <v>13.08</v>
      </c>
      <c r="DJ83" s="745">
        <v>13.14</v>
      </c>
      <c r="DK83" s="745">
        <v>13.21</v>
      </c>
      <c r="DL83" s="745">
        <v>13.28</v>
      </c>
      <c r="DM83" s="745">
        <v>13.34</v>
      </c>
      <c r="DN83" s="745">
        <v>13.41</v>
      </c>
      <c r="DO83" s="745">
        <v>13.47</v>
      </c>
      <c r="DP83" s="745">
        <v>13.54</v>
      </c>
      <c r="DQ83" s="745">
        <v>13.6</v>
      </c>
      <c r="DR83" s="745">
        <v>13.66</v>
      </c>
    </row>
    <row r="84" spans="1:122">
      <c r="A84" s="912">
        <v>82</v>
      </c>
      <c r="B84" s="92"/>
      <c r="C84" s="92"/>
      <c r="D84" s="92"/>
      <c r="E84" s="92"/>
      <c r="F84" s="92"/>
      <c r="G84" s="92"/>
      <c r="H84" s="92"/>
      <c r="I84" s="92"/>
      <c r="J84" s="92"/>
      <c r="K84" s="92"/>
      <c r="L84" s="92"/>
      <c r="M84" s="92"/>
      <c r="N84" s="92"/>
      <c r="O84" s="92"/>
      <c r="P84" s="92"/>
      <c r="Q84" s="92"/>
      <c r="R84" s="92"/>
      <c r="S84" s="92"/>
      <c r="T84" s="92"/>
      <c r="U84" s="92"/>
      <c r="V84" s="745"/>
      <c r="W84" s="745">
        <v>6.54</v>
      </c>
      <c r="X84" s="745">
        <v>6.58</v>
      </c>
      <c r="Y84" s="745">
        <v>6.64</v>
      </c>
      <c r="Z84" s="745">
        <v>6.71</v>
      </c>
      <c r="AA84" s="745">
        <v>6.71</v>
      </c>
      <c r="AB84" s="745">
        <v>6.77</v>
      </c>
      <c r="AC84" s="745">
        <v>6.79</v>
      </c>
      <c r="AD84" s="745">
        <v>6.79</v>
      </c>
      <c r="AE84" s="745">
        <v>6.83</v>
      </c>
      <c r="AF84" s="745">
        <v>6.89</v>
      </c>
      <c r="AG84" s="745">
        <v>6.99</v>
      </c>
      <c r="AH84" s="745">
        <v>7.03</v>
      </c>
      <c r="AI84" s="745">
        <v>7.13</v>
      </c>
      <c r="AJ84" s="745">
        <v>7.2</v>
      </c>
      <c r="AK84" s="745">
        <v>7.28</v>
      </c>
      <c r="AL84" s="745">
        <v>7.35</v>
      </c>
      <c r="AM84" s="745">
        <v>7.41</v>
      </c>
      <c r="AN84" s="745">
        <v>7.47</v>
      </c>
      <c r="AO84" s="745">
        <v>7.53</v>
      </c>
      <c r="AP84" s="745">
        <v>7.59</v>
      </c>
      <c r="AQ84" s="745">
        <v>7.66</v>
      </c>
      <c r="AR84" s="745">
        <v>7.72</v>
      </c>
      <c r="AS84" s="745">
        <v>7.78</v>
      </c>
      <c r="AT84" s="745">
        <v>7.85</v>
      </c>
      <c r="AU84" s="745">
        <v>7.91</v>
      </c>
      <c r="AV84" s="745">
        <v>7.98</v>
      </c>
      <c r="AW84" s="745">
        <v>8.0399999999999991</v>
      </c>
      <c r="AX84" s="745">
        <v>8.11</v>
      </c>
      <c r="AY84" s="745">
        <v>8.18</v>
      </c>
      <c r="AZ84" s="745">
        <v>8.24</v>
      </c>
      <c r="BA84" s="745">
        <v>8.31</v>
      </c>
      <c r="BB84" s="745">
        <v>8.3800000000000008</v>
      </c>
      <c r="BC84" s="745">
        <v>8.4499999999999993</v>
      </c>
      <c r="BD84" s="745">
        <v>8.51</v>
      </c>
      <c r="BE84" s="745">
        <v>8.58</v>
      </c>
      <c r="BF84" s="745">
        <v>8.65</v>
      </c>
      <c r="BG84" s="745">
        <v>8.7200000000000006</v>
      </c>
      <c r="BH84" s="745">
        <v>8.7799999999999994</v>
      </c>
      <c r="BI84" s="745">
        <v>8.85</v>
      </c>
      <c r="BJ84" s="745">
        <v>8.92</v>
      </c>
      <c r="BK84" s="745">
        <v>8.99</v>
      </c>
      <c r="BL84" s="745">
        <v>9.06</v>
      </c>
      <c r="BM84" s="745">
        <v>9.1199999999999992</v>
      </c>
      <c r="BN84" s="745">
        <v>9.19</v>
      </c>
      <c r="BO84" s="745">
        <v>9.26</v>
      </c>
      <c r="BP84" s="745">
        <v>9.33</v>
      </c>
      <c r="BQ84" s="745">
        <v>9.4</v>
      </c>
      <c r="BR84" s="745">
        <v>9.4600000000000009</v>
      </c>
      <c r="BS84" s="745">
        <v>9.5299999999999994</v>
      </c>
      <c r="BT84" s="857">
        <v>9.6</v>
      </c>
      <c r="BU84" s="745">
        <v>9.67</v>
      </c>
      <c r="BV84" s="745">
        <v>9.74</v>
      </c>
      <c r="BW84" s="745">
        <v>9.8000000000000007</v>
      </c>
      <c r="BX84" s="745">
        <v>9.8699999999999992</v>
      </c>
      <c r="BY84" s="745">
        <v>9.94</v>
      </c>
      <c r="BZ84" s="745">
        <v>10.01</v>
      </c>
      <c r="CA84" s="745">
        <v>10.08</v>
      </c>
      <c r="CB84" s="745">
        <v>10.14</v>
      </c>
      <c r="CC84" s="745">
        <v>10.210000000000001</v>
      </c>
      <c r="CD84" s="745">
        <v>10.28</v>
      </c>
      <c r="CE84" s="745">
        <v>10.35</v>
      </c>
      <c r="CF84" s="745">
        <v>10.41</v>
      </c>
      <c r="CG84" s="745">
        <v>10.48</v>
      </c>
      <c r="CH84" s="745">
        <v>10.55</v>
      </c>
      <c r="CI84" s="745">
        <v>10.62</v>
      </c>
      <c r="CJ84" s="745">
        <v>10.68</v>
      </c>
      <c r="CK84" s="745">
        <v>10.75</v>
      </c>
      <c r="CL84" s="745">
        <v>10.82</v>
      </c>
      <c r="CM84" s="745">
        <v>10.88</v>
      </c>
      <c r="CN84" s="745">
        <v>10.95</v>
      </c>
      <c r="CO84" s="745">
        <v>11.02</v>
      </c>
      <c r="CP84" s="745">
        <v>11.08</v>
      </c>
      <c r="CQ84" s="745">
        <v>11.15</v>
      </c>
      <c r="CR84" s="745">
        <v>11.22</v>
      </c>
      <c r="CS84" s="745">
        <v>11.28</v>
      </c>
      <c r="CT84" s="745">
        <v>11.35</v>
      </c>
      <c r="CU84" s="745">
        <v>11.42</v>
      </c>
      <c r="CV84" s="745">
        <v>11.48</v>
      </c>
      <c r="CW84" s="745">
        <v>11.55</v>
      </c>
      <c r="CX84" s="745">
        <v>11.61</v>
      </c>
      <c r="CY84" s="745">
        <v>11.68</v>
      </c>
      <c r="CZ84" s="745">
        <v>11.74</v>
      </c>
      <c r="DA84" s="745">
        <v>11.81</v>
      </c>
      <c r="DB84" s="745">
        <v>11.87</v>
      </c>
      <c r="DC84" s="745">
        <v>11.94</v>
      </c>
      <c r="DD84" s="745">
        <v>12</v>
      </c>
      <c r="DE84" s="745">
        <v>12.07</v>
      </c>
      <c r="DF84" s="745">
        <v>12.13</v>
      </c>
      <c r="DG84" s="745">
        <v>12.19</v>
      </c>
      <c r="DH84" s="745">
        <v>12.26</v>
      </c>
      <c r="DI84" s="745">
        <v>12.32</v>
      </c>
      <c r="DJ84" s="745">
        <v>12.38</v>
      </c>
      <c r="DK84" s="745">
        <v>12.45</v>
      </c>
      <c r="DL84" s="745">
        <v>12.51</v>
      </c>
      <c r="DM84" s="745">
        <v>12.57</v>
      </c>
      <c r="DN84" s="745">
        <v>12.63</v>
      </c>
      <c r="DO84" s="745">
        <v>12.7</v>
      </c>
      <c r="DP84" s="745">
        <v>12.76</v>
      </c>
      <c r="DQ84" s="745">
        <v>12.82</v>
      </c>
      <c r="DR84" s="745">
        <v>12.88</v>
      </c>
    </row>
    <row r="85" spans="1:122">
      <c r="A85" s="912">
        <v>83</v>
      </c>
      <c r="B85" s="92"/>
      <c r="C85" s="92"/>
      <c r="D85" s="92"/>
      <c r="E85" s="92"/>
      <c r="F85" s="92"/>
      <c r="G85" s="92"/>
      <c r="H85" s="92"/>
      <c r="I85" s="92"/>
      <c r="J85" s="92"/>
      <c r="K85" s="92"/>
      <c r="L85" s="92"/>
      <c r="M85" s="92"/>
      <c r="N85" s="92"/>
      <c r="O85" s="92"/>
      <c r="P85" s="92"/>
      <c r="Q85" s="92"/>
      <c r="R85" s="92"/>
      <c r="S85" s="92"/>
      <c r="T85" s="92"/>
      <c r="U85" s="92"/>
      <c r="V85" s="745"/>
      <c r="W85" s="745">
        <v>6.13</v>
      </c>
      <c r="X85" s="745">
        <v>6.17</v>
      </c>
      <c r="Y85" s="745">
        <v>6.21</v>
      </c>
      <c r="Z85" s="745">
        <v>6.26</v>
      </c>
      <c r="AA85" s="745">
        <v>6.28</v>
      </c>
      <c r="AB85" s="745">
        <v>6.34</v>
      </c>
      <c r="AC85" s="745">
        <v>6.33</v>
      </c>
      <c r="AD85" s="745">
        <v>6.34</v>
      </c>
      <c r="AE85" s="745">
        <v>6.38</v>
      </c>
      <c r="AF85" s="745">
        <v>6.46</v>
      </c>
      <c r="AG85" s="745">
        <v>6.53</v>
      </c>
      <c r="AH85" s="745">
        <v>6.57</v>
      </c>
      <c r="AI85" s="745">
        <v>6.66</v>
      </c>
      <c r="AJ85" s="745">
        <v>6.73</v>
      </c>
      <c r="AK85" s="745">
        <v>6.8</v>
      </c>
      <c r="AL85" s="745">
        <v>6.86</v>
      </c>
      <c r="AM85" s="745">
        <v>6.91</v>
      </c>
      <c r="AN85" s="745">
        <v>6.97</v>
      </c>
      <c r="AO85" s="745">
        <v>7.03</v>
      </c>
      <c r="AP85" s="745">
        <v>7.09</v>
      </c>
      <c r="AQ85" s="745">
        <v>7.15</v>
      </c>
      <c r="AR85" s="745">
        <v>7.21</v>
      </c>
      <c r="AS85" s="745">
        <v>7.27</v>
      </c>
      <c r="AT85" s="745">
        <v>7.33</v>
      </c>
      <c r="AU85" s="745">
        <v>7.39</v>
      </c>
      <c r="AV85" s="745">
        <v>7.45</v>
      </c>
      <c r="AW85" s="745">
        <v>7.51</v>
      </c>
      <c r="AX85" s="745">
        <v>7.58</v>
      </c>
      <c r="AY85" s="745">
        <v>7.64</v>
      </c>
      <c r="AZ85" s="745">
        <v>7.7</v>
      </c>
      <c r="BA85" s="745">
        <v>7.77</v>
      </c>
      <c r="BB85" s="745">
        <v>7.83</v>
      </c>
      <c r="BC85" s="745">
        <v>7.89</v>
      </c>
      <c r="BD85" s="745">
        <v>7.96</v>
      </c>
      <c r="BE85" s="745">
        <v>8.02</v>
      </c>
      <c r="BF85" s="745">
        <v>8.09</v>
      </c>
      <c r="BG85" s="745">
        <v>8.15</v>
      </c>
      <c r="BH85" s="745">
        <v>8.2100000000000009</v>
      </c>
      <c r="BI85" s="745">
        <v>8.2799999999999994</v>
      </c>
      <c r="BJ85" s="745">
        <v>8.34</v>
      </c>
      <c r="BK85" s="745">
        <v>8.41</v>
      </c>
      <c r="BL85" s="745">
        <v>8.4700000000000006</v>
      </c>
      <c r="BM85" s="745">
        <v>8.5399999999999991</v>
      </c>
      <c r="BN85" s="745">
        <v>8.6</v>
      </c>
      <c r="BO85" s="745">
        <v>8.67</v>
      </c>
      <c r="BP85" s="745">
        <v>8.73</v>
      </c>
      <c r="BQ85" s="745">
        <v>8.7899999999999991</v>
      </c>
      <c r="BR85" s="745">
        <v>8.86</v>
      </c>
      <c r="BS85" s="745">
        <v>8.92</v>
      </c>
      <c r="BT85" s="857">
        <v>8.99</v>
      </c>
      <c r="BU85" s="745">
        <v>9.0500000000000007</v>
      </c>
      <c r="BV85" s="745">
        <v>9.1199999999999992</v>
      </c>
      <c r="BW85" s="745">
        <v>9.18</v>
      </c>
      <c r="BX85" s="745">
        <v>9.25</v>
      </c>
      <c r="BY85" s="745">
        <v>9.31</v>
      </c>
      <c r="BZ85" s="745">
        <v>9.3800000000000008</v>
      </c>
      <c r="CA85" s="745">
        <v>9.44</v>
      </c>
      <c r="CB85" s="745">
        <v>9.5</v>
      </c>
      <c r="CC85" s="745">
        <v>9.57</v>
      </c>
      <c r="CD85" s="745">
        <v>9.6300000000000008</v>
      </c>
      <c r="CE85" s="745">
        <v>9.6999999999999993</v>
      </c>
      <c r="CF85" s="745">
        <v>9.76</v>
      </c>
      <c r="CG85" s="745">
        <v>9.83</v>
      </c>
      <c r="CH85" s="745">
        <v>9.89</v>
      </c>
      <c r="CI85" s="745">
        <v>9.9499999999999993</v>
      </c>
      <c r="CJ85" s="745">
        <v>10.02</v>
      </c>
      <c r="CK85" s="745">
        <v>10.08</v>
      </c>
      <c r="CL85" s="745">
        <v>10.15</v>
      </c>
      <c r="CM85" s="745">
        <v>10.210000000000001</v>
      </c>
      <c r="CN85" s="745">
        <v>10.27</v>
      </c>
      <c r="CO85" s="745">
        <v>10.34</v>
      </c>
      <c r="CP85" s="745">
        <v>10.4</v>
      </c>
      <c r="CQ85" s="745">
        <v>10.46</v>
      </c>
      <c r="CR85" s="745">
        <v>10.53</v>
      </c>
      <c r="CS85" s="745">
        <v>10.59</v>
      </c>
      <c r="CT85" s="745">
        <v>10.65</v>
      </c>
      <c r="CU85" s="745">
        <v>10.72</v>
      </c>
      <c r="CV85" s="745">
        <v>10.78</v>
      </c>
      <c r="CW85" s="745">
        <v>10.84</v>
      </c>
      <c r="CX85" s="745">
        <v>10.9</v>
      </c>
      <c r="CY85" s="745">
        <v>10.97</v>
      </c>
      <c r="CZ85" s="745">
        <v>11.03</v>
      </c>
      <c r="DA85" s="745">
        <v>11.09</v>
      </c>
      <c r="DB85" s="745">
        <v>11.15</v>
      </c>
      <c r="DC85" s="745">
        <v>11.21</v>
      </c>
      <c r="DD85" s="745">
        <v>11.28</v>
      </c>
      <c r="DE85" s="745">
        <v>11.34</v>
      </c>
      <c r="DF85" s="745">
        <v>11.4</v>
      </c>
      <c r="DG85" s="745">
        <v>11.46</v>
      </c>
      <c r="DH85" s="745">
        <v>11.52</v>
      </c>
      <c r="DI85" s="745">
        <v>11.58</v>
      </c>
      <c r="DJ85" s="745">
        <v>11.64</v>
      </c>
      <c r="DK85" s="745">
        <v>11.7</v>
      </c>
      <c r="DL85" s="745">
        <v>11.76</v>
      </c>
      <c r="DM85" s="745">
        <v>11.82</v>
      </c>
      <c r="DN85" s="745">
        <v>11.88</v>
      </c>
      <c r="DO85" s="745">
        <v>11.94</v>
      </c>
      <c r="DP85" s="745">
        <v>12</v>
      </c>
      <c r="DQ85" s="745">
        <v>12.06</v>
      </c>
      <c r="DR85" s="745">
        <v>12.12</v>
      </c>
    </row>
    <row r="86" spans="1:122">
      <c r="A86" s="912">
        <v>84</v>
      </c>
      <c r="B86" s="92"/>
      <c r="C86" s="92"/>
      <c r="D86" s="92"/>
      <c r="E86" s="92"/>
      <c r="F86" s="92"/>
      <c r="G86" s="92"/>
      <c r="H86" s="92"/>
      <c r="I86" s="92"/>
      <c r="J86" s="92"/>
      <c r="K86" s="92"/>
      <c r="L86" s="92"/>
      <c r="M86" s="92"/>
      <c r="N86" s="92"/>
      <c r="O86" s="92"/>
      <c r="P86" s="92"/>
      <c r="Q86" s="92"/>
      <c r="R86" s="92"/>
      <c r="S86" s="92"/>
      <c r="T86" s="92"/>
      <c r="U86" s="92"/>
      <c r="V86" s="745"/>
      <c r="W86" s="745">
        <v>5.74</v>
      </c>
      <c r="X86" s="745">
        <v>5.77</v>
      </c>
      <c r="Y86" s="745">
        <v>5.79</v>
      </c>
      <c r="Z86" s="745">
        <v>5.84</v>
      </c>
      <c r="AA86" s="745">
        <v>5.85</v>
      </c>
      <c r="AB86" s="745">
        <v>5.9</v>
      </c>
      <c r="AC86" s="745">
        <v>5.9</v>
      </c>
      <c r="AD86" s="745">
        <v>5.92</v>
      </c>
      <c r="AE86" s="745">
        <v>5.97</v>
      </c>
      <c r="AF86" s="745">
        <v>6.02</v>
      </c>
      <c r="AG86" s="745">
        <v>6.1</v>
      </c>
      <c r="AH86" s="745">
        <v>6.13</v>
      </c>
      <c r="AI86" s="745">
        <v>6.22</v>
      </c>
      <c r="AJ86" s="745">
        <v>6.28</v>
      </c>
      <c r="AK86" s="745">
        <v>6.34</v>
      </c>
      <c r="AL86" s="745">
        <v>6.39</v>
      </c>
      <c r="AM86" s="745">
        <v>6.44</v>
      </c>
      <c r="AN86" s="745">
        <v>6.5</v>
      </c>
      <c r="AO86" s="745">
        <v>6.55</v>
      </c>
      <c r="AP86" s="745">
        <v>6.61</v>
      </c>
      <c r="AQ86" s="745">
        <v>6.66</v>
      </c>
      <c r="AR86" s="745">
        <v>6.72</v>
      </c>
      <c r="AS86" s="745">
        <v>6.77</v>
      </c>
      <c r="AT86" s="745">
        <v>6.83</v>
      </c>
      <c r="AU86" s="745">
        <v>6.89</v>
      </c>
      <c r="AV86" s="745">
        <v>6.95</v>
      </c>
      <c r="AW86" s="745">
        <v>7.01</v>
      </c>
      <c r="AX86" s="745">
        <v>7.07</v>
      </c>
      <c r="AY86" s="745">
        <v>7.13</v>
      </c>
      <c r="AZ86" s="745">
        <v>7.19</v>
      </c>
      <c r="BA86" s="745">
        <v>7.25</v>
      </c>
      <c r="BB86" s="745">
        <v>7.31</v>
      </c>
      <c r="BC86" s="745">
        <v>7.37</v>
      </c>
      <c r="BD86" s="745">
        <v>7.43</v>
      </c>
      <c r="BE86" s="745">
        <v>7.49</v>
      </c>
      <c r="BF86" s="745">
        <v>7.55</v>
      </c>
      <c r="BG86" s="745">
        <v>7.61</v>
      </c>
      <c r="BH86" s="745">
        <v>7.67</v>
      </c>
      <c r="BI86" s="745">
        <v>7.73</v>
      </c>
      <c r="BJ86" s="745">
        <v>7.79</v>
      </c>
      <c r="BK86" s="745">
        <v>7.85</v>
      </c>
      <c r="BL86" s="745">
        <v>7.91</v>
      </c>
      <c r="BM86" s="745">
        <v>7.97</v>
      </c>
      <c r="BN86" s="745">
        <v>8.0299999999999994</v>
      </c>
      <c r="BO86" s="745">
        <v>8.1</v>
      </c>
      <c r="BP86" s="745">
        <v>8.16</v>
      </c>
      <c r="BQ86" s="745">
        <v>8.2200000000000006</v>
      </c>
      <c r="BR86" s="745">
        <v>8.2799999999999994</v>
      </c>
      <c r="BS86" s="745">
        <v>8.34</v>
      </c>
      <c r="BT86" s="857">
        <v>8.4</v>
      </c>
      <c r="BU86" s="745">
        <v>8.4600000000000009</v>
      </c>
      <c r="BV86" s="745">
        <v>8.52</v>
      </c>
      <c r="BW86" s="745">
        <v>8.58</v>
      </c>
      <c r="BX86" s="745">
        <v>8.65</v>
      </c>
      <c r="BY86" s="745">
        <v>8.7100000000000009</v>
      </c>
      <c r="BZ86" s="745">
        <v>8.77</v>
      </c>
      <c r="CA86" s="745">
        <v>8.83</v>
      </c>
      <c r="CB86" s="745">
        <v>8.89</v>
      </c>
      <c r="CC86" s="745">
        <v>8.9499999999999993</v>
      </c>
      <c r="CD86" s="745">
        <v>9.01</v>
      </c>
      <c r="CE86" s="745">
        <v>9.07</v>
      </c>
      <c r="CF86" s="745">
        <v>9.1300000000000008</v>
      </c>
      <c r="CG86" s="745">
        <v>9.19</v>
      </c>
      <c r="CH86" s="745">
        <v>9.26</v>
      </c>
      <c r="CI86" s="745">
        <v>9.32</v>
      </c>
      <c r="CJ86" s="745">
        <v>9.3800000000000008</v>
      </c>
      <c r="CK86" s="745">
        <v>9.44</v>
      </c>
      <c r="CL86" s="745">
        <v>9.5</v>
      </c>
      <c r="CM86" s="745">
        <v>9.56</v>
      </c>
      <c r="CN86" s="745">
        <v>9.6199999999999992</v>
      </c>
      <c r="CO86" s="745">
        <v>9.68</v>
      </c>
      <c r="CP86" s="745">
        <v>9.74</v>
      </c>
      <c r="CQ86" s="745">
        <v>9.8000000000000007</v>
      </c>
      <c r="CR86" s="745">
        <v>9.86</v>
      </c>
      <c r="CS86" s="745">
        <v>9.92</v>
      </c>
      <c r="CT86" s="745">
        <v>9.98</v>
      </c>
      <c r="CU86" s="745">
        <v>10.039999999999999</v>
      </c>
      <c r="CV86" s="745">
        <v>10.1</v>
      </c>
      <c r="CW86" s="745">
        <v>10.16</v>
      </c>
      <c r="CX86" s="745">
        <v>10.220000000000001</v>
      </c>
      <c r="CY86" s="745">
        <v>10.28</v>
      </c>
      <c r="CZ86" s="745">
        <v>10.34</v>
      </c>
      <c r="DA86" s="745">
        <v>10.4</v>
      </c>
      <c r="DB86" s="745">
        <v>10.45</v>
      </c>
      <c r="DC86" s="745">
        <v>10.51</v>
      </c>
      <c r="DD86" s="745">
        <v>10.57</v>
      </c>
      <c r="DE86" s="745">
        <v>10.63</v>
      </c>
      <c r="DF86" s="745">
        <v>10.69</v>
      </c>
      <c r="DG86" s="745">
        <v>10.75</v>
      </c>
      <c r="DH86" s="745">
        <v>10.8</v>
      </c>
      <c r="DI86" s="745">
        <v>10.86</v>
      </c>
      <c r="DJ86" s="745">
        <v>10.92</v>
      </c>
      <c r="DK86" s="745">
        <v>10.98</v>
      </c>
      <c r="DL86" s="745">
        <v>11.03</v>
      </c>
      <c r="DM86" s="745">
        <v>11.09</v>
      </c>
      <c r="DN86" s="745">
        <v>11.15</v>
      </c>
      <c r="DO86" s="745">
        <v>11.2</v>
      </c>
      <c r="DP86" s="745">
        <v>11.26</v>
      </c>
      <c r="DQ86" s="745">
        <v>11.32</v>
      </c>
      <c r="DR86" s="745">
        <v>11.37</v>
      </c>
    </row>
    <row r="87" spans="1:122">
      <c r="A87" s="912">
        <v>85</v>
      </c>
      <c r="B87" s="92"/>
      <c r="C87" s="92"/>
      <c r="D87" s="92"/>
      <c r="E87" s="92"/>
      <c r="F87" s="92"/>
      <c r="G87" s="92"/>
      <c r="H87" s="92"/>
      <c r="I87" s="92"/>
      <c r="J87" s="92"/>
      <c r="K87" s="92"/>
      <c r="L87" s="92"/>
      <c r="M87" s="92"/>
      <c r="N87" s="92"/>
      <c r="O87" s="92"/>
      <c r="P87" s="92"/>
      <c r="Q87" s="92"/>
      <c r="R87" s="92"/>
      <c r="S87" s="92"/>
      <c r="T87" s="92"/>
      <c r="U87" s="92"/>
      <c r="V87" s="745"/>
      <c r="W87" s="745">
        <v>5.36</v>
      </c>
      <c r="X87" s="745">
        <v>5.36</v>
      </c>
      <c r="Y87" s="745">
        <v>5.39</v>
      </c>
      <c r="Z87" s="745">
        <v>5.44</v>
      </c>
      <c r="AA87" s="745">
        <v>5.44</v>
      </c>
      <c r="AB87" s="745">
        <v>5.49</v>
      </c>
      <c r="AC87" s="745">
        <v>5.49</v>
      </c>
      <c r="AD87" s="745">
        <v>5.52</v>
      </c>
      <c r="AE87" s="745">
        <v>5.55</v>
      </c>
      <c r="AF87" s="745">
        <v>5.63</v>
      </c>
      <c r="AG87" s="745">
        <v>5.68</v>
      </c>
      <c r="AH87" s="745">
        <v>5.72</v>
      </c>
      <c r="AI87" s="745">
        <v>5.8</v>
      </c>
      <c r="AJ87" s="745">
        <v>5.85</v>
      </c>
      <c r="AK87" s="745">
        <v>5.9</v>
      </c>
      <c r="AL87" s="745">
        <v>5.94</v>
      </c>
      <c r="AM87" s="745">
        <v>6</v>
      </c>
      <c r="AN87" s="745">
        <v>6.05</v>
      </c>
      <c r="AO87" s="745">
        <v>6.1</v>
      </c>
      <c r="AP87" s="745">
        <v>6.15</v>
      </c>
      <c r="AQ87" s="745">
        <v>6.2</v>
      </c>
      <c r="AR87" s="745">
        <v>6.25</v>
      </c>
      <c r="AS87" s="745">
        <v>6.31</v>
      </c>
      <c r="AT87" s="745">
        <v>6.36</v>
      </c>
      <c r="AU87" s="745">
        <v>6.42</v>
      </c>
      <c r="AV87" s="745">
        <v>6.47</v>
      </c>
      <c r="AW87" s="745">
        <v>6.53</v>
      </c>
      <c r="AX87" s="745">
        <v>6.58</v>
      </c>
      <c r="AY87" s="745">
        <v>6.64</v>
      </c>
      <c r="AZ87" s="745">
        <v>6.7</v>
      </c>
      <c r="BA87" s="745">
        <v>6.75</v>
      </c>
      <c r="BB87" s="745">
        <v>6.81</v>
      </c>
      <c r="BC87" s="745">
        <v>6.87</v>
      </c>
      <c r="BD87" s="745">
        <v>6.92</v>
      </c>
      <c r="BE87" s="745">
        <v>6.98</v>
      </c>
      <c r="BF87" s="745">
        <v>7.04</v>
      </c>
      <c r="BG87" s="745">
        <v>7.09</v>
      </c>
      <c r="BH87" s="745">
        <v>7.15</v>
      </c>
      <c r="BI87" s="745">
        <v>7.21</v>
      </c>
      <c r="BJ87" s="745">
        <v>7.26</v>
      </c>
      <c r="BK87" s="745">
        <v>7.32</v>
      </c>
      <c r="BL87" s="745">
        <v>7.38</v>
      </c>
      <c r="BM87" s="745">
        <v>7.44</v>
      </c>
      <c r="BN87" s="745">
        <v>7.49</v>
      </c>
      <c r="BO87" s="745">
        <v>7.55</v>
      </c>
      <c r="BP87" s="745">
        <v>7.61</v>
      </c>
      <c r="BQ87" s="745">
        <v>7.67</v>
      </c>
      <c r="BR87" s="745">
        <v>7.72</v>
      </c>
      <c r="BS87" s="745">
        <v>7.78</v>
      </c>
      <c r="BT87" s="857">
        <v>7.84</v>
      </c>
      <c r="BU87" s="745">
        <v>7.9</v>
      </c>
      <c r="BV87" s="745">
        <v>7.95</v>
      </c>
      <c r="BW87" s="745">
        <v>8.01</v>
      </c>
      <c r="BX87" s="745">
        <v>8.07</v>
      </c>
      <c r="BY87" s="745">
        <v>8.1300000000000008</v>
      </c>
      <c r="BZ87" s="745">
        <v>8.18</v>
      </c>
      <c r="CA87" s="745">
        <v>8.24</v>
      </c>
      <c r="CB87" s="745">
        <v>8.3000000000000007</v>
      </c>
      <c r="CC87" s="745">
        <v>8.36</v>
      </c>
      <c r="CD87" s="745">
        <v>8.42</v>
      </c>
      <c r="CE87" s="745">
        <v>8.4700000000000006</v>
      </c>
      <c r="CF87" s="745">
        <v>8.5299999999999994</v>
      </c>
      <c r="CG87" s="745">
        <v>8.59</v>
      </c>
      <c r="CH87" s="745">
        <v>8.65</v>
      </c>
      <c r="CI87" s="745">
        <v>8.6999999999999993</v>
      </c>
      <c r="CJ87" s="745">
        <v>8.76</v>
      </c>
      <c r="CK87" s="745">
        <v>8.82</v>
      </c>
      <c r="CL87" s="745">
        <v>8.8699999999999992</v>
      </c>
      <c r="CM87" s="745">
        <v>8.93</v>
      </c>
      <c r="CN87" s="745">
        <v>8.99</v>
      </c>
      <c r="CO87" s="745">
        <v>9.0500000000000007</v>
      </c>
      <c r="CP87" s="745">
        <v>9.1</v>
      </c>
      <c r="CQ87" s="745">
        <v>9.16</v>
      </c>
      <c r="CR87" s="745">
        <v>9.2200000000000006</v>
      </c>
      <c r="CS87" s="745">
        <v>9.27</v>
      </c>
      <c r="CT87" s="745">
        <v>9.33</v>
      </c>
      <c r="CU87" s="745">
        <v>9.39</v>
      </c>
      <c r="CV87" s="745">
        <v>9.44</v>
      </c>
      <c r="CW87" s="745">
        <v>9.5</v>
      </c>
      <c r="CX87" s="745">
        <v>9.56</v>
      </c>
      <c r="CY87" s="745">
        <v>9.61</v>
      </c>
      <c r="CZ87" s="745">
        <v>9.67</v>
      </c>
      <c r="DA87" s="745">
        <v>9.7200000000000006</v>
      </c>
      <c r="DB87" s="745">
        <v>9.7799999999999994</v>
      </c>
      <c r="DC87" s="745">
        <v>9.84</v>
      </c>
      <c r="DD87" s="745">
        <v>9.89</v>
      </c>
      <c r="DE87" s="745">
        <v>9.9499999999999993</v>
      </c>
      <c r="DF87" s="745">
        <v>10</v>
      </c>
      <c r="DG87" s="745">
        <v>10.06</v>
      </c>
      <c r="DH87" s="745">
        <v>10.11</v>
      </c>
      <c r="DI87" s="745">
        <v>10.17</v>
      </c>
      <c r="DJ87" s="745">
        <v>10.220000000000001</v>
      </c>
      <c r="DK87" s="745">
        <v>10.28</v>
      </c>
      <c r="DL87" s="745">
        <v>10.33</v>
      </c>
      <c r="DM87" s="745">
        <v>10.38</v>
      </c>
      <c r="DN87" s="745">
        <v>10.44</v>
      </c>
      <c r="DO87" s="745">
        <v>10.49</v>
      </c>
      <c r="DP87" s="745">
        <v>10.55</v>
      </c>
      <c r="DQ87" s="745">
        <v>10.6</v>
      </c>
      <c r="DR87" s="745">
        <v>10.65</v>
      </c>
    </row>
    <row r="88" spans="1:122">
      <c r="A88" s="912">
        <v>86</v>
      </c>
      <c r="B88" s="92"/>
      <c r="C88" s="92"/>
      <c r="D88" s="92"/>
      <c r="E88" s="92"/>
      <c r="F88" s="92"/>
      <c r="G88" s="92"/>
      <c r="H88" s="92"/>
      <c r="I88" s="92"/>
      <c r="J88" s="92"/>
      <c r="K88" s="92"/>
      <c r="L88" s="92"/>
      <c r="M88" s="92"/>
      <c r="N88" s="92"/>
      <c r="O88" s="92"/>
      <c r="P88" s="92"/>
      <c r="Q88" s="92"/>
      <c r="R88" s="92"/>
      <c r="S88" s="92"/>
      <c r="T88" s="92"/>
      <c r="U88" s="92"/>
      <c r="V88" s="745"/>
      <c r="W88" s="745">
        <v>4.9800000000000004</v>
      </c>
      <c r="X88" s="745">
        <v>4.9800000000000004</v>
      </c>
      <c r="Y88" s="745">
        <v>5.0199999999999996</v>
      </c>
      <c r="Z88" s="745">
        <v>5.04</v>
      </c>
      <c r="AA88" s="745">
        <v>5.0599999999999996</v>
      </c>
      <c r="AB88" s="745">
        <v>5.0999999999999996</v>
      </c>
      <c r="AC88" s="745">
        <v>5.13</v>
      </c>
      <c r="AD88" s="745">
        <v>5.13</v>
      </c>
      <c r="AE88" s="745">
        <v>5.18</v>
      </c>
      <c r="AF88" s="745">
        <v>5.23</v>
      </c>
      <c r="AG88" s="745">
        <v>5.3</v>
      </c>
      <c r="AH88" s="745">
        <v>5.34</v>
      </c>
      <c r="AI88" s="745">
        <v>5.39</v>
      </c>
      <c r="AJ88" s="745">
        <v>5.44</v>
      </c>
      <c r="AK88" s="745">
        <v>5.48</v>
      </c>
      <c r="AL88" s="745">
        <v>5.53</v>
      </c>
      <c r="AM88" s="745">
        <v>5.57</v>
      </c>
      <c r="AN88" s="745">
        <v>5.62</v>
      </c>
      <c r="AO88" s="745">
        <v>5.67</v>
      </c>
      <c r="AP88" s="745">
        <v>5.72</v>
      </c>
      <c r="AQ88" s="745">
        <v>5.77</v>
      </c>
      <c r="AR88" s="745">
        <v>5.82</v>
      </c>
      <c r="AS88" s="745">
        <v>5.87</v>
      </c>
      <c r="AT88" s="745">
        <v>5.92</v>
      </c>
      <c r="AU88" s="745">
        <v>5.97</v>
      </c>
      <c r="AV88" s="745">
        <v>6.02</v>
      </c>
      <c r="AW88" s="745">
        <v>6.08</v>
      </c>
      <c r="AX88" s="745">
        <v>6.13</v>
      </c>
      <c r="AY88" s="745">
        <v>6.18</v>
      </c>
      <c r="AZ88" s="745">
        <v>6.23</v>
      </c>
      <c r="BA88" s="745">
        <v>6.29</v>
      </c>
      <c r="BB88" s="745">
        <v>6.34</v>
      </c>
      <c r="BC88" s="745">
        <v>6.39</v>
      </c>
      <c r="BD88" s="745">
        <v>6.45</v>
      </c>
      <c r="BE88" s="745">
        <v>6.5</v>
      </c>
      <c r="BF88" s="745">
        <v>6.55</v>
      </c>
      <c r="BG88" s="745">
        <v>6.61</v>
      </c>
      <c r="BH88" s="745">
        <v>6.66</v>
      </c>
      <c r="BI88" s="745">
        <v>6.71</v>
      </c>
      <c r="BJ88" s="745">
        <v>6.77</v>
      </c>
      <c r="BK88" s="745">
        <v>6.82</v>
      </c>
      <c r="BL88" s="745">
        <v>6.87</v>
      </c>
      <c r="BM88" s="745">
        <v>6.93</v>
      </c>
      <c r="BN88" s="745">
        <v>6.98</v>
      </c>
      <c r="BO88" s="745">
        <v>7.03</v>
      </c>
      <c r="BP88" s="745">
        <v>7.09</v>
      </c>
      <c r="BQ88" s="745">
        <v>7.14</v>
      </c>
      <c r="BR88" s="745">
        <v>7.2</v>
      </c>
      <c r="BS88" s="745">
        <v>7.25</v>
      </c>
      <c r="BT88" s="857">
        <v>7.3</v>
      </c>
      <c r="BU88" s="745">
        <v>7.36</v>
      </c>
      <c r="BV88" s="745">
        <v>7.41</v>
      </c>
      <c r="BW88" s="745">
        <v>7.47</v>
      </c>
      <c r="BX88" s="745">
        <v>7.52</v>
      </c>
      <c r="BY88" s="745">
        <v>7.57</v>
      </c>
      <c r="BZ88" s="745">
        <v>7.63</v>
      </c>
      <c r="CA88" s="745">
        <v>7.68</v>
      </c>
      <c r="CB88" s="745">
        <v>7.74</v>
      </c>
      <c r="CC88" s="745">
        <v>7.79</v>
      </c>
      <c r="CD88" s="745">
        <v>7.85</v>
      </c>
      <c r="CE88" s="745">
        <v>7.9</v>
      </c>
      <c r="CF88" s="745">
        <v>7.95</v>
      </c>
      <c r="CG88" s="745">
        <v>8.01</v>
      </c>
      <c r="CH88" s="745">
        <v>8.06</v>
      </c>
      <c r="CI88" s="745">
        <v>8.1199999999999992</v>
      </c>
      <c r="CJ88" s="745">
        <v>8.17</v>
      </c>
      <c r="CK88" s="745">
        <v>8.2200000000000006</v>
      </c>
      <c r="CL88" s="745">
        <v>8.2799999999999994</v>
      </c>
      <c r="CM88" s="745">
        <v>8.33</v>
      </c>
      <c r="CN88" s="745">
        <v>8.39</v>
      </c>
      <c r="CO88" s="745">
        <v>8.44</v>
      </c>
      <c r="CP88" s="745">
        <v>8.49</v>
      </c>
      <c r="CQ88" s="745">
        <v>8.5500000000000007</v>
      </c>
      <c r="CR88" s="745">
        <v>8.6</v>
      </c>
      <c r="CS88" s="745">
        <v>8.65</v>
      </c>
      <c r="CT88" s="745">
        <v>8.7100000000000009</v>
      </c>
      <c r="CU88" s="745">
        <v>8.76</v>
      </c>
      <c r="CV88" s="745">
        <v>8.81</v>
      </c>
      <c r="CW88" s="745">
        <v>8.8699999999999992</v>
      </c>
      <c r="CX88" s="745">
        <v>8.92</v>
      </c>
      <c r="CY88" s="745">
        <v>8.9700000000000006</v>
      </c>
      <c r="CZ88" s="745">
        <v>9.02</v>
      </c>
      <c r="DA88" s="745">
        <v>9.08</v>
      </c>
      <c r="DB88" s="745">
        <v>9.1300000000000008</v>
      </c>
      <c r="DC88" s="745">
        <v>9.18</v>
      </c>
      <c r="DD88" s="745">
        <v>9.23</v>
      </c>
      <c r="DE88" s="745">
        <v>9.2899999999999991</v>
      </c>
      <c r="DF88" s="745">
        <v>9.34</v>
      </c>
      <c r="DG88" s="745">
        <v>9.39</v>
      </c>
      <c r="DH88" s="745">
        <v>9.44</v>
      </c>
      <c r="DI88" s="745">
        <v>9.49</v>
      </c>
      <c r="DJ88" s="745">
        <v>9.5500000000000007</v>
      </c>
      <c r="DK88" s="745">
        <v>9.6</v>
      </c>
      <c r="DL88" s="745">
        <v>9.65</v>
      </c>
      <c r="DM88" s="745">
        <v>9.6999999999999993</v>
      </c>
      <c r="DN88" s="745">
        <v>9.75</v>
      </c>
      <c r="DO88" s="745">
        <v>9.8000000000000007</v>
      </c>
      <c r="DP88" s="745">
        <v>9.85</v>
      </c>
      <c r="DQ88" s="745">
        <v>9.9</v>
      </c>
      <c r="DR88" s="745">
        <v>9.9499999999999993</v>
      </c>
    </row>
    <row r="89" spans="1:122">
      <c r="A89" s="912">
        <v>87</v>
      </c>
      <c r="B89" s="92"/>
      <c r="C89" s="92"/>
      <c r="D89" s="92"/>
      <c r="E89" s="92"/>
      <c r="F89" s="92"/>
      <c r="G89" s="92"/>
      <c r="H89" s="92"/>
      <c r="I89" s="92"/>
      <c r="J89" s="92"/>
      <c r="K89" s="92"/>
      <c r="L89" s="92"/>
      <c r="M89" s="92"/>
      <c r="N89" s="92"/>
      <c r="O89" s="92"/>
      <c r="P89" s="92"/>
      <c r="Q89" s="92"/>
      <c r="R89" s="92"/>
      <c r="S89" s="92"/>
      <c r="T89" s="92"/>
      <c r="U89" s="92"/>
      <c r="V89" s="745"/>
      <c r="W89" s="745">
        <v>4.6399999999999997</v>
      </c>
      <c r="X89" s="745">
        <v>4.62</v>
      </c>
      <c r="Y89" s="745">
        <v>4.6399999999999997</v>
      </c>
      <c r="Z89" s="745">
        <v>4.68</v>
      </c>
      <c r="AA89" s="745">
        <v>4.7</v>
      </c>
      <c r="AB89" s="745">
        <v>4.76</v>
      </c>
      <c r="AC89" s="745">
        <v>4.74</v>
      </c>
      <c r="AD89" s="745">
        <v>4.78</v>
      </c>
      <c r="AE89" s="745">
        <v>4.8</v>
      </c>
      <c r="AF89" s="745">
        <v>4.88</v>
      </c>
      <c r="AG89" s="745">
        <v>4.93</v>
      </c>
      <c r="AH89" s="745">
        <v>4.97</v>
      </c>
      <c r="AI89" s="745">
        <v>5.01</v>
      </c>
      <c r="AJ89" s="745">
        <v>5.05</v>
      </c>
      <c r="AK89" s="745">
        <v>5.09</v>
      </c>
      <c r="AL89" s="745">
        <v>5.14</v>
      </c>
      <c r="AM89" s="745">
        <v>5.18</v>
      </c>
      <c r="AN89" s="745">
        <v>5.23</v>
      </c>
      <c r="AO89" s="745">
        <v>5.27</v>
      </c>
      <c r="AP89" s="745">
        <v>5.32</v>
      </c>
      <c r="AQ89" s="745">
        <v>5.36</v>
      </c>
      <c r="AR89" s="745">
        <v>5.41</v>
      </c>
      <c r="AS89" s="745">
        <v>5.46</v>
      </c>
      <c r="AT89" s="745">
        <v>5.5</v>
      </c>
      <c r="AU89" s="745">
        <v>5.55</v>
      </c>
      <c r="AV89" s="745">
        <v>5.6</v>
      </c>
      <c r="AW89" s="745">
        <v>5.65</v>
      </c>
      <c r="AX89" s="745">
        <v>5.7</v>
      </c>
      <c r="AY89" s="745">
        <v>5.75</v>
      </c>
      <c r="AZ89" s="745">
        <v>5.8</v>
      </c>
      <c r="BA89" s="745">
        <v>5.85</v>
      </c>
      <c r="BB89" s="745">
        <v>5.9</v>
      </c>
      <c r="BC89" s="745">
        <v>5.95</v>
      </c>
      <c r="BD89" s="745">
        <v>5.99</v>
      </c>
      <c r="BE89" s="745">
        <v>6.04</v>
      </c>
      <c r="BF89" s="745">
        <v>6.09</v>
      </c>
      <c r="BG89" s="745">
        <v>6.14</v>
      </c>
      <c r="BH89" s="745">
        <v>6.19</v>
      </c>
      <c r="BI89" s="745">
        <v>6.24</v>
      </c>
      <c r="BJ89" s="745">
        <v>6.29</v>
      </c>
      <c r="BK89" s="745">
        <v>6.34</v>
      </c>
      <c r="BL89" s="745">
        <v>6.39</v>
      </c>
      <c r="BM89" s="745">
        <v>6.44</v>
      </c>
      <c r="BN89" s="745">
        <v>6.49</v>
      </c>
      <c r="BO89" s="745">
        <v>6.54</v>
      </c>
      <c r="BP89" s="745">
        <v>6.6</v>
      </c>
      <c r="BQ89" s="745">
        <v>6.65</v>
      </c>
      <c r="BR89" s="745">
        <v>6.7</v>
      </c>
      <c r="BS89" s="745">
        <v>6.75</v>
      </c>
      <c r="BT89" s="857">
        <v>6.8</v>
      </c>
      <c r="BU89" s="745">
        <v>6.85</v>
      </c>
      <c r="BV89" s="745">
        <v>6.9</v>
      </c>
      <c r="BW89" s="745">
        <v>6.95</v>
      </c>
      <c r="BX89" s="745">
        <v>7</v>
      </c>
      <c r="BY89" s="745">
        <v>7.05</v>
      </c>
      <c r="BZ89" s="745">
        <v>7.1</v>
      </c>
      <c r="CA89" s="745">
        <v>7.15</v>
      </c>
      <c r="CB89" s="745">
        <v>7.2</v>
      </c>
      <c r="CC89" s="745">
        <v>7.25</v>
      </c>
      <c r="CD89" s="745">
        <v>7.3</v>
      </c>
      <c r="CE89" s="745">
        <v>7.35</v>
      </c>
      <c r="CF89" s="745">
        <v>7.4</v>
      </c>
      <c r="CG89" s="745">
        <v>7.46</v>
      </c>
      <c r="CH89" s="745">
        <v>7.51</v>
      </c>
      <c r="CI89" s="745">
        <v>7.56</v>
      </c>
      <c r="CJ89" s="745">
        <v>7.61</v>
      </c>
      <c r="CK89" s="745">
        <v>7.66</v>
      </c>
      <c r="CL89" s="745">
        <v>7.71</v>
      </c>
      <c r="CM89" s="745">
        <v>7.76</v>
      </c>
      <c r="CN89" s="745">
        <v>7.81</v>
      </c>
      <c r="CO89" s="745">
        <v>7.86</v>
      </c>
      <c r="CP89" s="745">
        <v>7.91</v>
      </c>
      <c r="CQ89" s="745">
        <v>7.96</v>
      </c>
      <c r="CR89" s="745">
        <v>8.01</v>
      </c>
      <c r="CS89" s="745">
        <v>8.06</v>
      </c>
      <c r="CT89" s="745">
        <v>8.11</v>
      </c>
      <c r="CU89" s="745">
        <v>8.16</v>
      </c>
      <c r="CV89" s="745">
        <v>8.2100000000000009</v>
      </c>
      <c r="CW89" s="745">
        <v>8.26</v>
      </c>
      <c r="CX89" s="745">
        <v>8.31</v>
      </c>
      <c r="CY89" s="745">
        <v>8.36</v>
      </c>
      <c r="CZ89" s="745">
        <v>8.41</v>
      </c>
      <c r="DA89" s="745">
        <v>8.4600000000000009</v>
      </c>
      <c r="DB89" s="745">
        <v>8.51</v>
      </c>
      <c r="DC89" s="745">
        <v>8.56</v>
      </c>
      <c r="DD89" s="745">
        <v>8.61</v>
      </c>
      <c r="DE89" s="745">
        <v>8.65</v>
      </c>
      <c r="DF89" s="745">
        <v>8.6999999999999993</v>
      </c>
      <c r="DG89" s="745">
        <v>8.75</v>
      </c>
      <c r="DH89" s="745">
        <v>8.8000000000000007</v>
      </c>
      <c r="DI89" s="745">
        <v>8.85</v>
      </c>
      <c r="DJ89" s="745">
        <v>8.9</v>
      </c>
      <c r="DK89" s="745">
        <v>8.9499999999999993</v>
      </c>
      <c r="DL89" s="745">
        <v>8.99</v>
      </c>
      <c r="DM89" s="745">
        <v>9.0399999999999991</v>
      </c>
      <c r="DN89" s="745">
        <v>9.09</v>
      </c>
      <c r="DO89" s="745">
        <v>9.14</v>
      </c>
      <c r="DP89" s="745">
        <v>9.19</v>
      </c>
      <c r="DQ89" s="745">
        <v>9.23</v>
      </c>
      <c r="DR89" s="745">
        <v>9.2799999999999994</v>
      </c>
    </row>
    <row r="90" spans="1:122">
      <c r="A90" s="912">
        <v>88</v>
      </c>
      <c r="B90" s="92"/>
      <c r="C90" s="92"/>
      <c r="D90" s="92"/>
      <c r="E90" s="92"/>
      <c r="F90" s="92"/>
      <c r="G90" s="92"/>
      <c r="H90" s="92"/>
      <c r="I90" s="92"/>
      <c r="J90" s="92"/>
      <c r="K90" s="92"/>
      <c r="L90" s="92"/>
      <c r="M90" s="92"/>
      <c r="N90" s="92"/>
      <c r="O90" s="92"/>
      <c r="P90" s="92"/>
      <c r="Q90" s="92"/>
      <c r="R90" s="92"/>
      <c r="S90" s="92"/>
      <c r="T90" s="92"/>
      <c r="U90" s="92"/>
      <c r="V90" s="745"/>
      <c r="W90" s="745">
        <v>4.3099999999999996</v>
      </c>
      <c r="X90" s="745">
        <v>4.2699999999999996</v>
      </c>
      <c r="Y90" s="745">
        <v>4.3099999999999996</v>
      </c>
      <c r="Z90" s="745">
        <v>4.34</v>
      </c>
      <c r="AA90" s="745">
        <v>4.38</v>
      </c>
      <c r="AB90" s="745">
        <v>4.4000000000000004</v>
      </c>
      <c r="AC90" s="745">
        <v>4.41</v>
      </c>
      <c r="AD90" s="745">
        <v>4.43</v>
      </c>
      <c r="AE90" s="745">
        <v>4.4800000000000004</v>
      </c>
      <c r="AF90" s="745">
        <v>4.53</v>
      </c>
      <c r="AG90" s="745">
        <v>4.58</v>
      </c>
      <c r="AH90" s="745">
        <v>4.62</v>
      </c>
      <c r="AI90" s="745">
        <v>4.6500000000000004</v>
      </c>
      <c r="AJ90" s="745">
        <v>4.6900000000000004</v>
      </c>
      <c r="AK90" s="745">
        <v>4.7300000000000004</v>
      </c>
      <c r="AL90" s="745">
        <v>4.7699999999999996</v>
      </c>
      <c r="AM90" s="745">
        <v>4.8099999999999996</v>
      </c>
      <c r="AN90" s="745">
        <v>4.8499999999999996</v>
      </c>
      <c r="AO90" s="745">
        <v>4.9000000000000004</v>
      </c>
      <c r="AP90" s="745">
        <v>4.9400000000000004</v>
      </c>
      <c r="AQ90" s="745">
        <v>4.9800000000000004</v>
      </c>
      <c r="AR90" s="745">
        <v>5.03</v>
      </c>
      <c r="AS90" s="745">
        <v>5.07</v>
      </c>
      <c r="AT90" s="745">
        <v>5.12</v>
      </c>
      <c r="AU90" s="745">
        <v>5.16</v>
      </c>
      <c r="AV90" s="745">
        <v>5.21</v>
      </c>
      <c r="AW90" s="745">
        <v>5.25</v>
      </c>
      <c r="AX90" s="745">
        <v>5.3</v>
      </c>
      <c r="AY90" s="745">
        <v>5.34</v>
      </c>
      <c r="AZ90" s="745">
        <v>5.39</v>
      </c>
      <c r="BA90" s="745">
        <v>5.43</v>
      </c>
      <c r="BB90" s="745">
        <v>5.48</v>
      </c>
      <c r="BC90" s="745">
        <v>5.52</v>
      </c>
      <c r="BD90" s="745">
        <v>5.57</v>
      </c>
      <c r="BE90" s="745">
        <v>5.62</v>
      </c>
      <c r="BF90" s="745">
        <v>5.66</v>
      </c>
      <c r="BG90" s="745">
        <v>5.71</v>
      </c>
      <c r="BH90" s="745">
        <v>5.76</v>
      </c>
      <c r="BI90" s="745">
        <v>5.8</v>
      </c>
      <c r="BJ90" s="745">
        <v>5.85</v>
      </c>
      <c r="BK90" s="745">
        <v>5.9</v>
      </c>
      <c r="BL90" s="745">
        <v>5.94</v>
      </c>
      <c r="BM90" s="745">
        <v>5.99</v>
      </c>
      <c r="BN90" s="745">
        <v>6.04</v>
      </c>
      <c r="BO90" s="745">
        <v>6.08</v>
      </c>
      <c r="BP90" s="745">
        <v>6.13</v>
      </c>
      <c r="BQ90" s="745">
        <v>6.18</v>
      </c>
      <c r="BR90" s="745">
        <v>6.22</v>
      </c>
      <c r="BS90" s="745">
        <v>6.27</v>
      </c>
      <c r="BT90" s="857">
        <v>6.32</v>
      </c>
      <c r="BU90" s="745">
        <v>6.36</v>
      </c>
      <c r="BV90" s="745">
        <v>6.41</v>
      </c>
      <c r="BW90" s="745">
        <v>6.46</v>
      </c>
      <c r="BX90" s="745">
        <v>6.51</v>
      </c>
      <c r="BY90" s="745">
        <v>6.55</v>
      </c>
      <c r="BZ90" s="745">
        <v>6.6</v>
      </c>
      <c r="CA90" s="745">
        <v>6.65</v>
      </c>
      <c r="CB90" s="745">
        <v>6.69</v>
      </c>
      <c r="CC90" s="745">
        <v>6.74</v>
      </c>
      <c r="CD90" s="745">
        <v>6.79</v>
      </c>
      <c r="CE90" s="745">
        <v>6.84</v>
      </c>
      <c r="CF90" s="745">
        <v>6.88</v>
      </c>
      <c r="CG90" s="745">
        <v>6.93</v>
      </c>
      <c r="CH90" s="745">
        <v>6.98</v>
      </c>
      <c r="CI90" s="745">
        <v>7.02</v>
      </c>
      <c r="CJ90" s="745">
        <v>7.07</v>
      </c>
      <c r="CK90" s="745">
        <v>7.12</v>
      </c>
      <c r="CL90" s="745">
        <v>7.16</v>
      </c>
      <c r="CM90" s="745">
        <v>7.21</v>
      </c>
      <c r="CN90" s="745">
        <v>7.26</v>
      </c>
      <c r="CO90" s="745">
        <v>7.31</v>
      </c>
      <c r="CP90" s="745">
        <v>7.35</v>
      </c>
      <c r="CQ90" s="745">
        <v>7.4</v>
      </c>
      <c r="CR90" s="745">
        <v>7.45</v>
      </c>
      <c r="CS90" s="745">
        <v>7.49</v>
      </c>
      <c r="CT90" s="745">
        <v>7.54</v>
      </c>
      <c r="CU90" s="745">
        <v>7.59</v>
      </c>
      <c r="CV90" s="745">
        <v>7.63</v>
      </c>
      <c r="CW90" s="745">
        <v>7.68</v>
      </c>
      <c r="CX90" s="745">
        <v>7.73</v>
      </c>
      <c r="CY90" s="745">
        <v>7.77</v>
      </c>
      <c r="CZ90" s="745">
        <v>7.82</v>
      </c>
      <c r="DA90" s="745">
        <v>7.86</v>
      </c>
      <c r="DB90" s="745">
        <v>7.91</v>
      </c>
      <c r="DC90" s="745">
        <v>7.96</v>
      </c>
      <c r="DD90" s="745">
        <v>8</v>
      </c>
      <c r="DE90" s="745">
        <v>8.0500000000000007</v>
      </c>
      <c r="DF90" s="745">
        <v>8.09</v>
      </c>
      <c r="DG90" s="745">
        <v>8.14</v>
      </c>
      <c r="DH90" s="745">
        <v>8.18</v>
      </c>
      <c r="DI90" s="745">
        <v>8.23</v>
      </c>
      <c r="DJ90" s="745">
        <v>8.27</v>
      </c>
      <c r="DK90" s="745">
        <v>8.32</v>
      </c>
      <c r="DL90" s="745">
        <v>8.36</v>
      </c>
      <c r="DM90" s="745">
        <v>8.41</v>
      </c>
      <c r="DN90" s="745">
        <v>8.4499999999999993</v>
      </c>
      <c r="DO90" s="745">
        <v>8.5</v>
      </c>
      <c r="DP90" s="745">
        <v>8.5399999999999991</v>
      </c>
      <c r="DQ90" s="745">
        <v>8.59</v>
      </c>
      <c r="DR90" s="745">
        <v>8.6300000000000008</v>
      </c>
    </row>
    <row r="91" spans="1:122">
      <c r="A91" s="912">
        <v>89</v>
      </c>
      <c r="B91" s="92"/>
      <c r="C91" s="92"/>
      <c r="D91" s="92"/>
      <c r="E91" s="92"/>
      <c r="F91" s="92"/>
      <c r="G91" s="92"/>
      <c r="H91" s="92"/>
      <c r="I91" s="92"/>
      <c r="J91" s="92"/>
      <c r="K91" s="92"/>
      <c r="L91" s="92"/>
      <c r="M91" s="92"/>
      <c r="N91" s="92"/>
      <c r="O91" s="92"/>
      <c r="P91" s="92"/>
      <c r="Q91" s="92"/>
      <c r="R91" s="92"/>
      <c r="S91" s="92"/>
      <c r="T91" s="92"/>
      <c r="U91" s="92"/>
      <c r="V91" s="745"/>
      <c r="W91" s="745">
        <v>3.96</v>
      </c>
      <c r="X91" s="745">
        <v>3.95</v>
      </c>
      <c r="Y91" s="745">
        <v>3.99</v>
      </c>
      <c r="Z91" s="745">
        <v>4.04</v>
      </c>
      <c r="AA91" s="745">
        <v>4.04</v>
      </c>
      <c r="AB91" s="745">
        <v>4.09</v>
      </c>
      <c r="AC91" s="745">
        <v>4.08</v>
      </c>
      <c r="AD91" s="745">
        <v>4.13</v>
      </c>
      <c r="AE91" s="745">
        <v>4.18</v>
      </c>
      <c r="AF91" s="745">
        <v>4.22</v>
      </c>
      <c r="AG91" s="745">
        <v>4.25</v>
      </c>
      <c r="AH91" s="745">
        <v>4.29</v>
      </c>
      <c r="AI91" s="745">
        <v>4.32</v>
      </c>
      <c r="AJ91" s="745">
        <v>4.3600000000000003</v>
      </c>
      <c r="AK91" s="745">
        <v>4.3899999999999997</v>
      </c>
      <c r="AL91" s="745">
        <v>4.43</v>
      </c>
      <c r="AM91" s="745">
        <v>4.47</v>
      </c>
      <c r="AN91" s="745">
        <v>4.51</v>
      </c>
      <c r="AO91" s="745">
        <v>4.55</v>
      </c>
      <c r="AP91" s="745">
        <v>4.59</v>
      </c>
      <c r="AQ91" s="745">
        <v>4.63</v>
      </c>
      <c r="AR91" s="745">
        <v>4.67</v>
      </c>
      <c r="AS91" s="745">
        <v>4.71</v>
      </c>
      <c r="AT91" s="745">
        <v>4.75</v>
      </c>
      <c r="AU91" s="745">
        <v>4.79</v>
      </c>
      <c r="AV91" s="745">
        <v>4.83</v>
      </c>
      <c r="AW91" s="745">
        <v>4.88</v>
      </c>
      <c r="AX91" s="745">
        <v>4.92</v>
      </c>
      <c r="AY91" s="745">
        <v>4.96</v>
      </c>
      <c r="AZ91" s="745">
        <v>5</v>
      </c>
      <c r="BA91" s="745">
        <v>5.04</v>
      </c>
      <c r="BB91" s="745">
        <v>5.09</v>
      </c>
      <c r="BC91" s="745">
        <v>5.13</v>
      </c>
      <c r="BD91" s="745">
        <v>5.17</v>
      </c>
      <c r="BE91" s="745">
        <v>5.21</v>
      </c>
      <c r="BF91" s="745">
        <v>5.26</v>
      </c>
      <c r="BG91" s="745">
        <v>5.3</v>
      </c>
      <c r="BH91" s="745">
        <v>5.34</v>
      </c>
      <c r="BI91" s="745">
        <v>5.39</v>
      </c>
      <c r="BJ91" s="745">
        <v>5.43</v>
      </c>
      <c r="BK91" s="745">
        <v>5.47</v>
      </c>
      <c r="BL91" s="745">
        <v>5.52</v>
      </c>
      <c r="BM91" s="745">
        <v>5.56</v>
      </c>
      <c r="BN91" s="745">
        <v>5.6</v>
      </c>
      <c r="BO91" s="745">
        <v>5.65</v>
      </c>
      <c r="BP91" s="745">
        <v>5.69</v>
      </c>
      <c r="BQ91" s="745">
        <v>5.73</v>
      </c>
      <c r="BR91" s="745">
        <v>5.78</v>
      </c>
      <c r="BS91" s="745">
        <v>5.82</v>
      </c>
      <c r="BT91" s="857">
        <v>5.86</v>
      </c>
      <c r="BU91" s="745">
        <v>5.91</v>
      </c>
      <c r="BV91" s="745">
        <v>5.95</v>
      </c>
      <c r="BW91" s="745">
        <v>5.99</v>
      </c>
      <c r="BX91" s="745">
        <v>6.04</v>
      </c>
      <c r="BY91" s="745">
        <v>6.08</v>
      </c>
      <c r="BZ91" s="745">
        <v>6.12</v>
      </c>
      <c r="CA91" s="745">
        <v>6.17</v>
      </c>
      <c r="CB91" s="745">
        <v>6.21</v>
      </c>
      <c r="CC91" s="745">
        <v>6.26</v>
      </c>
      <c r="CD91" s="745">
        <v>6.3</v>
      </c>
      <c r="CE91" s="745">
        <v>6.34</v>
      </c>
      <c r="CF91" s="745">
        <v>6.39</v>
      </c>
      <c r="CG91" s="745">
        <v>6.43</v>
      </c>
      <c r="CH91" s="745">
        <v>6.47</v>
      </c>
      <c r="CI91" s="745">
        <v>6.52</v>
      </c>
      <c r="CJ91" s="745">
        <v>6.56</v>
      </c>
      <c r="CK91" s="745">
        <v>6.6</v>
      </c>
      <c r="CL91" s="745">
        <v>6.65</v>
      </c>
      <c r="CM91" s="745">
        <v>6.69</v>
      </c>
      <c r="CN91" s="745">
        <v>6.73</v>
      </c>
      <c r="CO91" s="745">
        <v>6.78</v>
      </c>
      <c r="CP91" s="745">
        <v>6.82</v>
      </c>
      <c r="CQ91" s="745">
        <v>6.87</v>
      </c>
      <c r="CR91" s="745">
        <v>6.91</v>
      </c>
      <c r="CS91" s="745">
        <v>6.95</v>
      </c>
      <c r="CT91" s="745">
        <v>7</v>
      </c>
      <c r="CU91" s="745">
        <v>7.04</v>
      </c>
      <c r="CV91" s="745">
        <v>7.08</v>
      </c>
      <c r="CW91" s="745">
        <v>7.12</v>
      </c>
      <c r="CX91" s="745">
        <v>7.17</v>
      </c>
      <c r="CY91" s="745">
        <v>7.21</v>
      </c>
      <c r="CZ91" s="745">
        <v>7.25</v>
      </c>
      <c r="DA91" s="745">
        <v>7.3</v>
      </c>
      <c r="DB91" s="745">
        <v>7.34</v>
      </c>
      <c r="DC91" s="745">
        <v>7.38</v>
      </c>
      <c r="DD91" s="745">
        <v>7.42</v>
      </c>
      <c r="DE91" s="745">
        <v>7.47</v>
      </c>
      <c r="DF91" s="745">
        <v>7.51</v>
      </c>
      <c r="DG91" s="745">
        <v>7.55</v>
      </c>
      <c r="DH91" s="745">
        <v>7.59</v>
      </c>
      <c r="DI91" s="745">
        <v>7.64</v>
      </c>
      <c r="DJ91" s="745">
        <v>7.68</v>
      </c>
      <c r="DK91" s="745">
        <v>7.72</v>
      </c>
      <c r="DL91" s="745">
        <v>7.76</v>
      </c>
      <c r="DM91" s="745">
        <v>7.8</v>
      </c>
      <c r="DN91" s="745">
        <v>7.84</v>
      </c>
      <c r="DO91" s="745">
        <v>7.89</v>
      </c>
      <c r="DP91" s="745">
        <v>7.93</v>
      </c>
      <c r="DQ91" s="745">
        <v>7.97</v>
      </c>
      <c r="DR91" s="745">
        <v>8.01</v>
      </c>
    </row>
    <row r="92" spans="1:122">
      <c r="A92" s="912">
        <v>90</v>
      </c>
      <c r="B92" s="92"/>
      <c r="C92" s="92"/>
      <c r="D92" s="92"/>
      <c r="E92" s="92"/>
      <c r="F92" s="92"/>
      <c r="G92" s="92"/>
      <c r="H92" s="92"/>
      <c r="I92" s="92"/>
      <c r="J92" s="92"/>
      <c r="K92" s="92"/>
      <c r="L92" s="92"/>
      <c r="M92" s="92"/>
      <c r="N92" s="92"/>
      <c r="O92" s="92"/>
      <c r="P92" s="92"/>
      <c r="Q92" s="92"/>
      <c r="R92" s="92"/>
      <c r="S92" s="92"/>
      <c r="T92" s="92"/>
      <c r="U92" s="92"/>
      <c r="V92" s="745"/>
      <c r="W92" s="745">
        <v>3.67</v>
      </c>
      <c r="X92" s="745">
        <v>3.65</v>
      </c>
      <c r="Y92" s="745">
        <v>3.72</v>
      </c>
      <c r="Z92" s="745">
        <v>3.72</v>
      </c>
      <c r="AA92" s="745">
        <v>3.75</v>
      </c>
      <c r="AB92" s="745">
        <v>3.78</v>
      </c>
      <c r="AC92" s="745">
        <v>3.8</v>
      </c>
      <c r="AD92" s="745">
        <v>3.85</v>
      </c>
      <c r="AE92" s="745">
        <v>3.88</v>
      </c>
      <c r="AF92" s="745">
        <v>3.91</v>
      </c>
      <c r="AG92" s="745">
        <v>3.95</v>
      </c>
      <c r="AH92" s="745">
        <v>3.98</v>
      </c>
      <c r="AI92" s="745">
        <v>4.01</v>
      </c>
      <c r="AJ92" s="745">
        <v>4.05</v>
      </c>
      <c r="AK92" s="745">
        <v>4.08</v>
      </c>
      <c r="AL92" s="745">
        <v>4.1100000000000003</v>
      </c>
      <c r="AM92" s="745">
        <v>4.1500000000000004</v>
      </c>
      <c r="AN92" s="745">
        <v>4.18</v>
      </c>
      <c r="AO92" s="745">
        <v>4.22</v>
      </c>
      <c r="AP92" s="745">
        <v>4.25</v>
      </c>
      <c r="AQ92" s="745">
        <v>4.29</v>
      </c>
      <c r="AR92" s="745">
        <v>4.33</v>
      </c>
      <c r="AS92" s="745">
        <v>4.37</v>
      </c>
      <c r="AT92" s="745">
        <v>4.41</v>
      </c>
      <c r="AU92" s="745">
        <v>4.45</v>
      </c>
      <c r="AV92" s="745">
        <v>4.4800000000000004</v>
      </c>
      <c r="AW92" s="745">
        <v>4.5199999999999996</v>
      </c>
      <c r="AX92" s="745">
        <v>4.5599999999999996</v>
      </c>
      <c r="AY92" s="745">
        <v>4.5999999999999996</v>
      </c>
      <c r="AZ92" s="745">
        <v>4.6399999999999997</v>
      </c>
      <c r="BA92" s="745">
        <v>4.68</v>
      </c>
      <c r="BB92" s="745">
        <v>4.72</v>
      </c>
      <c r="BC92" s="745">
        <v>4.76</v>
      </c>
      <c r="BD92" s="745">
        <v>4.8</v>
      </c>
      <c r="BE92" s="745">
        <v>4.84</v>
      </c>
      <c r="BF92" s="745">
        <v>4.87</v>
      </c>
      <c r="BG92" s="745">
        <v>4.91</v>
      </c>
      <c r="BH92" s="745">
        <v>4.95</v>
      </c>
      <c r="BI92" s="745">
        <v>4.99</v>
      </c>
      <c r="BJ92" s="745">
        <v>5.03</v>
      </c>
      <c r="BK92" s="745">
        <v>5.07</v>
      </c>
      <c r="BL92" s="745">
        <v>5.1100000000000003</v>
      </c>
      <c r="BM92" s="745">
        <v>5.15</v>
      </c>
      <c r="BN92" s="745">
        <v>5.19</v>
      </c>
      <c r="BO92" s="745">
        <v>5.23</v>
      </c>
      <c r="BP92" s="745">
        <v>5.27</v>
      </c>
      <c r="BQ92" s="745">
        <v>5.31</v>
      </c>
      <c r="BR92" s="745">
        <v>5.35</v>
      </c>
      <c r="BS92" s="745">
        <v>5.39</v>
      </c>
      <c r="BT92" s="857">
        <v>5.43</v>
      </c>
      <c r="BU92" s="745">
        <v>5.47</v>
      </c>
      <c r="BV92" s="745">
        <v>5.51</v>
      </c>
      <c r="BW92" s="745">
        <v>5.55</v>
      </c>
      <c r="BX92" s="745">
        <v>5.59</v>
      </c>
      <c r="BY92" s="745">
        <v>5.63</v>
      </c>
      <c r="BZ92" s="745">
        <v>5.67</v>
      </c>
      <c r="CA92" s="745">
        <v>5.71</v>
      </c>
      <c r="CB92" s="745">
        <v>5.75</v>
      </c>
      <c r="CC92" s="745">
        <v>5.79</v>
      </c>
      <c r="CD92" s="745">
        <v>5.83</v>
      </c>
      <c r="CE92" s="745">
        <v>5.87</v>
      </c>
      <c r="CF92" s="745">
        <v>5.91</v>
      </c>
      <c r="CG92" s="745">
        <v>5.96</v>
      </c>
      <c r="CH92" s="745">
        <v>6</v>
      </c>
      <c r="CI92" s="745">
        <v>6.04</v>
      </c>
      <c r="CJ92" s="745">
        <v>6.08</v>
      </c>
      <c r="CK92" s="745">
        <v>6.12</v>
      </c>
      <c r="CL92" s="745">
        <v>6.16</v>
      </c>
      <c r="CM92" s="745">
        <v>6.2</v>
      </c>
      <c r="CN92" s="745">
        <v>6.24</v>
      </c>
      <c r="CO92" s="745">
        <v>6.28</v>
      </c>
      <c r="CP92" s="745">
        <v>6.32</v>
      </c>
      <c r="CQ92" s="745">
        <v>6.36</v>
      </c>
      <c r="CR92" s="745">
        <v>6.4</v>
      </c>
      <c r="CS92" s="745">
        <v>6.44</v>
      </c>
      <c r="CT92" s="745">
        <v>6.48</v>
      </c>
      <c r="CU92" s="745">
        <v>6.52</v>
      </c>
      <c r="CV92" s="745">
        <v>6.56</v>
      </c>
      <c r="CW92" s="745">
        <v>6.59</v>
      </c>
      <c r="CX92" s="745">
        <v>6.63</v>
      </c>
      <c r="CY92" s="745">
        <v>6.67</v>
      </c>
      <c r="CZ92" s="745">
        <v>6.71</v>
      </c>
      <c r="DA92" s="745">
        <v>6.75</v>
      </c>
      <c r="DB92" s="745">
        <v>6.79</v>
      </c>
      <c r="DC92" s="745">
        <v>6.83</v>
      </c>
      <c r="DD92" s="745">
        <v>6.87</v>
      </c>
      <c r="DE92" s="745">
        <v>6.91</v>
      </c>
      <c r="DF92" s="745">
        <v>6.95</v>
      </c>
      <c r="DG92" s="745">
        <v>6.99</v>
      </c>
      <c r="DH92" s="745">
        <v>7.03</v>
      </c>
      <c r="DI92" s="745">
        <v>7.07</v>
      </c>
      <c r="DJ92" s="745">
        <v>7.1</v>
      </c>
      <c r="DK92" s="745">
        <v>7.14</v>
      </c>
      <c r="DL92" s="745">
        <v>7.18</v>
      </c>
      <c r="DM92" s="745">
        <v>7.22</v>
      </c>
      <c r="DN92" s="745">
        <v>7.26</v>
      </c>
      <c r="DO92" s="745">
        <v>7.3</v>
      </c>
      <c r="DP92" s="745">
        <v>7.33</v>
      </c>
      <c r="DQ92" s="745">
        <v>7.37</v>
      </c>
      <c r="DR92" s="745">
        <v>7.41</v>
      </c>
    </row>
    <row r="93" spans="1:122">
      <c r="A93" s="912">
        <v>91</v>
      </c>
      <c r="B93" s="92"/>
      <c r="C93" s="92"/>
      <c r="D93" s="92"/>
      <c r="E93" s="92"/>
      <c r="F93" s="92"/>
      <c r="G93" s="92"/>
      <c r="H93" s="92"/>
      <c r="I93" s="92"/>
      <c r="J93" s="92"/>
      <c r="K93" s="92"/>
      <c r="L93" s="92"/>
      <c r="M93" s="92"/>
      <c r="N93" s="92"/>
      <c r="O93" s="92"/>
      <c r="P93" s="92"/>
      <c r="Q93" s="92"/>
      <c r="R93" s="92"/>
      <c r="S93" s="92"/>
      <c r="T93" s="92"/>
      <c r="U93" s="92"/>
      <c r="V93" s="745"/>
      <c r="W93" s="745">
        <v>3.39</v>
      </c>
      <c r="X93" s="745">
        <v>3.39</v>
      </c>
      <c r="Y93" s="745">
        <v>3.42</v>
      </c>
      <c r="Z93" s="745">
        <v>3.43</v>
      </c>
      <c r="AA93" s="745">
        <v>3.45</v>
      </c>
      <c r="AB93" s="745">
        <v>3.52</v>
      </c>
      <c r="AC93" s="745">
        <v>3.55</v>
      </c>
      <c r="AD93" s="745">
        <v>3.57</v>
      </c>
      <c r="AE93" s="745">
        <v>3.6</v>
      </c>
      <c r="AF93" s="745">
        <v>3.63</v>
      </c>
      <c r="AG93" s="745">
        <v>3.66</v>
      </c>
      <c r="AH93" s="745">
        <v>3.69</v>
      </c>
      <c r="AI93" s="745">
        <v>3.72</v>
      </c>
      <c r="AJ93" s="745">
        <v>3.75</v>
      </c>
      <c r="AK93" s="745">
        <v>3.78</v>
      </c>
      <c r="AL93" s="745">
        <v>3.81</v>
      </c>
      <c r="AM93" s="745">
        <v>3.84</v>
      </c>
      <c r="AN93" s="745">
        <v>3.88</v>
      </c>
      <c r="AO93" s="745">
        <v>3.91</v>
      </c>
      <c r="AP93" s="745">
        <v>3.95</v>
      </c>
      <c r="AQ93" s="745">
        <v>3.98</v>
      </c>
      <c r="AR93" s="745">
        <v>4.0199999999999996</v>
      </c>
      <c r="AS93" s="745">
        <v>4.05</v>
      </c>
      <c r="AT93" s="745">
        <v>4.09</v>
      </c>
      <c r="AU93" s="745">
        <v>4.12</v>
      </c>
      <c r="AV93" s="745">
        <v>4.16</v>
      </c>
      <c r="AW93" s="745">
        <v>4.1900000000000004</v>
      </c>
      <c r="AX93" s="745">
        <v>4.2300000000000004</v>
      </c>
      <c r="AY93" s="745">
        <v>4.26</v>
      </c>
      <c r="AZ93" s="745">
        <v>4.3</v>
      </c>
      <c r="BA93" s="745">
        <v>4.34</v>
      </c>
      <c r="BB93" s="745">
        <v>4.37</v>
      </c>
      <c r="BC93" s="745">
        <v>4.41</v>
      </c>
      <c r="BD93" s="745">
        <v>4.4400000000000004</v>
      </c>
      <c r="BE93" s="745">
        <v>4.4800000000000004</v>
      </c>
      <c r="BF93" s="745">
        <v>4.51</v>
      </c>
      <c r="BG93" s="745">
        <v>4.55</v>
      </c>
      <c r="BH93" s="745">
        <v>4.59</v>
      </c>
      <c r="BI93" s="745">
        <v>4.62</v>
      </c>
      <c r="BJ93" s="745">
        <v>4.66</v>
      </c>
      <c r="BK93" s="745">
        <v>4.7</v>
      </c>
      <c r="BL93" s="745">
        <v>4.7300000000000004</v>
      </c>
      <c r="BM93" s="745">
        <v>4.7699999999999996</v>
      </c>
      <c r="BN93" s="745">
        <v>4.8099999999999996</v>
      </c>
      <c r="BO93" s="745">
        <v>4.84</v>
      </c>
      <c r="BP93" s="745">
        <v>4.88</v>
      </c>
      <c r="BQ93" s="745">
        <v>4.92</v>
      </c>
      <c r="BR93" s="745">
        <v>4.95</v>
      </c>
      <c r="BS93" s="745">
        <v>4.99</v>
      </c>
      <c r="BT93" s="857">
        <v>5.03</v>
      </c>
      <c r="BU93" s="745">
        <v>5.0599999999999996</v>
      </c>
      <c r="BV93" s="745">
        <v>5.0999999999999996</v>
      </c>
      <c r="BW93" s="745">
        <v>5.14</v>
      </c>
      <c r="BX93" s="745">
        <v>5.17</v>
      </c>
      <c r="BY93" s="745">
        <v>5.21</v>
      </c>
      <c r="BZ93" s="745">
        <v>5.25</v>
      </c>
      <c r="CA93" s="745">
        <v>5.28</v>
      </c>
      <c r="CB93" s="745">
        <v>5.32</v>
      </c>
      <c r="CC93" s="745">
        <v>5.36</v>
      </c>
      <c r="CD93" s="745">
        <v>5.39</v>
      </c>
      <c r="CE93" s="745">
        <v>5.43</v>
      </c>
      <c r="CF93" s="745">
        <v>5.47</v>
      </c>
      <c r="CG93" s="745">
        <v>5.5</v>
      </c>
      <c r="CH93" s="745">
        <v>5.54</v>
      </c>
      <c r="CI93" s="745">
        <v>5.58</v>
      </c>
      <c r="CJ93" s="745">
        <v>5.61</v>
      </c>
      <c r="CK93" s="745">
        <v>5.65</v>
      </c>
      <c r="CL93" s="745">
        <v>5.69</v>
      </c>
      <c r="CM93" s="745">
        <v>5.72</v>
      </c>
      <c r="CN93" s="745">
        <v>5.76</v>
      </c>
      <c r="CO93" s="745">
        <v>5.8</v>
      </c>
      <c r="CP93" s="745">
        <v>5.83</v>
      </c>
      <c r="CQ93" s="745">
        <v>5.87</v>
      </c>
      <c r="CR93" s="745">
        <v>5.91</v>
      </c>
      <c r="CS93" s="745">
        <v>5.94</v>
      </c>
      <c r="CT93" s="745">
        <v>5.98</v>
      </c>
      <c r="CU93" s="745">
        <v>6.02</v>
      </c>
      <c r="CV93" s="745">
        <v>6.05</v>
      </c>
      <c r="CW93" s="745">
        <v>6.09</v>
      </c>
      <c r="CX93" s="745">
        <v>6.13</v>
      </c>
      <c r="CY93" s="745">
        <v>6.16</v>
      </c>
      <c r="CZ93" s="745">
        <v>6.2</v>
      </c>
      <c r="DA93" s="745">
        <v>6.23</v>
      </c>
      <c r="DB93" s="745">
        <v>6.27</v>
      </c>
      <c r="DC93" s="745">
        <v>6.31</v>
      </c>
      <c r="DD93" s="745">
        <v>6.34</v>
      </c>
      <c r="DE93" s="745">
        <v>6.38</v>
      </c>
      <c r="DF93" s="745">
        <v>6.41</v>
      </c>
      <c r="DG93" s="745">
        <v>6.45</v>
      </c>
      <c r="DH93" s="745">
        <v>6.48</v>
      </c>
      <c r="DI93" s="745">
        <v>6.52</v>
      </c>
      <c r="DJ93" s="745">
        <v>6.56</v>
      </c>
      <c r="DK93" s="745">
        <v>6.59</v>
      </c>
      <c r="DL93" s="745">
        <v>6.63</v>
      </c>
      <c r="DM93" s="745">
        <v>6.66</v>
      </c>
      <c r="DN93" s="745">
        <v>6.7</v>
      </c>
      <c r="DO93" s="745">
        <v>6.73</v>
      </c>
      <c r="DP93" s="745">
        <v>6.77</v>
      </c>
      <c r="DQ93" s="745">
        <v>6.8</v>
      </c>
      <c r="DR93" s="745">
        <v>6.83</v>
      </c>
    </row>
    <row r="94" spans="1:122">
      <c r="A94" s="912">
        <v>92</v>
      </c>
      <c r="B94" s="92"/>
      <c r="C94" s="92"/>
      <c r="D94" s="92"/>
      <c r="E94" s="92"/>
      <c r="F94" s="92"/>
      <c r="G94" s="92"/>
      <c r="H94" s="92"/>
      <c r="I94" s="92"/>
      <c r="J94" s="92"/>
      <c r="K94" s="92"/>
      <c r="L94" s="92"/>
      <c r="M94" s="92"/>
      <c r="N94" s="92"/>
      <c r="O94" s="92"/>
      <c r="P94" s="92"/>
      <c r="Q94" s="92"/>
      <c r="R94" s="92"/>
      <c r="S94" s="92"/>
      <c r="T94" s="92"/>
      <c r="U94" s="92"/>
      <c r="V94" s="745"/>
      <c r="W94" s="745">
        <v>3.17</v>
      </c>
      <c r="X94" s="745">
        <v>3.12</v>
      </c>
      <c r="Y94" s="745">
        <v>3.19</v>
      </c>
      <c r="Z94" s="745">
        <v>3.16</v>
      </c>
      <c r="AA94" s="745">
        <v>3.21</v>
      </c>
      <c r="AB94" s="745">
        <v>3.26</v>
      </c>
      <c r="AC94" s="745">
        <v>3.29</v>
      </c>
      <c r="AD94" s="745">
        <v>3.32</v>
      </c>
      <c r="AE94" s="745">
        <v>3.34</v>
      </c>
      <c r="AF94" s="745">
        <v>3.37</v>
      </c>
      <c r="AG94" s="745">
        <v>3.4</v>
      </c>
      <c r="AH94" s="745">
        <v>3.42</v>
      </c>
      <c r="AI94" s="745">
        <v>3.45</v>
      </c>
      <c r="AJ94" s="745">
        <v>3.48</v>
      </c>
      <c r="AK94" s="745">
        <v>3.51</v>
      </c>
      <c r="AL94" s="745">
        <v>3.53</v>
      </c>
      <c r="AM94" s="745">
        <v>3.56</v>
      </c>
      <c r="AN94" s="745">
        <v>3.59</v>
      </c>
      <c r="AO94" s="745">
        <v>3.63</v>
      </c>
      <c r="AP94" s="745">
        <v>3.66</v>
      </c>
      <c r="AQ94" s="745">
        <v>3.69</v>
      </c>
      <c r="AR94" s="745">
        <v>3.72</v>
      </c>
      <c r="AS94" s="745">
        <v>3.75</v>
      </c>
      <c r="AT94" s="745">
        <v>3.79</v>
      </c>
      <c r="AU94" s="745">
        <v>3.82</v>
      </c>
      <c r="AV94" s="745">
        <v>3.85</v>
      </c>
      <c r="AW94" s="745">
        <v>3.88</v>
      </c>
      <c r="AX94" s="745">
        <v>3.91</v>
      </c>
      <c r="AY94" s="745">
        <v>3.95</v>
      </c>
      <c r="AZ94" s="745">
        <v>3.98</v>
      </c>
      <c r="BA94" s="745">
        <v>4.01</v>
      </c>
      <c r="BB94" s="745">
        <v>4.05</v>
      </c>
      <c r="BC94" s="745">
        <v>4.08</v>
      </c>
      <c r="BD94" s="745">
        <v>4.1100000000000003</v>
      </c>
      <c r="BE94" s="745">
        <v>4.1399999999999997</v>
      </c>
      <c r="BF94" s="745">
        <v>4.18</v>
      </c>
      <c r="BG94" s="745">
        <v>4.21</v>
      </c>
      <c r="BH94" s="745">
        <v>4.24</v>
      </c>
      <c r="BI94" s="745">
        <v>4.28</v>
      </c>
      <c r="BJ94" s="745">
        <v>4.3099999999999996</v>
      </c>
      <c r="BK94" s="745">
        <v>4.34</v>
      </c>
      <c r="BL94" s="745">
        <v>4.38</v>
      </c>
      <c r="BM94" s="745">
        <v>4.41</v>
      </c>
      <c r="BN94" s="745">
        <v>4.4400000000000004</v>
      </c>
      <c r="BO94" s="745">
        <v>4.47</v>
      </c>
      <c r="BP94" s="745">
        <v>4.51</v>
      </c>
      <c r="BQ94" s="745">
        <v>4.54</v>
      </c>
      <c r="BR94" s="745">
        <v>4.58</v>
      </c>
      <c r="BS94" s="745">
        <v>4.6100000000000003</v>
      </c>
      <c r="BT94" s="857">
        <v>4.6399999999999997</v>
      </c>
      <c r="BU94" s="745">
        <v>4.68</v>
      </c>
      <c r="BV94" s="745">
        <v>4.71</v>
      </c>
      <c r="BW94" s="745">
        <v>4.74</v>
      </c>
      <c r="BX94" s="745">
        <v>4.78</v>
      </c>
      <c r="BY94" s="745">
        <v>4.8099999999999996</v>
      </c>
      <c r="BZ94" s="745">
        <v>4.84</v>
      </c>
      <c r="CA94" s="745">
        <v>4.88</v>
      </c>
      <c r="CB94" s="745">
        <v>4.91</v>
      </c>
      <c r="CC94" s="745">
        <v>4.9400000000000004</v>
      </c>
      <c r="CD94" s="745">
        <v>4.9800000000000004</v>
      </c>
      <c r="CE94" s="745">
        <v>5.01</v>
      </c>
      <c r="CF94" s="745">
        <v>5.04</v>
      </c>
      <c r="CG94" s="745">
        <v>5.08</v>
      </c>
      <c r="CH94" s="745">
        <v>5.1100000000000003</v>
      </c>
      <c r="CI94" s="745">
        <v>5.14</v>
      </c>
      <c r="CJ94" s="745">
        <v>5.18</v>
      </c>
      <c r="CK94" s="745">
        <v>5.21</v>
      </c>
      <c r="CL94" s="745">
        <v>5.24</v>
      </c>
      <c r="CM94" s="745">
        <v>5.28</v>
      </c>
      <c r="CN94" s="745">
        <v>5.31</v>
      </c>
      <c r="CO94" s="745">
        <v>5.34</v>
      </c>
      <c r="CP94" s="745">
        <v>5.38</v>
      </c>
      <c r="CQ94" s="745">
        <v>5.41</v>
      </c>
      <c r="CR94" s="745">
        <v>5.44</v>
      </c>
      <c r="CS94" s="745">
        <v>5.48</v>
      </c>
      <c r="CT94" s="745">
        <v>5.51</v>
      </c>
      <c r="CU94" s="745">
        <v>5.54</v>
      </c>
      <c r="CV94" s="745">
        <v>5.58</v>
      </c>
      <c r="CW94" s="745">
        <v>5.61</v>
      </c>
      <c r="CX94" s="745">
        <v>5.64</v>
      </c>
      <c r="CY94" s="745">
        <v>5.67</v>
      </c>
      <c r="CZ94" s="745">
        <v>5.71</v>
      </c>
      <c r="DA94" s="745">
        <v>5.74</v>
      </c>
      <c r="DB94" s="745">
        <v>5.77</v>
      </c>
      <c r="DC94" s="745">
        <v>5.8</v>
      </c>
      <c r="DD94" s="745">
        <v>5.84</v>
      </c>
      <c r="DE94" s="745">
        <v>5.87</v>
      </c>
      <c r="DF94" s="745">
        <v>5.9</v>
      </c>
      <c r="DG94" s="745">
        <v>5.93</v>
      </c>
      <c r="DH94" s="745">
        <v>5.97</v>
      </c>
      <c r="DI94" s="745">
        <v>6</v>
      </c>
      <c r="DJ94" s="745">
        <v>6.03</v>
      </c>
      <c r="DK94" s="745">
        <v>6.06</v>
      </c>
      <c r="DL94" s="745">
        <v>6.09</v>
      </c>
      <c r="DM94" s="745">
        <v>6.13</v>
      </c>
      <c r="DN94" s="745">
        <v>6.16</v>
      </c>
      <c r="DO94" s="745">
        <v>6.19</v>
      </c>
      <c r="DP94" s="745">
        <v>6.22</v>
      </c>
      <c r="DQ94" s="745">
        <v>6.25</v>
      </c>
      <c r="DR94" s="745">
        <v>6.28</v>
      </c>
    </row>
    <row r="95" spans="1:122">
      <c r="A95" s="912">
        <v>93</v>
      </c>
      <c r="B95" s="92"/>
      <c r="C95" s="92"/>
      <c r="D95" s="92"/>
      <c r="E95" s="92"/>
      <c r="F95" s="92"/>
      <c r="G95" s="92"/>
      <c r="H95" s="92"/>
      <c r="I95" s="92"/>
      <c r="J95" s="92"/>
      <c r="K95" s="92"/>
      <c r="L95" s="92"/>
      <c r="M95" s="92"/>
      <c r="N95" s="92"/>
      <c r="O95" s="92"/>
      <c r="P95" s="92"/>
      <c r="Q95" s="92"/>
      <c r="R95" s="92"/>
      <c r="S95" s="92"/>
      <c r="T95" s="92"/>
      <c r="U95" s="92"/>
      <c r="V95" s="745"/>
      <c r="W95" s="745">
        <v>2.93</v>
      </c>
      <c r="X95" s="745">
        <v>2.92</v>
      </c>
      <c r="Y95" s="745">
        <v>2.94</v>
      </c>
      <c r="Z95" s="745">
        <v>2.95</v>
      </c>
      <c r="AA95" s="745">
        <v>3.01</v>
      </c>
      <c r="AB95" s="745">
        <v>3.03</v>
      </c>
      <c r="AC95" s="745">
        <v>3.05</v>
      </c>
      <c r="AD95" s="745">
        <v>3.08</v>
      </c>
      <c r="AE95" s="745">
        <v>3.1</v>
      </c>
      <c r="AF95" s="745">
        <v>3.13</v>
      </c>
      <c r="AG95" s="745">
        <v>3.15</v>
      </c>
      <c r="AH95" s="745">
        <v>3.18</v>
      </c>
      <c r="AI95" s="745">
        <v>3.2</v>
      </c>
      <c r="AJ95" s="745">
        <v>3.22</v>
      </c>
      <c r="AK95" s="745">
        <v>3.25</v>
      </c>
      <c r="AL95" s="745">
        <v>3.27</v>
      </c>
      <c r="AM95" s="745">
        <v>3.3</v>
      </c>
      <c r="AN95" s="745">
        <v>3.33</v>
      </c>
      <c r="AO95" s="745">
        <v>3.36</v>
      </c>
      <c r="AP95" s="745">
        <v>3.39</v>
      </c>
      <c r="AQ95" s="745">
        <v>3.42</v>
      </c>
      <c r="AR95" s="745">
        <v>3.45</v>
      </c>
      <c r="AS95" s="745">
        <v>3.48</v>
      </c>
      <c r="AT95" s="745">
        <v>3.51</v>
      </c>
      <c r="AU95" s="745">
        <v>3.53</v>
      </c>
      <c r="AV95" s="745">
        <v>3.56</v>
      </c>
      <c r="AW95" s="745">
        <v>3.59</v>
      </c>
      <c r="AX95" s="745">
        <v>3.62</v>
      </c>
      <c r="AY95" s="745">
        <v>3.65</v>
      </c>
      <c r="AZ95" s="745">
        <v>3.68</v>
      </c>
      <c r="BA95" s="745">
        <v>3.71</v>
      </c>
      <c r="BB95" s="745">
        <v>3.74</v>
      </c>
      <c r="BC95" s="745">
        <v>3.77</v>
      </c>
      <c r="BD95" s="745">
        <v>3.8</v>
      </c>
      <c r="BE95" s="745">
        <v>3.83</v>
      </c>
      <c r="BF95" s="745">
        <v>3.86</v>
      </c>
      <c r="BG95" s="745">
        <v>3.89</v>
      </c>
      <c r="BH95" s="745">
        <v>3.92</v>
      </c>
      <c r="BI95" s="745">
        <v>3.95</v>
      </c>
      <c r="BJ95" s="745">
        <v>3.98</v>
      </c>
      <c r="BK95" s="745">
        <v>4.01</v>
      </c>
      <c r="BL95" s="745">
        <v>4.04</v>
      </c>
      <c r="BM95" s="745">
        <v>4.07</v>
      </c>
      <c r="BN95" s="745">
        <v>4.0999999999999996</v>
      </c>
      <c r="BO95" s="745">
        <v>4.13</v>
      </c>
      <c r="BP95" s="745">
        <v>4.16</v>
      </c>
      <c r="BQ95" s="745">
        <v>4.1900000000000004</v>
      </c>
      <c r="BR95" s="745">
        <v>4.22</v>
      </c>
      <c r="BS95" s="745">
        <v>4.25</v>
      </c>
      <c r="BT95" s="857">
        <v>4.28</v>
      </c>
      <c r="BU95" s="745">
        <v>4.3099999999999996</v>
      </c>
      <c r="BV95" s="745">
        <v>4.34</v>
      </c>
      <c r="BW95" s="745">
        <v>4.37</v>
      </c>
      <c r="BX95" s="745">
        <v>4.4000000000000004</v>
      </c>
      <c r="BY95" s="745">
        <v>4.43</v>
      </c>
      <c r="BZ95" s="745">
        <v>4.46</v>
      </c>
      <c r="CA95" s="745">
        <v>4.49</v>
      </c>
      <c r="CB95" s="745">
        <v>4.5199999999999996</v>
      </c>
      <c r="CC95" s="745">
        <v>4.55</v>
      </c>
      <c r="CD95" s="745">
        <v>4.58</v>
      </c>
      <c r="CE95" s="745">
        <v>4.6100000000000003</v>
      </c>
      <c r="CF95" s="745">
        <v>4.6399999999999997</v>
      </c>
      <c r="CG95" s="745">
        <v>4.67</v>
      </c>
      <c r="CH95" s="745">
        <v>4.7</v>
      </c>
      <c r="CI95" s="745">
        <v>4.7300000000000004</v>
      </c>
      <c r="CJ95" s="745">
        <v>4.76</v>
      </c>
      <c r="CK95" s="745">
        <v>4.79</v>
      </c>
      <c r="CL95" s="745">
        <v>4.82</v>
      </c>
      <c r="CM95" s="745">
        <v>4.8499999999999996</v>
      </c>
      <c r="CN95" s="745">
        <v>4.88</v>
      </c>
      <c r="CO95" s="745">
        <v>4.91</v>
      </c>
      <c r="CP95" s="745">
        <v>4.9400000000000004</v>
      </c>
      <c r="CQ95" s="745">
        <v>4.97</v>
      </c>
      <c r="CR95" s="745">
        <v>5</v>
      </c>
      <c r="CS95" s="745">
        <v>5.03</v>
      </c>
      <c r="CT95" s="745">
        <v>5.0599999999999996</v>
      </c>
      <c r="CU95" s="745">
        <v>5.09</v>
      </c>
      <c r="CV95" s="745">
        <v>5.12</v>
      </c>
      <c r="CW95" s="745">
        <v>5.15</v>
      </c>
      <c r="CX95" s="745">
        <v>5.18</v>
      </c>
      <c r="CY95" s="745">
        <v>5.21</v>
      </c>
      <c r="CZ95" s="745">
        <v>5.24</v>
      </c>
      <c r="DA95" s="745">
        <v>5.27</v>
      </c>
      <c r="DB95" s="745">
        <v>5.3</v>
      </c>
      <c r="DC95" s="745">
        <v>5.33</v>
      </c>
      <c r="DD95" s="745">
        <v>5.36</v>
      </c>
      <c r="DE95" s="745">
        <v>5.38</v>
      </c>
      <c r="DF95" s="745">
        <v>5.41</v>
      </c>
      <c r="DG95" s="745">
        <v>5.44</v>
      </c>
      <c r="DH95" s="745">
        <v>5.47</v>
      </c>
      <c r="DI95" s="745">
        <v>5.5</v>
      </c>
      <c r="DJ95" s="745">
        <v>5.53</v>
      </c>
      <c r="DK95" s="745">
        <v>5.56</v>
      </c>
      <c r="DL95" s="745">
        <v>5.59</v>
      </c>
      <c r="DM95" s="745">
        <v>5.61</v>
      </c>
      <c r="DN95" s="745">
        <v>5.64</v>
      </c>
      <c r="DO95" s="745">
        <v>5.67</v>
      </c>
      <c r="DP95" s="745">
        <v>5.7</v>
      </c>
      <c r="DQ95" s="745">
        <v>5.73</v>
      </c>
      <c r="DR95" s="745">
        <v>5.76</v>
      </c>
    </row>
    <row r="96" spans="1:122">
      <c r="A96" s="912">
        <v>94</v>
      </c>
      <c r="B96" s="92"/>
      <c r="C96" s="92"/>
      <c r="D96" s="92"/>
      <c r="E96" s="92"/>
      <c r="F96" s="92"/>
      <c r="G96" s="92"/>
      <c r="H96" s="92"/>
      <c r="I96" s="92"/>
      <c r="J96" s="92"/>
      <c r="K96" s="92"/>
      <c r="L96" s="92"/>
      <c r="M96" s="92"/>
      <c r="N96" s="92"/>
      <c r="O96" s="92"/>
      <c r="P96" s="92"/>
      <c r="Q96" s="92"/>
      <c r="R96" s="92"/>
      <c r="S96" s="92"/>
      <c r="T96" s="92"/>
      <c r="U96" s="92"/>
      <c r="V96" s="745"/>
      <c r="W96" s="745">
        <v>2.77</v>
      </c>
      <c r="X96" s="745">
        <v>2.67</v>
      </c>
      <c r="Y96" s="745">
        <v>2.73</v>
      </c>
      <c r="Z96" s="745">
        <v>2.76</v>
      </c>
      <c r="AA96" s="745">
        <v>2.79</v>
      </c>
      <c r="AB96" s="745">
        <v>2.81</v>
      </c>
      <c r="AC96" s="745">
        <v>2.84</v>
      </c>
      <c r="AD96" s="745">
        <v>2.86</v>
      </c>
      <c r="AE96" s="745">
        <v>2.88</v>
      </c>
      <c r="AF96" s="745">
        <v>2.9</v>
      </c>
      <c r="AG96" s="745">
        <v>2.92</v>
      </c>
      <c r="AH96" s="745">
        <v>2.95</v>
      </c>
      <c r="AI96" s="745">
        <v>2.97</v>
      </c>
      <c r="AJ96" s="745">
        <v>2.99</v>
      </c>
      <c r="AK96" s="745">
        <v>3.01</v>
      </c>
      <c r="AL96" s="745">
        <v>3.04</v>
      </c>
      <c r="AM96" s="745">
        <v>3.06</v>
      </c>
      <c r="AN96" s="745">
        <v>3.09</v>
      </c>
      <c r="AO96" s="745">
        <v>3.11</v>
      </c>
      <c r="AP96" s="745">
        <v>3.14</v>
      </c>
      <c r="AQ96" s="745">
        <v>3.17</v>
      </c>
      <c r="AR96" s="745">
        <v>3.19</v>
      </c>
      <c r="AS96" s="745">
        <v>3.22</v>
      </c>
      <c r="AT96" s="745">
        <v>3.25</v>
      </c>
      <c r="AU96" s="745">
        <v>3.27</v>
      </c>
      <c r="AV96" s="745">
        <v>3.3</v>
      </c>
      <c r="AW96" s="745">
        <v>3.32</v>
      </c>
      <c r="AX96" s="745">
        <v>3.35</v>
      </c>
      <c r="AY96" s="745">
        <v>3.38</v>
      </c>
      <c r="AZ96" s="745">
        <v>3.4</v>
      </c>
      <c r="BA96" s="745">
        <v>3.43</v>
      </c>
      <c r="BB96" s="745">
        <v>3.46</v>
      </c>
      <c r="BC96" s="745">
        <v>3.48</v>
      </c>
      <c r="BD96" s="745">
        <v>3.51</v>
      </c>
      <c r="BE96" s="745">
        <v>3.54</v>
      </c>
      <c r="BF96" s="745">
        <v>3.56</v>
      </c>
      <c r="BG96" s="745">
        <v>3.59</v>
      </c>
      <c r="BH96" s="745">
        <v>3.62</v>
      </c>
      <c r="BI96" s="745">
        <v>3.64</v>
      </c>
      <c r="BJ96" s="745">
        <v>3.67</v>
      </c>
      <c r="BK96" s="745">
        <v>3.7</v>
      </c>
      <c r="BL96" s="745">
        <v>3.73</v>
      </c>
      <c r="BM96" s="745">
        <v>3.75</v>
      </c>
      <c r="BN96" s="745">
        <v>3.78</v>
      </c>
      <c r="BO96" s="745">
        <v>3.81</v>
      </c>
      <c r="BP96" s="745">
        <v>3.83</v>
      </c>
      <c r="BQ96" s="745">
        <v>3.86</v>
      </c>
      <c r="BR96" s="745">
        <v>3.89</v>
      </c>
      <c r="BS96" s="745">
        <v>3.91</v>
      </c>
      <c r="BT96" s="857">
        <v>3.94</v>
      </c>
      <c r="BU96" s="745">
        <v>3.97</v>
      </c>
      <c r="BV96" s="745">
        <v>3.99</v>
      </c>
      <c r="BW96" s="745">
        <v>4.0199999999999996</v>
      </c>
      <c r="BX96" s="745">
        <v>4.05</v>
      </c>
      <c r="BY96" s="745">
        <v>4.08</v>
      </c>
      <c r="BZ96" s="745">
        <v>4.0999999999999996</v>
      </c>
      <c r="CA96" s="745">
        <v>4.13</v>
      </c>
      <c r="CB96" s="745">
        <v>4.16</v>
      </c>
      <c r="CC96" s="745">
        <v>4.18</v>
      </c>
      <c r="CD96" s="745">
        <v>4.21</v>
      </c>
      <c r="CE96" s="745">
        <v>4.24</v>
      </c>
      <c r="CF96" s="745">
        <v>4.26</v>
      </c>
      <c r="CG96" s="745">
        <v>4.29</v>
      </c>
      <c r="CH96" s="745">
        <v>4.32</v>
      </c>
      <c r="CI96" s="745">
        <v>4.34</v>
      </c>
      <c r="CJ96" s="745">
        <v>4.37</v>
      </c>
      <c r="CK96" s="745">
        <v>4.4000000000000004</v>
      </c>
      <c r="CL96" s="745">
        <v>4.42</v>
      </c>
      <c r="CM96" s="745">
        <v>4.45</v>
      </c>
      <c r="CN96" s="745">
        <v>4.4800000000000004</v>
      </c>
      <c r="CO96" s="745">
        <v>4.5</v>
      </c>
      <c r="CP96" s="745">
        <v>4.53</v>
      </c>
      <c r="CQ96" s="745">
        <v>4.5599999999999996</v>
      </c>
      <c r="CR96" s="745">
        <v>4.58</v>
      </c>
      <c r="CS96" s="745">
        <v>4.6100000000000003</v>
      </c>
      <c r="CT96" s="745">
        <v>4.6399999999999997</v>
      </c>
      <c r="CU96" s="745">
        <v>4.66</v>
      </c>
      <c r="CV96" s="745">
        <v>4.6900000000000004</v>
      </c>
      <c r="CW96" s="745">
        <v>4.72</v>
      </c>
      <c r="CX96" s="745">
        <v>4.74</v>
      </c>
      <c r="CY96" s="745">
        <v>4.7699999999999996</v>
      </c>
      <c r="CZ96" s="745">
        <v>4.79</v>
      </c>
      <c r="DA96" s="745">
        <v>4.82</v>
      </c>
      <c r="DB96" s="745">
        <v>4.8499999999999996</v>
      </c>
      <c r="DC96" s="745">
        <v>4.87</v>
      </c>
      <c r="DD96" s="745">
        <v>4.9000000000000004</v>
      </c>
      <c r="DE96" s="745">
        <v>4.92</v>
      </c>
      <c r="DF96" s="745">
        <v>4.95</v>
      </c>
      <c r="DG96" s="745">
        <v>4.97</v>
      </c>
      <c r="DH96" s="745">
        <v>5</v>
      </c>
      <c r="DI96" s="745">
        <v>5.03</v>
      </c>
      <c r="DJ96" s="745">
        <v>5.05</v>
      </c>
      <c r="DK96" s="745">
        <v>5.08</v>
      </c>
      <c r="DL96" s="745">
        <v>5.0999999999999996</v>
      </c>
      <c r="DM96" s="745">
        <v>5.13</v>
      </c>
      <c r="DN96" s="745">
        <v>5.15</v>
      </c>
      <c r="DO96" s="745">
        <v>5.18</v>
      </c>
      <c r="DP96" s="745">
        <v>5.2</v>
      </c>
      <c r="DQ96" s="745">
        <v>5.23</v>
      </c>
      <c r="DR96" s="745">
        <v>5.25</v>
      </c>
    </row>
    <row r="97" spans="1:122">
      <c r="A97" s="912">
        <v>95</v>
      </c>
      <c r="B97" s="92"/>
      <c r="C97" s="92"/>
      <c r="D97" s="92"/>
      <c r="E97" s="92"/>
      <c r="F97" s="92"/>
      <c r="G97" s="92"/>
      <c r="H97" s="92"/>
      <c r="I97" s="92"/>
      <c r="J97" s="92"/>
      <c r="K97" s="92"/>
      <c r="L97" s="92"/>
      <c r="M97" s="92"/>
      <c r="N97" s="92"/>
      <c r="O97" s="92"/>
      <c r="P97" s="92"/>
      <c r="Q97" s="92"/>
      <c r="R97" s="92"/>
      <c r="S97" s="92"/>
      <c r="T97" s="92"/>
      <c r="U97" s="92"/>
      <c r="V97" s="745"/>
      <c r="W97" s="745">
        <v>2.58</v>
      </c>
      <c r="X97" s="745">
        <v>2.4900000000000002</v>
      </c>
      <c r="Y97" s="745">
        <v>2.54</v>
      </c>
      <c r="Z97" s="745">
        <v>2.57</v>
      </c>
      <c r="AA97" s="745">
        <v>2.6</v>
      </c>
      <c r="AB97" s="745">
        <v>2.62</v>
      </c>
      <c r="AC97" s="745">
        <v>2.64</v>
      </c>
      <c r="AD97" s="745">
        <v>2.66</v>
      </c>
      <c r="AE97" s="745">
        <v>2.68</v>
      </c>
      <c r="AF97" s="745">
        <v>2.7</v>
      </c>
      <c r="AG97" s="745">
        <v>2.72</v>
      </c>
      <c r="AH97" s="745">
        <v>2.74</v>
      </c>
      <c r="AI97" s="745">
        <v>2.76</v>
      </c>
      <c r="AJ97" s="745">
        <v>2.78</v>
      </c>
      <c r="AK97" s="745">
        <v>2.8</v>
      </c>
      <c r="AL97" s="745">
        <v>2.82</v>
      </c>
      <c r="AM97" s="745">
        <v>2.84</v>
      </c>
      <c r="AN97" s="745">
        <v>2.87</v>
      </c>
      <c r="AO97" s="745">
        <v>2.89</v>
      </c>
      <c r="AP97" s="745">
        <v>2.91</v>
      </c>
      <c r="AQ97" s="745">
        <v>2.94</v>
      </c>
      <c r="AR97" s="745">
        <v>2.96</v>
      </c>
      <c r="AS97" s="745">
        <v>2.98</v>
      </c>
      <c r="AT97" s="745">
        <v>3.01</v>
      </c>
      <c r="AU97" s="745">
        <v>3.03</v>
      </c>
      <c r="AV97" s="745">
        <v>3.05</v>
      </c>
      <c r="AW97" s="745">
        <v>3.08</v>
      </c>
      <c r="AX97" s="745">
        <v>3.1</v>
      </c>
      <c r="AY97" s="745">
        <v>3.12</v>
      </c>
      <c r="AZ97" s="745">
        <v>3.15</v>
      </c>
      <c r="BA97" s="745">
        <v>3.17</v>
      </c>
      <c r="BB97" s="745">
        <v>3.2</v>
      </c>
      <c r="BC97" s="745">
        <v>3.22</v>
      </c>
      <c r="BD97" s="745">
        <v>3.24</v>
      </c>
      <c r="BE97" s="745">
        <v>3.27</v>
      </c>
      <c r="BF97" s="745">
        <v>3.29</v>
      </c>
      <c r="BG97" s="745">
        <v>3.31</v>
      </c>
      <c r="BH97" s="745">
        <v>3.34</v>
      </c>
      <c r="BI97" s="745">
        <v>3.36</v>
      </c>
      <c r="BJ97" s="745">
        <v>3.39</v>
      </c>
      <c r="BK97" s="745">
        <v>3.41</v>
      </c>
      <c r="BL97" s="745">
        <v>3.43</v>
      </c>
      <c r="BM97" s="745">
        <v>3.46</v>
      </c>
      <c r="BN97" s="745">
        <v>3.48</v>
      </c>
      <c r="BO97" s="745">
        <v>3.5</v>
      </c>
      <c r="BP97" s="745">
        <v>3.53</v>
      </c>
      <c r="BQ97" s="745">
        <v>3.55</v>
      </c>
      <c r="BR97" s="745">
        <v>3.58</v>
      </c>
      <c r="BS97" s="745">
        <v>3.6</v>
      </c>
      <c r="BT97" s="857">
        <v>3.62</v>
      </c>
      <c r="BU97" s="745">
        <v>3.65</v>
      </c>
      <c r="BV97" s="745">
        <v>3.67</v>
      </c>
      <c r="BW97" s="745">
        <v>3.69</v>
      </c>
      <c r="BX97" s="745">
        <v>3.72</v>
      </c>
      <c r="BY97" s="745">
        <v>3.74</v>
      </c>
      <c r="BZ97" s="745">
        <v>3.77</v>
      </c>
      <c r="CA97" s="745">
        <v>3.79</v>
      </c>
      <c r="CB97" s="745">
        <v>3.81</v>
      </c>
      <c r="CC97" s="745">
        <v>3.84</v>
      </c>
      <c r="CD97" s="745">
        <v>3.86</v>
      </c>
      <c r="CE97" s="745">
        <v>3.88</v>
      </c>
      <c r="CF97" s="745">
        <v>3.91</v>
      </c>
      <c r="CG97" s="745">
        <v>3.93</v>
      </c>
      <c r="CH97" s="745">
        <v>3.96</v>
      </c>
      <c r="CI97" s="745">
        <v>3.98</v>
      </c>
      <c r="CJ97" s="745">
        <v>4</v>
      </c>
      <c r="CK97" s="745">
        <v>4.03</v>
      </c>
      <c r="CL97" s="745">
        <v>4.05</v>
      </c>
      <c r="CM97" s="745">
        <v>4.07</v>
      </c>
      <c r="CN97" s="745">
        <v>4.0999999999999996</v>
      </c>
      <c r="CO97" s="745">
        <v>4.12</v>
      </c>
      <c r="CP97" s="745">
        <v>4.1399999999999997</v>
      </c>
      <c r="CQ97" s="745">
        <v>4.17</v>
      </c>
      <c r="CR97" s="745">
        <v>4.1900000000000004</v>
      </c>
      <c r="CS97" s="745">
        <v>4.21</v>
      </c>
      <c r="CT97" s="745">
        <v>4.2300000000000004</v>
      </c>
      <c r="CU97" s="745">
        <v>4.26</v>
      </c>
      <c r="CV97" s="745">
        <v>4.28</v>
      </c>
      <c r="CW97" s="745">
        <v>4.3</v>
      </c>
      <c r="CX97" s="745">
        <v>4.33</v>
      </c>
      <c r="CY97" s="745">
        <v>4.3499999999999996</v>
      </c>
      <c r="CZ97" s="745">
        <v>4.37</v>
      </c>
      <c r="DA97" s="745">
        <v>4.3899999999999997</v>
      </c>
      <c r="DB97" s="745">
        <v>4.42</v>
      </c>
      <c r="DC97" s="745">
        <v>4.4400000000000004</v>
      </c>
      <c r="DD97" s="745">
        <v>4.46</v>
      </c>
      <c r="DE97" s="745">
        <v>4.4800000000000004</v>
      </c>
      <c r="DF97" s="745">
        <v>4.51</v>
      </c>
      <c r="DG97" s="745">
        <v>4.53</v>
      </c>
      <c r="DH97" s="745">
        <v>4.55</v>
      </c>
      <c r="DI97" s="745">
        <v>4.57</v>
      </c>
      <c r="DJ97" s="745">
        <v>4.5999999999999996</v>
      </c>
      <c r="DK97" s="745">
        <v>4.62</v>
      </c>
      <c r="DL97" s="745">
        <v>4.6399999999999997</v>
      </c>
      <c r="DM97" s="745">
        <v>4.66</v>
      </c>
      <c r="DN97" s="745">
        <v>4.68</v>
      </c>
      <c r="DO97" s="745">
        <v>4.71</v>
      </c>
      <c r="DP97" s="745">
        <v>4.7300000000000004</v>
      </c>
      <c r="DQ97" s="745">
        <v>4.75</v>
      </c>
      <c r="DR97" s="745">
        <v>4.7699999999999996</v>
      </c>
    </row>
    <row r="98" spans="1:122">
      <c r="A98" s="912">
        <v>96</v>
      </c>
      <c r="B98" s="92"/>
      <c r="C98" s="92"/>
      <c r="D98" s="92"/>
      <c r="E98" s="92"/>
      <c r="F98" s="92"/>
      <c r="G98" s="92"/>
      <c r="H98" s="92"/>
      <c r="I98" s="92"/>
      <c r="J98" s="92"/>
      <c r="K98" s="92"/>
      <c r="L98" s="92"/>
      <c r="M98" s="92"/>
      <c r="N98" s="92"/>
      <c r="O98" s="92"/>
      <c r="P98" s="92"/>
      <c r="Q98" s="92"/>
      <c r="R98" s="92"/>
      <c r="S98" s="92"/>
      <c r="T98" s="92"/>
      <c r="U98" s="92"/>
      <c r="V98" s="745"/>
      <c r="W98" s="745">
        <v>2.41</v>
      </c>
      <c r="X98" s="745">
        <v>2.33</v>
      </c>
      <c r="Y98" s="745">
        <v>2.38</v>
      </c>
      <c r="Z98" s="745">
        <v>2.4</v>
      </c>
      <c r="AA98" s="745">
        <v>2.4300000000000002</v>
      </c>
      <c r="AB98" s="745">
        <v>2.4500000000000002</v>
      </c>
      <c r="AC98" s="745">
        <v>2.46</v>
      </c>
      <c r="AD98" s="745">
        <v>2.48</v>
      </c>
      <c r="AE98" s="745">
        <v>2.5</v>
      </c>
      <c r="AF98" s="745">
        <v>2.52</v>
      </c>
      <c r="AG98" s="745">
        <v>2.54</v>
      </c>
      <c r="AH98" s="745">
        <v>2.5499999999999998</v>
      </c>
      <c r="AI98" s="745">
        <v>2.57</v>
      </c>
      <c r="AJ98" s="745">
        <v>2.59</v>
      </c>
      <c r="AK98" s="745">
        <v>2.61</v>
      </c>
      <c r="AL98" s="745">
        <v>2.63</v>
      </c>
      <c r="AM98" s="745">
        <v>2.65</v>
      </c>
      <c r="AN98" s="745">
        <v>2.67</v>
      </c>
      <c r="AO98" s="745">
        <v>2.69</v>
      </c>
      <c r="AP98" s="745">
        <v>2.71</v>
      </c>
      <c r="AQ98" s="745">
        <v>2.73</v>
      </c>
      <c r="AR98" s="745">
        <v>2.75</v>
      </c>
      <c r="AS98" s="745">
        <v>2.77</v>
      </c>
      <c r="AT98" s="745">
        <v>2.79</v>
      </c>
      <c r="AU98" s="745">
        <v>2.81</v>
      </c>
      <c r="AV98" s="745">
        <v>2.84</v>
      </c>
      <c r="AW98" s="745">
        <v>2.86</v>
      </c>
      <c r="AX98" s="745">
        <v>2.88</v>
      </c>
      <c r="AY98" s="745">
        <v>2.9</v>
      </c>
      <c r="AZ98" s="745">
        <v>2.92</v>
      </c>
      <c r="BA98" s="745">
        <v>2.94</v>
      </c>
      <c r="BB98" s="745">
        <v>2.96</v>
      </c>
      <c r="BC98" s="745">
        <v>2.98</v>
      </c>
      <c r="BD98" s="745">
        <v>3</v>
      </c>
      <c r="BE98" s="745">
        <v>3.03</v>
      </c>
      <c r="BF98" s="745">
        <v>3.05</v>
      </c>
      <c r="BG98" s="745">
        <v>3.07</v>
      </c>
      <c r="BH98" s="745">
        <v>3.09</v>
      </c>
      <c r="BI98" s="745">
        <v>3.11</v>
      </c>
      <c r="BJ98" s="745">
        <v>3.13</v>
      </c>
      <c r="BK98" s="745">
        <v>3.15</v>
      </c>
      <c r="BL98" s="745">
        <v>3.17</v>
      </c>
      <c r="BM98" s="745">
        <v>3.2</v>
      </c>
      <c r="BN98" s="745">
        <v>3.22</v>
      </c>
      <c r="BO98" s="745">
        <v>3.24</v>
      </c>
      <c r="BP98" s="745">
        <v>3.26</v>
      </c>
      <c r="BQ98" s="745">
        <v>3.28</v>
      </c>
      <c r="BR98" s="745">
        <v>3.3</v>
      </c>
      <c r="BS98" s="745">
        <v>3.32</v>
      </c>
      <c r="BT98" s="857">
        <v>3.34</v>
      </c>
      <c r="BU98" s="745">
        <v>3.37</v>
      </c>
      <c r="BV98" s="745">
        <v>3.39</v>
      </c>
      <c r="BW98" s="745">
        <v>3.41</v>
      </c>
      <c r="BX98" s="745">
        <v>3.43</v>
      </c>
      <c r="BY98" s="745">
        <v>3.45</v>
      </c>
      <c r="BZ98" s="745">
        <v>3.47</v>
      </c>
      <c r="CA98" s="745">
        <v>3.49</v>
      </c>
      <c r="CB98" s="745">
        <v>3.51</v>
      </c>
      <c r="CC98" s="745">
        <v>3.53</v>
      </c>
      <c r="CD98" s="745">
        <v>3.55</v>
      </c>
      <c r="CE98" s="745">
        <v>3.58</v>
      </c>
      <c r="CF98" s="745">
        <v>3.6</v>
      </c>
      <c r="CG98" s="745">
        <v>3.62</v>
      </c>
      <c r="CH98" s="745">
        <v>3.64</v>
      </c>
      <c r="CI98" s="745">
        <v>3.66</v>
      </c>
      <c r="CJ98" s="745">
        <v>3.68</v>
      </c>
      <c r="CK98" s="745">
        <v>3.7</v>
      </c>
      <c r="CL98" s="745">
        <v>3.72</v>
      </c>
      <c r="CM98" s="745">
        <v>3.74</v>
      </c>
      <c r="CN98" s="745">
        <v>3.76</v>
      </c>
      <c r="CO98" s="745">
        <v>3.78</v>
      </c>
      <c r="CP98" s="745">
        <v>3.8</v>
      </c>
      <c r="CQ98" s="745">
        <v>3.82</v>
      </c>
      <c r="CR98" s="745">
        <v>3.84</v>
      </c>
      <c r="CS98" s="745">
        <v>3.86</v>
      </c>
      <c r="CT98" s="745">
        <v>3.88</v>
      </c>
      <c r="CU98" s="745">
        <v>3.9</v>
      </c>
      <c r="CV98" s="745">
        <v>3.92</v>
      </c>
      <c r="CW98" s="745">
        <v>3.94</v>
      </c>
      <c r="CX98" s="745">
        <v>3.96</v>
      </c>
      <c r="CY98" s="745">
        <v>3.98</v>
      </c>
      <c r="CZ98" s="745">
        <v>4</v>
      </c>
      <c r="DA98" s="745">
        <v>4.0199999999999996</v>
      </c>
      <c r="DB98" s="745">
        <v>4.04</v>
      </c>
      <c r="DC98" s="745">
        <v>4.0599999999999996</v>
      </c>
      <c r="DD98" s="745">
        <v>4.08</v>
      </c>
      <c r="DE98" s="745">
        <v>4.0999999999999996</v>
      </c>
      <c r="DF98" s="745">
        <v>4.12</v>
      </c>
      <c r="DG98" s="745">
        <v>4.1399999999999997</v>
      </c>
      <c r="DH98" s="745">
        <v>4.16</v>
      </c>
      <c r="DI98" s="745">
        <v>4.18</v>
      </c>
      <c r="DJ98" s="745">
        <v>4.2</v>
      </c>
      <c r="DK98" s="745">
        <v>4.22</v>
      </c>
      <c r="DL98" s="745">
        <v>4.24</v>
      </c>
      <c r="DM98" s="745">
        <v>4.26</v>
      </c>
      <c r="DN98" s="745">
        <v>4.28</v>
      </c>
      <c r="DO98" s="745">
        <v>4.3</v>
      </c>
      <c r="DP98" s="745">
        <v>4.32</v>
      </c>
      <c r="DQ98" s="745">
        <v>4.33</v>
      </c>
      <c r="DR98" s="745">
        <v>4.3499999999999996</v>
      </c>
    </row>
    <row r="99" spans="1:122">
      <c r="A99" s="912">
        <v>97</v>
      </c>
      <c r="B99" s="92"/>
      <c r="C99" s="92"/>
      <c r="D99" s="92"/>
      <c r="E99" s="92"/>
      <c r="F99" s="92"/>
      <c r="G99" s="92"/>
      <c r="H99" s="92"/>
      <c r="I99" s="92"/>
      <c r="J99" s="92"/>
      <c r="K99" s="92"/>
      <c r="L99" s="92"/>
      <c r="M99" s="92"/>
      <c r="N99" s="92"/>
      <c r="O99" s="92"/>
      <c r="P99" s="92"/>
      <c r="Q99" s="92"/>
      <c r="R99" s="92"/>
      <c r="S99" s="92"/>
      <c r="T99" s="92"/>
      <c r="U99" s="92"/>
      <c r="V99" s="745"/>
      <c r="W99" s="745">
        <v>2.25</v>
      </c>
      <c r="X99" s="745">
        <v>2.1800000000000002</v>
      </c>
      <c r="Y99" s="745">
        <v>2.23</v>
      </c>
      <c r="Z99" s="745">
        <v>2.25</v>
      </c>
      <c r="AA99" s="745">
        <v>2.27</v>
      </c>
      <c r="AB99" s="745">
        <v>2.29</v>
      </c>
      <c r="AC99" s="745">
        <v>2.31</v>
      </c>
      <c r="AD99" s="745">
        <v>2.3199999999999998</v>
      </c>
      <c r="AE99" s="745">
        <v>2.34</v>
      </c>
      <c r="AF99" s="745">
        <v>2.35</v>
      </c>
      <c r="AG99" s="745">
        <v>2.37</v>
      </c>
      <c r="AH99" s="745">
        <v>2.39</v>
      </c>
      <c r="AI99" s="745">
        <v>2.4</v>
      </c>
      <c r="AJ99" s="745">
        <v>2.42</v>
      </c>
      <c r="AK99" s="745">
        <v>2.44</v>
      </c>
      <c r="AL99" s="745">
        <v>2.4500000000000002</v>
      </c>
      <c r="AM99" s="745">
        <v>2.4700000000000002</v>
      </c>
      <c r="AN99" s="745">
        <v>2.4900000000000002</v>
      </c>
      <c r="AO99" s="745">
        <v>2.5099999999999998</v>
      </c>
      <c r="AP99" s="745">
        <v>2.5299999999999998</v>
      </c>
      <c r="AQ99" s="745">
        <v>2.5499999999999998</v>
      </c>
      <c r="AR99" s="745">
        <v>2.57</v>
      </c>
      <c r="AS99" s="745">
        <v>2.58</v>
      </c>
      <c r="AT99" s="745">
        <v>2.6</v>
      </c>
      <c r="AU99" s="745">
        <v>2.62</v>
      </c>
      <c r="AV99" s="745">
        <v>2.64</v>
      </c>
      <c r="AW99" s="745">
        <v>2.66</v>
      </c>
      <c r="AX99" s="745">
        <v>2.68</v>
      </c>
      <c r="AY99" s="745">
        <v>2.7</v>
      </c>
      <c r="AZ99" s="745">
        <v>2.72</v>
      </c>
      <c r="BA99" s="745">
        <v>2.74</v>
      </c>
      <c r="BB99" s="745">
        <v>2.76</v>
      </c>
      <c r="BC99" s="745">
        <v>2.78</v>
      </c>
      <c r="BD99" s="745">
        <v>2.79</v>
      </c>
      <c r="BE99" s="745">
        <v>2.81</v>
      </c>
      <c r="BF99" s="745">
        <v>2.83</v>
      </c>
      <c r="BG99" s="745">
        <v>2.85</v>
      </c>
      <c r="BH99" s="745">
        <v>2.87</v>
      </c>
      <c r="BI99" s="745">
        <v>2.89</v>
      </c>
      <c r="BJ99" s="745">
        <v>2.91</v>
      </c>
      <c r="BK99" s="745">
        <v>2.93</v>
      </c>
      <c r="BL99" s="745">
        <v>2.95</v>
      </c>
      <c r="BM99" s="745">
        <v>2.97</v>
      </c>
      <c r="BN99" s="745">
        <v>2.98</v>
      </c>
      <c r="BO99" s="745">
        <v>3</v>
      </c>
      <c r="BP99" s="745">
        <v>3.02</v>
      </c>
      <c r="BQ99" s="745">
        <v>3.04</v>
      </c>
      <c r="BR99" s="745">
        <v>3.06</v>
      </c>
      <c r="BS99" s="745">
        <v>3.08</v>
      </c>
      <c r="BT99" s="857">
        <v>3.1</v>
      </c>
      <c r="BU99" s="745">
        <v>3.12</v>
      </c>
      <c r="BV99" s="745">
        <v>3.14</v>
      </c>
      <c r="BW99" s="745">
        <v>3.15</v>
      </c>
      <c r="BX99" s="745">
        <v>3.17</v>
      </c>
      <c r="BY99" s="745">
        <v>3.19</v>
      </c>
      <c r="BZ99" s="745">
        <v>3.21</v>
      </c>
      <c r="CA99" s="745">
        <v>3.23</v>
      </c>
      <c r="CB99" s="745">
        <v>3.25</v>
      </c>
      <c r="CC99" s="745">
        <v>3.27</v>
      </c>
      <c r="CD99" s="745">
        <v>3.29</v>
      </c>
      <c r="CE99" s="745">
        <v>3.3</v>
      </c>
      <c r="CF99" s="745">
        <v>3.32</v>
      </c>
      <c r="CG99" s="745">
        <v>3.34</v>
      </c>
      <c r="CH99" s="745">
        <v>3.36</v>
      </c>
      <c r="CI99" s="745">
        <v>3.38</v>
      </c>
      <c r="CJ99" s="745">
        <v>3.4</v>
      </c>
      <c r="CK99" s="745">
        <v>3.41</v>
      </c>
      <c r="CL99" s="745">
        <v>3.43</v>
      </c>
      <c r="CM99" s="745">
        <v>3.45</v>
      </c>
      <c r="CN99" s="745">
        <v>3.47</v>
      </c>
      <c r="CO99" s="745">
        <v>3.49</v>
      </c>
      <c r="CP99" s="745">
        <v>3.51</v>
      </c>
      <c r="CQ99" s="745">
        <v>3.52</v>
      </c>
      <c r="CR99" s="745">
        <v>3.54</v>
      </c>
      <c r="CS99" s="745">
        <v>3.56</v>
      </c>
      <c r="CT99" s="745">
        <v>3.58</v>
      </c>
      <c r="CU99" s="745">
        <v>3.6</v>
      </c>
      <c r="CV99" s="745">
        <v>3.61</v>
      </c>
      <c r="CW99" s="745">
        <v>3.63</v>
      </c>
      <c r="CX99" s="745">
        <v>3.65</v>
      </c>
      <c r="CY99" s="745">
        <v>3.67</v>
      </c>
      <c r="CZ99" s="745">
        <v>3.68</v>
      </c>
      <c r="DA99" s="745">
        <v>3.7</v>
      </c>
      <c r="DB99" s="745">
        <v>3.72</v>
      </c>
      <c r="DC99" s="745">
        <v>3.74</v>
      </c>
      <c r="DD99" s="745">
        <v>3.75</v>
      </c>
      <c r="DE99" s="745">
        <v>3.77</v>
      </c>
      <c r="DF99" s="745">
        <v>3.79</v>
      </c>
      <c r="DG99" s="745">
        <v>3.81</v>
      </c>
      <c r="DH99" s="745">
        <v>3.82</v>
      </c>
      <c r="DI99" s="745">
        <v>3.84</v>
      </c>
      <c r="DJ99" s="745">
        <v>3.86</v>
      </c>
      <c r="DK99" s="745">
        <v>3.88</v>
      </c>
      <c r="DL99" s="745">
        <v>3.89</v>
      </c>
      <c r="DM99" s="745">
        <v>3.91</v>
      </c>
      <c r="DN99" s="745">
        <v>3.93</v>
      </c>
      <c r="DO99" s="745">
        <v>3.94</v>
      </c>
      <c r="DP99" s="745">
        <v>3.96</v>
      </c>
      <c r="DQ99" s="745">
        <v>3.98</v>
      </c>
      <c r="DR99" s="745">
        <v>3.99</v>
      </c>
    </row>
    <row r="100" spans="1:122">
      <c r="A100" s="912">
        <v>98</v>
      </c>
      <c r="B100" s="92"/>
      <c r="C100" s="92"/>
      <c r="D100" s="92"/>
      <c r="E100" s="92"/>
      <c r="F100" s="92"/>
      <c r="G100" s="92"/>
      <c r="H100" s="92"/>
      <c r="I100" s="92"/>
      <c r="J100" s="92"/>
      <c r="K100" s="92"/>
      <c r="L100" s="92"/>
      <c r="M100" s="92"/>
      <c r="N100" s="92"/>
      <c r="O100" s="92"/>
      <c r="P100" s="92"/>
      <c r="Q100" s="92"/>
      <c r="R100" s="92"/>
      <c r="S100" s="92"/>
      <c r="T100" s="92"/>
      <c r="U100" s="92"/>
      <c r="V100" s="745"/>
      <c r="W100" s="745">
        <v>2.12</v>
      </c>
      <c r="X100" s="745">
        <v>2.0499999999999998</v>
      </c>
      <c r="Y100" s="745">
        <v>2.09</v>
      </c>
      <c r="Z100" s="745">
        <v>2.11</v>
      </c>
      <c r="AA100" s="745">
        <v>2.13</v>
      </c>
      <c r="AB100" s="745">
        <v>2.15</v>
      </c>
      <c r="AC100" s="745">
        <v>2.16</v>
      </c>
      <c r="AD100" s="745">
        <v>2.1800000000000002</v>
      </c>
      <c r="AE100" s="745">
        <v>2.19</v>
      </c>
      <c r="AF100" s="745">
        <v>2.21</v>
      </c>
      <c r="AG100" s="745">
        <v>2.2200000000000002</v>
      </c>
      <c r="AH100" s="745">
        <v>2.2400000000000002</v>
      </c>
      <c r="AI100" s="745">
        <v>2.25</v>
      </c>
      <c r="AJ100" s="745">
        <v>2.27</v>
      </c>
      <c r="AK100" s="745">
        <v>2.2799999999999998</v>
      </c>
      <c r="AL100" s="745">
        <v>2.2999999999999998</v>
      </c>
      <c r="AM100" s="745">
        <v>2.3199999999999998</v>
      </c>
      <c r="AN100" s="745">
        <v>2.33</v>
      </c>
      <c r="AO100" s="745">
        <v>2.35</v>
      </c>
      <c r="AP100" s="745">
        <v>2.37</v>
      </c>
      <c r="AQ100" s="745">
        <v>2.38</v>
      </c>
      <c r="AR100" s="745">
        <v>2.4</v>
      </c>
      <c r="AS100" s="745">
        <v>2.42</v>
      </c>
      <c r="AT100" s="745">
        <v>2.44</v>
      </c>
      <c r="AU100" s="745">
        <v>2.4500000000000002</v>
      </c>
      <c r="AV100" s="745">
        <v>2.4700000000000002</v>
      </c>
      <c r="AW100" s="745">
        <v>2.4900000000000002</v>
      </c>
      <c r="AX100" s="745">
        <v>2.5</v>
      </c>
      <c r="AY100" s="745">
        <v>2.52</v>
      </c>
      <c r="AZ100" s="745">
        <v>2.54</v>
      </c>
      <c r="BA100" s="745">
        <v>2.56</v>
      </c>
      <c r="BB100" s="745">
        <v>2.57</v>
      </c>
      <c r="BC100" s="745">
        <v>2.59</v>
      </c>
      <c r="BD100" s="745">
        <v>2.61</v>
      </c>
      <c r="BE100" s="745">
        <v>2.63</v>
      </c>
      <c r="BF100" s="745">
        <v>2.64</v>
      </c>
      <c r="BG100" s="745">
        <v>2.66</v>
      </c>
      <c r="BH100" s="745">
        <v>2.68</v>
      </c>
      <c r="BI100" s="745">
        <v>2.69</v>
      </c>
      <c r="BJ100" s="745">
        <v>2.71</v>
      </c>
      <c r="BK100" s="745">
        <v>2.73</v>
      </c>
      <c r="BL100" s="745">
        <v>2.75</v>
      </c>
      <c r="BM100" s="745">
        <v>2.76</v>
      </c>
      <c r="BN100" s="745">
        <v>2.78</v>
      </c>
      <c r="BO100" s="745">
        <v>2.8</v>
      </c>
      <c r="BP100" s="745">
        <v>2.81</v>
      </c>
      <c r="BQ100" s="745">
        <v>2.83</v>
      </c>
      <c r="BR100" s="745">
        <v>2.85</v>
      </c>
      <c r="BS100" s="745">
        <v>2.86</v>
      </c>
      <c r="BT100" s="857">
        <v>2.88</v>
      </c>
      <c r="BU100" s="745">
        <v>2.9</v>
      </c>
      <c r="BV100" s="745">
        <v>2.92</v>
      </c>
      <c r="BW100" s="745">
        <v>2.93</v>
      </c>
      <c r="BX100" s="745">
        <v>2.95</v>
      </c>
      <c r="BY100" s="745">
        <v>2.97</v>
      </c>
      <c r="BZ100" s="745">
        <v>2.98</v>
      </c>
      <c r="CA100" s="745">
        <v>3</v>
      </c>
      <c r="CB100" s="745">
        <v>3.02</v>
      </c>
      <c r="CC100" s="745">
        <v>3.03</v>
      </c>
      <c r="CD100" s="745">
        <v>3.05</v>
      </c>
      <c r="CE100" s="745">
        <v>3.07</v>
      </c>
      <c r="CF100" s="745">
        <v>3.08</v>
      </c>
      <c r="CG100" s="745">
        <v>3.1</v>
      </c>
      <c r="CH100" s="745">
        <v>3.12</v>
      </c>
      <c r="CI100" s="745">
        <v>3.13</v>
      </c>
      <c r="CJ100" s="745">
        <v>3.15</v>
      </c>
      <c r="CK100" s="745">
        <v>3.17</v>
      </c>
      <c r="CL100" s="745">
        <v>3.18</v>
      </c>
      <c r="CM100" s="745">
        <v>3.2</v>
      </c>
      <c r="CN100" s="745">
        <v>3.22</v>
      </c>
      <c r="CO100" s="745">
        <v>3.23</v>
      </c>
      <c r="CP100" s="745">
        <v>3.25</v>
      </c>
      <c r="CQ100" s="745">
        <v>3.26</v>
      </c>
      <c r="CR100" s="745">
        <v>3.28</v>
      </c>
      <c r="CS100" s="745">
        <v>3.3</v>
      </c>
      <c r="CT100" s="745">
        <v>3.31</v>
      </c>
      <c r="CU100" s="745">
        <v>3.33</v>
      </c>
      <c r="CV100" s="745">
        <v>3.34</v>
      </c>
      <c r="CW100" s="745">
        <v>3.36</v>
      </c>
      <c r="CX100" s="745">
        <v>3.38</v>
      </c>
      <c r="CY100" s="745">
        <v>3.39</v>
      </c>
      <c r="CZ100" s="745">
        <v>3.41</v>
      </c>
      <c r="DA100" s="745">
        <v>3.42</v>
      </c>
      <c r="DB100" s="745">
        <v>3.44</v>
      </c>
      <c r="DC100" s="745">
        <v>3.45</v>
      </c>
      <c r="DD100" s="745">
        <v>3.47</v>
      </c>
      <c r="DE100" s="745">
        <v>3.48</v>
      </c>
      <c r="DF100" s="745">
        <v>3.5</v>
      </c>
      <c r="DG100" s="745">
        <v>3.52</v>
      </c>
      <c r="DH100" s="745">
        <v>3.53</v>
      </c>
      <c r="DI100" s="745">
        <v>3.55</v>
      </c>
      <c r="DJ100" s="745">
        <v>3.56</v>
      </c>
      <c r="DK100" s="745">
        <v>3.58</v>
      </c>
      <c r="DL100" s="745">
        <v>3.59</v>
      </c>
      <c r="DM100" s="745">
        <v>3.61</v>
      </c>
      <c r="DN100" s="745">
        <v>3.62</v>
      </c>
      <c r="DO100" s="745">
        <v>3.64</v>
      </c>
      <c r="DP100" s="745">
        <v>3.65</v>
      </c>
      <c r="DQ100" s="745">
        <v>3.67</v>
      </c>
      <c r="DR100" s="745">
        <v>3.68</v>
      </c>
    </row>
    <row r="101" spans="1:122">
      <c r="A101" s="912">
        <v>99</v>
      </c>
      <c r="B101" s="92"/>
      <c r="C101" s="92"/>
      <c r="D101" s="92"/>
      <c r="E101" s="92"/>
      <c r="F101" s="92"/>
      <c r="G101" s="92"/>
      <c r="H101" s="92"/>
      <c r="I101" s="92"/>
      <c r="J101" s="92"/>
      <c r="K101" s="92"/>
      <c r="L101" s="92"/>
      <c r="M101" s="92"/>
      <c r="N101" s="92"/>
      <c r="O101" s="92"/>
      <c r="P101" s="92"/>
      <c r="Q101" s="92"/>
      <c r="R101" s="92"/>
      <c r="S101" s="92"/>
      <c r="T101" s="92"/>
      <c r="U101" s="92"/>
      <c r="V101" s="745"/>
      <c r="W101" s="745">
        <v>2</v>
      </c>
      <c r="X101" s="745">
        <v>1.94</v>
      </c>
      <c r="Y101" s="745">
        <v>1.97</v>
      </c>
      <c r="Z101" s="745">
        <v>1.99</v>
      </c>
      <c r="AA101" s="745">
        <v>2.0099999999999998</v>
      </c>
      <c r="AB101" s="745">
        <v>2.02</v>
      </c>
      <c r="AC101" s="745">
        <v>2.04</v>
      </c>
      <c r="AD101" s="745">
        <v>2.0499999999999998</v>
      </c>
      <c r="AE101" s="745">
        <v>2.0699999999999998</v>
      </c>
      <c r="AF101" s="745">
        <v>2.08</v>
      </c>
      <c r="AG101" s="745">
        <v>2.09</v>
      </c>
      <c r="AH101" s="745">
        <v>2.11</v>
      </c>
      <c r="AI101" s="745">
        <v>2.12</v>
      </c>
      <c r="AJ101" s="745">
        <v>2.13</v>
      </c>
      <c r="AK101" s="745">
        <v>2.15</v>
      </c>
      <c r="AL101" s="745">
        <v>2.16</v>
      </c>
      <c r="AM101" s="745">
        <v>2.1800000000000002</v>
      </c>
      <c r="AN101" s="745">
        <v>2.19</v>
      </c>
      <c r="AO101" s="745">
        <v>2.21</v>
      </c>
      <c r="AP101" s="745">
        <v>2.2200000000000002</v>
      </c>
      <c r="AQ101" s="745">
        <v>2.2400000000000002</v>
      </c>
      <c r="AR101" s="745">
        <v>2.2599999999999998</v>
      </c>
      <c r="AS101" s="745">
        <v>2.27</v>
      </c>
      <c r="AT101" s="745">
        <v>2.29</v>
      </c>
      <c r="AU101" s="745">
        <v>2.2999999999999998</v>
      </c>
      <c r="AV101" s="745">
        <v>2.3199999999999998</v>
      </c>
      <c r="AW101" s="745">
        <v>2.33</v>
      </c>
      <c r="AX101" s="745">
        <v>2.35</v>
      </c>
      <c r="AY101" s="745">
        <v>2.37</v>
      </c>
      <c r="AZ101" s="745">
        <v>2.38</v>
      </c>
      <c r="BA101" s="745">
        <v>2.4</v>
      </c>
      <c r="BB101" s="745">
        <v>2.41</v>
      </c>
      <c r="BC101" s="745">
        <v>2.4300000000000002</v>
      </c>
      <c r="BD101" s="745">
        <v>2.44</v>
      </c>
      <c r="BE101" s="745">
        <v>2.46</v>
      </c>
      <c r="BF101" s="745">
        <v>2.4700000000000002</v>
      </c>
      <c r="BG101" s="745">
        <v>2.4900000000000002</v>
      </c>
      <c r="BH101" s="745">
        <v>2.5099999999999998</v>
      </c>
      <c r="BI101" s="745">
        <v>2.52</v>
      </c>
      <c r="BJ101" s="745">
        <v>2.54</v>
      </c>
      <c r="BK101" s="745">
        <v>2.5499999999999998</v>
      </c>
      <c r="BL101" s="745">
        <v>2.57</v>
      </c>
      <c r="BM101" s="745">
        <v>2.58</v>
      </c>
      <c r="BN101" s="745">
        <v>2.6</v>
      </c>
      <c r="BO101" s="745">
        <v>2.62</v>
      </c>
      <c r="BP101" s="745">
        <v>2.63</v>
      </c>
      <c r="BQ101" s="745">
        <v>2.65</v>
      </c>
      <c r="BR101" s="745">
        <v>2.66</v>
      </c>
      <c r="BS101" s="745">
        <v>2.68</v>
      </c>
      <c r="BT101" s="857">
        <v>2.69</v>
      </c>
      <c r="BU101" s="745">
        <v>2.71</v>
      </c>
      <c r="BV101" s="745">
        <v>2.72</v>
      </c>
      <c r="BW101" s="745">
        <v>2.74</v>
      </c>
      <c r="BX101" s="745">
        <v>2.75</v>
      </c>
      <c r="BY101" s="745">
        <v>2.77</v>
      </c>
      <c r="BZ101" s="745">
        <v>2.78</v>
      </c>
      <c r="CA101" s="745">
        <v>2.8</v>
      </c>
      <c r="CB101" s="745">
        <v>2.81</v>
      </c>
      <c r="CC101" s="745">
        <v>2.83</v>
      </c>
      <c r="CD101" s="745">
        <v>2.84</v>
      </c>
      <c r="CE101" s="745">
        <v>2.86</v>
      </c>
      <c r="CF101" s="745">
        <v>2.87</v>
      </c>
      <c r="CG101" s="745">
        <v>2.89</v>
      </c>
      <c r="CH101" s="745">
        <v>2.9</v>
      </c>
      <c r="CI101" s="745">
        <v>2.92</v>
      </c>
      <c r="CJ101" s="745">
        <v>2.93</v>
      </c>
      <c r="CK101" s="745">
        <v>2.95</v>
      </c>
      <c r="CL101" s="745">
        <v>2.96</v>
      </c>
      <c r="CM101" s="745">
        <v>2.98</v>
      </c>
      <c r="CN101" s="745">
        <v>2.99</v>
      </c>
      <c r="CO101" s="745">
        <v>3.01</v>
      </c>
      <c r="CP101" s="745">
        <v>3.02</v>
      </c>
      <c r="CQ101" s="745">
        <v>3.04</v>
      </c>
      <c r="CR101" s="745">
        <v>3.05</v>
      </c>
      <c r="CS101" s="745">
        <v>3.07</v>
      </c>
      <c r="CT101" s="745">
        <v>3.08</v>
      </c>
      <c r="CU101" s="745">
        <v>3.09</v>
      </c>
      <c r="CV101" s="745">
        <v>3.11</v>
      </c>
      <c r="CW101" s="745">
        <v>3.12</v>
      </c>
      <c r="CX101" s="745">
        <v>3.14</v>
      </c>
      <c r="CY101" s="745">
        <v>3.15</v>
      </c>
      <c r="CZ101" s="745">
        <v>3.17</v>
      </c>
      <c r="DA101" s="745">
        <v>3.18</v>
      </c>
      <c r="DB101" s="745">
        <v>3.19</v>
      </c>
      <c r="DC101" s="745">
        <v>3.21</v>
      </c>
      <c r="DD101" s="745">
        <v>3.22</v>
      </c>
      <c r="DE101" s="745">
        <v>3.23</v>
      </c>
      <c r="DF101" s="745">
        <v>3.25</v>
      </c>
      <c r="DG101" s="745">
        <v>3.26</v>
      </c>
      <c r="DH101" s="745">
        <v>3.28</v>
      </c>
      <c r="DI101" s="745">
        <v>3.29</v>
      </c>
      <c r="DJ101" s="745">
        <v>3.3</v>
      </c>
      <c r="DK101" s="745">
        <v>3.32</v>
      </c>
      <c r="DL101" s="745">
        <v>3.33</v>
      </c>
      <c r="DM101" s="745">
        <v>3.34</v>
      </c>
      <c r="DN101" s="745">
        <v>3.36</v>
      </c>
      <c r="DO101" s="745">
        <v>3.37</v>
      </c>
      <c r="DP101" s="745">
        <v>3.38</v>
      </c>
      <c r="DQ101" s="745">
        <v>3.4</v>
      </c>
      <c r="DR101" s="745">
        <v>3.41</v>
      </c>
    </row>
    <row r="102" spans="1:122">
      <c r="A102" s="912">
        <v>100</v>
      </c>
      <c r="B102" s="92"/>
      <c r="C102" s="92"/>
      <c r="D102" s="92"/>
      <c r="E102" s="92"/>
      <c r="F102" s="92"/>
      <c r="G102" s="92"/>
      <c r="H102" s="92"/>
      <c r="I102" s="92"/>
      <c r="J102" s="92"/>
      <c r="K102" s="92"/>
      <c r="L102" s="92"/>
      <c r="M102" s="92"/>
      <c r="N102" s="92"/>
      <c r="O102" s="92"/>
      <c r="P102" s="92"/>
      <c r="Q102" s="92"/>
      <c r="R102" s="92"/>
      <c r="S102" s="92"/>
      <c r="T102" s="92"/>
      <c r="U102" s="92"/>
      <c r="V102" s="745"/>
      <c r="W102" s="745">
        <v>1.89</v>
      </c>
      <c r="X102" s="745">
        <v>1.83</v>
      </c>
      <c r="Y102" s="745">
        <v>1.87</v>
      </c>
      <c r="Z102" s="745">
        <v>1.88</v>
      </c>
      <c r="AA102" s="745">
        <v>1.9</v>
      </c>
      <c r="AB102" s="745">
        <v>1.91</v>
      </c>
      <c r="AC102" s="745">
        <v>1.93</v>
      </c>
      <c r="AD102" s="745">
        <v>1.94</v>
      </c>
      <c r="AE102" s="745">
        <v>1.95</v>
      </c>
      <c r="AF102" s="745">
        <v>1.96</v>
      </c>
      <c r="AG102" s="745">
        <v>1.98</v>
      </c>
      <c r="AH102" s="745">
        <v>1.99</v>
      </c>
      <c r="AI102" s="745">
        <v>2</v>
      </c>
      <c r="AJ102" s="745">
        <v>2.0099999999999998</v>
      </c>
      <c r="AK102" s="745">
        <v>2.0299999999999998</v>
      </c>
      <c r="AL102" s="745">
        <v>2.04</v>
      </c>
      <c r="AM102" s="745">
        <v>2.0499999999999998</v>
      </c>
      <c r="AN102" s="745">
        <v>2.0699999999999998</v>
      </c>
      <c r="AO102" s="745">
        <v>2.08</v>
      </c>
      <c r="AP102" s="745">
        <v>2.1</v>
      </c>
      <c r="AQ102" s="745">
        <v>2.11</v>
      </c>
      <c r="AR102" s="745">
        <v>2.13</v>
      </c>
      <c r="AS102" s="745">
        <v>2.14</v>
      </c>
      <c r="AT102" s="745">
        <v>2.15</v>
      </c>
      <c r="AU102" s="745">
        <v>2.17</v>
      </c>
      <c r="AV102" s="745">
        <v>2.1800000000000002</v>
      </c>
      <c r="AW102" s="745">
        <v>2.2000000000000002</v>
      </c>
      <c r="AX102" s="745">
        <v>2.21</v>
      </c>
      <c r="AY102" s="745">
        <v>2.23</v>
      </c>
      <c r="AZ102" s="745">
        <v>2.2400000000000002</v>
      </c>
      <c r="BA102" s="745">
        <v>2.2599999999999998</v>
      </c>
      <c r="BB102" s="745">
        <v>2.27</v>
      </c>
      <c r="BC102" s="745">
        <v>2.2799999999999998</v>
      </c>
      <c r="BD102" s="745">
        <v>2.2999999999999998</v>
      </c>
      <c r="BE102" s="745">
        <v>2.31</v>
      </c>
      <c r="BF102" s="745">
        <v>2.33</v>
      </c>
      <c r="BG102" s="745">
        <v>2.34</v>
      </c>
      <c r="BH102" s="745">
        <v>2.36</v>
      </c>
      <c r="BI102" s="745">
        <v>2.37</v>
      </c>
      <c r="BJ102" s="745">
        <v>2.38</v>
      </c>
      <c r="BK102" s="745">
        <v>2.4</v>
      </c>
      <c r="BL102" s="745">
        <v>2.41</v>
      </c>
      <c r="BM102" s="745">
        <v>2.4300000000000002</v>
      </c>
      <c r="BN102" s="745">
        <v>2.44</v>
      </c>
      <c r="BO102" s="745">
        <v>2.46</v>
      </c>
      <c r="BP102" s="745">
        <v>2.4700000000000002</v>
      </c>
      <c r="BQ102" s="745">
        <v>2.48</v>
      </c>
      <c r="BR102" s="745">
        <v>2.5</v>
      </c>
      <c r="BS102" s="745">
        <v>2.5099999999999998</v>
      </c>
      <c r="BT102" s="857">
        <v>2.5299999999999998</v>
      </c>
      <c r="BU102" s="745">
        <v>2.54</v>
      </c>
      <c r="BV102" s="745">
        <v>2.5499999999999998</v>
      </c>
      <c r="BW102" s="745">
        <v>2.57</v>
      </c>
      <c r="BX102" s="745">
        <v>2.58</v>
      </c>
      <c r="BY102" s="745">
        <v>2.6</v>
      </c>
      <c r="BZ102" s="745">
        <v>2.61</v>
      </c>
      <c r="CA102" s="745">
        <v>2.62</v>
      </c>
      <c r="CB102" s="745">
        <v>2.64</v>
      </c>
      <c r="CC102" s="745">
        <v>2.65</v>
      </c>
      <c r="CD102" s="745">
        <v>2.66</v>
      </c>
      <c r="CE102" s="745">
        <v>2.68</v>
      </c>
      <c r="CF102" s="745">
        <v>2.69</v>
      </c>
      <c r="CG102" s="745">
        <v>2.7</v>
      </c>
      <c r="CH102" s="745">
        <v>2.72</v>
      </c>
      <c r="CI102" s="745">
        <v>2.73</v>
      </c>
      <c r="CJ102" s="745">
        <v>2.75</v>
      </c>
      <c r="CK102" s="745">
        <v>2.76</v>
      </c>
      <c r="CL102" s="745">
        <v>2.77</v>
      </c>
      <c r="CM102" s="745">
        <v>2.79</v>
      </c>
      <c r="CN102" s="745">
        <v>2.8</v>
      </c>
      <c r="CO102" s="745">
        <v>2.81</v>
      </c>
      <c r="CP102" s="745">
        <v>2.83</v>
      </c>
      <c r="CQ102" s="745">
        <v>2.84</v>
      </c>
      <c r="CR102" s="745">
        <v>2.85</v>
      </c>
      <c r="CS102" s="745">
        <v>2.86</v>
      </c>
      <c r="CT102" s="745">
        <v>2.88</v>
      </c>
      <c r="CU102" s="745">
        <v>2.89</v>
      </c>
      <c r="CV102" s="745">
        <v>2.9</v>
      </c>
      <c r="CW102" s="745">
        <v>2.92</v>
      </c>
      <c r="CX102" s="745">
        <v>2.93</v>
      </c>
      <c r="CY102" s="745">
        <v>2.94</v>
      </c>
      <c r="CZ102" s="745">
        <v>2.95</v>
      </c>
      <c r="DA102" s="745">
        <v>2.97</v>
      </c>
      <c r="DB102" s="745">
        <v>2.98</v>
      </c>
      <c r="DC102" s="745">
        <v>2.99</v>
      </c>
      <c r="DD102" s="745">
        <v>3.01</v>
      </c>
      <c r="DE102" s="745">
        <v>3.02</v>
      </c>
      <c r="DF102" s="745">
        <v>3.03</v>
      </c>
      <c r="DG102" s="745">
        <v>3.04</v>
      </c>
      <c r="DH102" s="745">
        <v>3.05</v>
      </c>
      <c r="DI102" s="745">
        <v>3.07</v>
      </c>
      <c r="DJ102" s="745">
        <v>3.08</v>
      </c>
      <c r="DK102" s="745">
        <v>3.09</v>
      </c>
      <c r="DL102" s="745">
        <v>3.1</v>
      </c>
      <c r="DM102" s="745">
        <v>3.12</v>
      </c>
      <c r="DN102" s="745">
        <v>3.13</v>
      </c>
      <c r="DO102" s="745">
        <v>3.14</v>
      </c>
      <c r="DP102" s="745">
        <v>3.15</v>
      </c>
      <c r="DQ102" s="745">
        <v>3.16</v>
      </c>
      <c r="DR102" s="745">
        <v>3.18</v>
      </c>
    </row>
    <row r="104" spans="1:122">
      <c r="B104" s="5" t="s">
        <v>375</v>
      </c>
    </row>
  </sheetData>
  <phoneticPr fontId="52"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35" topLeftCell="A8" activePane="bottomLeft"/>
      <selection sqref="A1:XFD1048576"/>
      <selection pane="bottomLeft" activeCell="N9" sqref="N9"/>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1965</v>
      </c>
      <c r="B2" s="3960" t="s">
        <v>7</v>
      </c>
      <c r="C2" s="2131" t="s">
        <v>0</v>
      </c>
      <c r="D2" s="2131" t="s">
        <v>1</v>
      </c>
      <c r="E2" s="2131" t="s">
        <v>2</v>
      </c>
      <c r="F2" s="2131" t="s">
        <v>1706</v>
      </c>
      <c r="G2" s="2131" t="s">
        <v>1963</v>
      </c>
      <c r="H2" s="3956" t="s">
        <v>5</v>
      </c>
      <c r="I2" s="3956"/>
      <c r="J2" s="3957"/>
      <c r="K2" s="2141"/>
      <c r="L2" s="2142" t="s">
        <v>0</v>
      </c>
      <c r="M2" s="2142" t="s">
        <v>1</v>
      </c>
      <c r="N2" s="2142" t="s">
        <v>2</v>
      </c>
      <c r="O2" s="2142" t="s">
        <v>1706</v>
      </c>
      <c r="P2" s="2142" t="str">
        <f>+G2</f>
        <v>Anwartschafts-barwert
Altersrente</v>
      </c>
      <c r="Q2" s="3958" t="s">
        <v>6</v>
      </c>
      <c r="R2" s="3958"/>
      <c r="S2" s="3959"/>
      <c r="T2" s="2146"/>
      <c r="U2" s="2147" t="s">
        <v>0</v>
      </c>
      <c r="V2" s="2147" t="s">
        <v>1</v>
      </c>
      <c r="W2" s="2147" t="s">
        <v>2</v>
      </c>
      <c r="X2" s="2147" t="s">
        <v>1706</v>
      </c>
      <c r="Y2" s="2147" t="str">
        <f>+G2</f>
        <v>Anwartschafts-barwert
Altersrente</v>
      </c>
      <c r="Z2" s="3962" t="s">
        <v>6</v>
      </c>
      <c r="AA2" s="3962"/>
      <c r="AB2" s="3963"/>
    </row>
    <row r="3" spans="1:28" s="2" customFormat="1" ht="13.5">
      <c r="A3" s="60">
        <v>43111</v>
      </c>
      <c r="B3" s="3961"/>
      <c r="C3" s="2125" t="s">
        <v>17</v>
      </c>
      <c r="D3" s="2125" t="s">
        <v>18</v>
      </c>
      <c r="E3" s="2125" t="s">
        <v>24</v>
      </c>
      <c r="F3" s="2125"/>
      <c r="G3" s="2125"/>
      <c r="H3" s="1133" t="s">
        <v>8</v>
      </c>
      <c r="I3" s="1133" t="s">
        <v>9</v>
      </c>
      <c r="J3" s="2133" t="s">
        <v>10</v>
      </c>
      <c r="K3" s="2143" t="s">
        <v>7</v>
      </c>
      <c r="L3" s="1134" t="s">
        <v>19</v>
      </c>
      <c r="M3" s="1134" t="s">
        <v>20</v>
      </c>
      <c r="N3" s="1134" t="s">
        <v>26</v>
      </c>
      <c r="O3" s="1134"/>
      <c r="P3" s="1134"/>
      <c r="Q3" s="1134" t="s">
        <v>8</v>
      </c>
      <c r="R3" s="1134" t="s">
        <v>9</v>
      </c>
      <c r="S3" s="2144" t="s">
        <v>10</v>
      </c>
      <c r="T3" s="2163" t="s">
        <v>7</v>
      </c>
      <c r="U3" s="2164" t="s">
        <v>19</v>
      </c>
      <c r="V3" s="2164" t="s">
        <v>20</v>
      </c>
      <c r="W3" s="2164" t="s">
        <v>26</v>
      </c>
      <c r="X3" s="2164" t="s">
        <v>27</v>
      </c>
      <c r="Y3" s="2164"/>
      <c r="Z3" s="2164" t="s">
        <v>8</v>
      </c>
      <c r="AA3" s="2164" t="s">
        <v>9</v>
      </c>
      <c r="AB3" s="2165" t="s">
        <v>10</v>
      </c>
    </row>
    <row r="4" spans="1:28">
      <c r="B4" s="2134">
        <v>20</v>
      </c>
      <c r="C4" s="2126">
        <v>0.26800000000000002</v>
      </c>
      <c r="D4" s="2126">
        <v>5.1230000000000002</v>
      </c>
      <c r="E4" s="2126">
        <v>0.53100000000000003</v>
      </c>
      <c r="F4" s="2126">
        <v>0.53100000000000003</v>
      </c>
      <c r="G4" s="2126">
        <v>4.8550000000000004</v>
      </c>
      <c r="H4" s="2127">
        <v>5.5200823892893922E-2</v>
      </c>
      <c r="I4" s="2127">
        <v>0.1093717816683831</v>
      </c>
      <c r="J4" s="2135">
        <v>0.16457260556127701</v>
      </c>
      <c r="K4" s="2134">
        <v>20</v>
      </c>
      <c r="L4" s="2126">
        <v>0.26800000000000002</v>
      </c>
      <c r="M4" s="2126">
        <v>5.8920000000000003</v>
      </c>
      <c r="N4" s="2128">
        <v>0.13200000000000001</v>
      </c>
      <c r="O4" s="2126">
        <v>0.13200000000000001</v>
      </c>
      <c r="P4" s="2126">
        <v>5.6240000000000006</v>
      </c>
      <c r="Q4" s="2127">
        <v>4.7652916073968703E-2</v>
      </c>
      <c r="R4" s="2127">
        <v>2.3470839260312942E-2</v>
      </c>
      <c r="S4" s="2135">
        <v>7.1123755334281641E-2</v>
      </c>
      <c r="T4" s="2134">
        <v>20</v>
      </c>
      <c r="U4" s="1742">
        <v>0.26800000000000002</v>
      </c>
      <c r="V4" s="1742">
        <v>5.5075000000000003</v>
      </c>
      <c r="W4" s="1742">
        <v>0.33150000000000002</v>
      </c>
      <c r="X4" s="1742">
        <v>0.49299999999999999</v>
      </c>
      <c r="Y4" s="1742">
        <v>5.8960000000000008</v>
      </c>
      <c r="Z4" s="2129">
        <v>4.9533799533799529E-2</v>
      </c>
      <c r="AA4" s="2129">
        <v>9.5765345765345747E-2</v>
      </c>
      <c r="AB4" s="2150">
        <v>0.14529914529914528</v>
      </c>
    </row>
    <row r="5" spans="1:28">
      <c r="B5" s="89">
        <v>21</v>
      </c>
      <c r="C5" s="1">
        <v>0.32100000000000001</v>
      </c>
      <c r="D5" s="1">
        <v>5.2789999999999999</v>
      </c>
      <c r="E5" s="1">
        <v>0.61699999999999999</v>
      </c>
      <c r="F5" s="1">
        <v>0.61699999999999999</v>
      </c>
      <c r="G5" s="1">
        <v>4.9580000000000002</v>
      </c>
      <c r="H5" s="747">
        <v>6.4743848325937881E-2</v>
      </c>
      <c r="I5" s="747">
        <v>0.12444534086325131</v>
      </c>
      <c r="J5" s="2136">
        <v>0.1891891891891892</v>
      </c>
      <c r="K5" s="89">
        <v>21</v>
      </c>
      <c r="L5" s="1">
        <v>0.32100000000000001</v>
      </c>
      <c r="M5" s="1">
        <v>6.0679999999999996</v>
      </c>
      <c r="N5" s="1462">
        <v>0.159</v>
      </c>
      <c r="O5" s="1">
        <v>0.159</v>
      </c>
      <c r="P5" s="1">
        <v>5.7469999999999999</v>
      </c>
      <c r="Q5" s="747">
        <v>5.5855228815033936E-2</v>
      </c>
      <c r="R5" s="747">
        <v>2.7666608665390641E-2</v>
      </c>
      <c r="S5" s="2136">
        <v>8.3521837480424577E-2</v>
      </c>
      <c r="T5" s="89">
        <v>21</v>
      </c>
      <c r="U5" s="746">
        <v>0.32100000000000001</v>
      </c>
      <c r="V5" s="746">
        <v>5.6734999999999998</v>
      </c>
      <c r="W5" s="746">
        <v>0.38800000000000001</v>
      </c>
      <c r="X5" s="746">
        <v>0.49299999999999999</v>
      </c>
      <c r="Y5" s="746">
        <v>5.8960000000000008</v>
      </c>
      <c r="Z5" s="2124">
        <v>4.9533799533799529E-2</v>
      </c>
      <c r="AA5" s="2124">
        <v>9.5765345765345747E-2</v>
      </c>
      <c r="AB5" s="2151">
        <v>0.14529914529914528</v>
      </c>
    </row>
    <row r="6" spans="1:28">
      <c r="B6" s="2134">
        <v>22</v>
      </c>
      <c r="C6" s="2126">
        <v>0.371</v>
      </c>
      <c r="D6" s="2126">
        <v>5.4379999999999997</v>
      </c>
      <c r="E6" s="2126">
        <v>0.70899999999999996</v>
      </c>
      <c r="F6" s="2126">
        <v>0.70899999999999996</v>
      </c>
      <c r="G6" s="2126">
        <v>5.0670000000000002</v>
      </c>
      <c r="H6" s="2127">
        <v>7.32188671797908E-2</v>
      </c>
      <c r="I6" s="2127">
        <v>0.1399250049338859</v>
      </c>
      <c r="J6" s="2135">
        <v>0.21314387211367669</v>
      </c>
      <c r="K6" s="2134">
        <v>22</v>
      </c>
      <c r="L6" s="2126">
        <v>0.371</v>
      </c>
      <c r="M6" s="2126">
        <v>6.2489999999999997</v>
      </c>
      <c r="N6" s="2128">
        <v>0.185</v>
      </c>
      <c r="O6" s="2126">
        <v>0.185</v>
      </c>
      <c r="P6" s="2126">
        <v>5.8780000000000001</v>
      </c>
      <c r="Q6" s="2127">
        <v>6.31167063627084E-2</v>
      </c>
      <c r="R6" s="2127">
        <v>3.1473290234773729E-2</v>
      </c>
      <c r="S6" s="2135">
        <v>9.4589996597482129E-2</v>
      </c>
      <c r="T6" s="2134">
        <v>22</v>
      </c>
      <c r="U6" s="1742">
        <v>0.371</v>
      </c>
      <c r="V6" s="1742">
        <v>5.8434999999999997</v>
      </c>
      <c r="W6" s="1742">
        <v>0.44699999999999995</v>
      </c>
      <c r="X6" s="1742">
        <v>0.49299999999999999</v>
      </c>
      <c r="Y6" s="1742">
        <v>5.8960000000000008</v>
      </c>
      <c r="Z6" s="2129">
        <v>4.9533799533799529E-2</v>
      </c>
      <c r="AA6" s="2129">
        <v>9.5765345765345747E-2</v>
      </c>
      <c r="AB6" s="2150">
        <v>0.14529914529914528</v>
      </c>
    </row>
    <row r="7" spans="1:28">
      <c r="B7" s="89">
        <v>23</v>
      </c>
      <c r="C7" s="1">
        <v>0.41199999999999998</v>
      </c>
      <c r="D7" s="1">
        <v>5.601</v>
      </c>
      <c r="E7" s="1">
        <v>0.80500000000000005</v>
      </c>
      <c r="F7" s="1">
        <v>0.80500000000000005</v>
      </c>
      <c r="G7" s="1">
        <v>5.1890000000000001</v>
      </c>
      <c r="H7" s="747">
        <v>7.9398728078627856E-2</v>
      </c>
      <c r="I7" s="747">
        <v>0.15513586432838697</v>
      </c>
      <c r="J7" s="2136">
        <v>0.23453459240701482</v>
      </c>
      <c r="K7" s="89">
        <v>23</v>
      </c>
      <c r="L7" s="1">
        <v>0.41199999999999998</v>
      </c>
      <c r="M7" s="1">
        <v>6.4349999999999996</v>
      </c>
      <c r="N7" s="1462">
        <v>0.20599999999999999</v>
      </c>
      <c r="O7" s="1">
        <v>0.20599999999999999</v>
      </c>
      <c r="P7" s="1">
        <v>6.0229999999999997</v>
      </c>
      <c r="Q7" s="747">
        <v>6.8404449609828985E-2</v>
      </c>
      <c r="R7" s="747">
        <v>3.4202224804914493E-2</v>
      </c>
      <c r="S7" s="2136">
        <v>0.10260667441474347</v>
      </c>
      <c r="T7" s="89">
        <v>23</v>
      </c>
      <c r="U7" s="746">
        <v>0.41199999999999998</v>
      </c>
      <c r="V7" s="746">
        <v>6.0179999999999998</v>
      </c>
      <c r="W7" s="746">
        <v>0.50550000000000006</v>
      </c>
      <c r="X7" s="746">
        <v>0.49299999999999999</v>
      </c>
      <c r="Y7" s="746">
        <v>5.8960000000000008</v>
      </c>
      <c r="Z7" s="2124">
        <v>4.9533799533799529E-2</v>
      </c>
      <c r="AA7" s="2124">
        <v>9.5765345765345747E-2</v>
      </c>
      <c r="AB7" s="2151">
        <v>0.14529914529914528</v>
      </c>
    </row>
    <row r="8" spans="1:28">
      <c r="B8" s="2134">
        <v>24</v>
      </c>
      <c r="C8" s="2126">
        <v>0.44900000000000001</v>
      </c>
      <c r="D8" s="2126">
        <v>5.7690000000000001</v>
      </c>
      <c r="E8" s="2126">
        <v>0.89400000000000002</v>
      </c>
      <c r="F8" s="2126">
        <v>0.89400000000000002</v>
      </c>
      <c r="G8" s="2126">
        <v>5.32</v>
      </c>
      <c r="H8" s="2127">
        <v>8.43984962406015E-2</v>
      </c>
      <c r="I8" s="2127">
        <v>0.16804511278195489</v>
      </c>
      <c r="J8" s="2135">
        <v>0.25244360902255636</v>
      </c>
      <c r="K8" s="2134">
        <v>24</v>
      </c>
      <c r="L8" s="2126">
        <v>0.44900000000000001</v>
      </c>
      <c r="M8" s="2126">
        <v>6.625</v>
      </c>
      <c r="N8" s="2128">
        <v>0.22700000000000001</v>
      </c>
      <c r="O8" s="2126">
        <v>0.22700000000000001</v>
      </c>
      <c r="P8" s="2126">
        <v>6.1760000000000002</v>
      </c>
      <c r="Q8" s="2127">
        <v>7.2700777202072533E-2</v>
      </c>
      <c r="R8" s="2127">
        <v>3.6755181347150258E-2</v>
      </c>
      <c r="S8" s="2135">
        <v>0.1094559585492228</v>
      </c>
      <c r="T8" s="2134">
        <v>24</v>
      </c>
      <c r="U8" s="1742">
        <v>0.44900000000000001</v>
      </c>
      <c r="V8" s="1742">
        <v>6.1970000000000001</v>
      </c>
      <c r="W8" s="1742">
        <v>0.5605</v>
      </c>
      <c r="X8" s="1742">
        <v>0.49299999999999999</v>
      </c>
      <c r="Y8" s="1742">
        <v>5.8960000000000008</v>
      </c>
      <c r="Z8" s="2129">
        <v>4.9533799533799529E-2</v>
      </c>
      <c r="AA8" s="2129">
        <v>9.5765345765345747E-2</v>
      </c>
      <c r="AB8" s="2150">
        <v>0.14529914529914528</v>
      </c>
    </row>
    <row r="9" spans="1:28">
      <c r="B9" s="89">
        <v>25</v>
      </c>
      <c r="C9" s="1">
        <v>0.48599999999999999</v>
      </c>
      <c r="D9" s="1">
        <v>5.94</v>
      </c>
      <c r="E9" s="1">
        <v>0.97599999999999998</v>
      </c>
      <c r="F9" s="1">
        <v>0.97599999999999998</v>
      </c>
      <c r="G9" s="1">
        <v>5.4540000000000006</v>
      </c>
      <c r="H9" s="747">
        <v>8.9108910891089091E-2</v>
      </c>
      <c r="I9" s="747">
        <v>0.17895122845617892</v>
      </c>
      <c r="J9" s="2136">
        <v>0.26806013934726802</v>
      </c>
      <c r="K9" s="89">
        <v>25</v>
      </c>
      <c r="L9" s="1">
        <v>0.48599999999999999</v>
      </c>
      <c r="M9" s="1">
        <v>6.819</v>
      </c>
      <c r="N9" s="1462">
        <v>0.247</v>
      </c>
      <c r="O9" s="1">
        <v>0.247</v>
      </c>
      <c r="P9" s="1">
        <v>6.3330000000000002</v>
      </c>
      <c r="Q9" s="747">
        <v>7.6740881099005204E-2</v>
      </c>
      <c r="R9" s="747">
        <v>3.9002052739617876E-2</v>
      </c>
      <c r="S9" s="2136">
        <v>0.11574293383862308</v>
      </c>
      <c r="T9" s="89">
        <v>25</v>
      </c>
      <c r="U9" s="746">
        <v>0.48599999999999999</v>
      </c>
      <c r="V9" s="746">
        <v>6.3795000000000002</v>
      </c>
      <c r="W9" s="746">
        <v>0.61149999999999993</v>
      </c>
      <c r="X9" s="746">
        <v>0.49299999999999999</v>
      </c>
      <c r="Y9" s="746">
        <v>5.8960000000000008</v>
      </c>
      <c r="Z9" s="2124">
        <v>4.9533799533799529E-2</v>
      </c>
      <c r="AA9" s="2124">
        <v>9.5765345765345747E-2</v>
      </c>
      <c r="AB9" s="2151">
        <v>0.14529914529914528</v>
      </c>
    </row>
    <row r="10" spans="1:28">
      <c r="B10" s="2134">
        <v>26</v>
      </c>
      <c r="C10" s="2126">
        <v>0.52100000000000002</v>
      </c>
      <c r="D10" s="2126">
        <v>6.1150000000000002</v>
      </c>
      <c r="E10" s="2126">
        <v>1.054</v>
      </c>
      <c r="F10" s="2126">
        <v>1.054</v>
      </c>
      <c r="G10" s="2126">
        <v>5.5940000000000003</v>
      </c>
      <c r="H10" s="2127">
        <v>9.3135502323918484E-2</v>
      </c>
      <c r="I10" s="2127">
        <v>0.18841616017161245</v>
      </c>
      <c r="J10" s="2135">
        <v>0.28155166249553093</v>
      </c>
      <c r="K10" s="2134">
        <v>26</v>
      </c>
      <c r="L10" s="2126">
        <v>0.52100000000000002</v>
      </c>
      <c r="M10" s="2126">
        <v>7.0179999999999998</v>
      </c>
      <c r="N10" s="2128">
        <v>0.26700000000000002</v>
      </c>
      <c r="O10" s="2126">
        <v>0.26700000000000002</v>
      </c>
      <c r="P10" s="2126">
        <v>6.4969999999999999</v>
      </c>
      <c r="Q10" s="2127">
        <v>8.0190857318762507E-2</v>
      </c>
      <c r="R10" s="2127">
        <v>4.1095890410958909E-2</v>
      </c>
      <c r="S10" s="2135">
        <v>0.12128674772972142</v>
      </c>
      <c r="T10" s="2134">
        <v>26</v>
      </c>
      <c r="U10" s="1742">
        <v>0.52100000000000002</v>
      </c>
      <c r="V10" s="1742">
        <v>6.5664999999999996</v>
      </c>
      <c r="W10" s="1742">
        <v>0.66050000000000009</v>
      </c>
      <c r="X10" s="1742">
        <v>0.49299999999999999</v>
      </c>
      <c r="Y10" s="1742">
        <v>5.8960000000000008</v>
      </c>
      <c r="Z10" s="2129">
        <v>4.9533799533799529E-2</v>
      </c>
      <c r="AA10" s="2129">
        <v>9.5765345765345747E-2</v>
      </c>
      <c r="AB10" s="2150">
        <v>0.14529914529914528</v>
      </c>
    </row>
    <row r="11" spans="1:28">
      <c r="B11" s="89">
        <v>27</v>
      </c>
      <c r="C11" s="1">
        <v>0.55500000000000005</v>
      </c>
      <c r="D11" s="1">
        <v>6.2949999999999999</v>
      </c>
      <c r="E11" s="1">
        <v>1.1299999999999999</v>
      </c>
      <c r="F11" s="1">
        <v>1.1299999999999999</v>
      </c>
      <c r="G11" s="1">
        <v>5.74</v>
      </c>
      <c r="H11" s="747">
        <v>9.6689895470383286E-2</v>
      </c>
      <c r="I11" s="747">
        <v>0.1968641114982578</v>
      </c>
      <c r="J11" s="2136">
        <v>0.29355400696864109</v>
      </c>
      <c r="K11" s="89">
        <v>27</v>
      </c>
      <c r="L11" s="1">
        <v>0.55500000000000005</v>
      </c>
      <c r="M11" s="1">
        <v>7.22</v>
      </c>
      <c r="N11" s="1462">
        <v>0.28799999999999998</v>
      </c>
      <c r="O11" s="1">
        <v>0.28799999999999998</v>
      </c>
      <c r="P11" s="1">
        <v>6.665</v>
      </c>
      <c r="Q11" s="747">
        <v>8.3270817704426112E-2</v>
      </c>
      <c r="R11" s="747">
        <v>4.3210802700675163E-2</v>
      </c>
      <c r="S11" s="2136">
        <v>0.12648162040510127</v>
      </c>
      <c r="T11" s="89">
        <v>27</v>
      </c>
      <c r="U11" s="746">
        <v>0.55500000000000005</v>
      </c>
      <c r="V11" s="746">
        <v>6.7575000000000003</v>
      </c>
      <c r="W11" s="746">
        <v>0.70899999999999996</v>
      </c>
      <c r="X11" s="746">
        <v>0.49299999999999999</v>
      </c>
      <c r="Y11" s="746">
        <v>5.8960000000000008</v>
      </c>
      <c r="Z11" s="2124">
        <v>4.9533799533799529E-2</v>
      </c>
      <c r="AA11" s="2124">
        <v>9.5765345765345747E-2</v>
      </c>
      <c r="AB11" s="2151">
        <v>0.14529914529914528</v>
      </c>
    </row>
    <row r="12" spans="1:28">
      <c r="B12" s="2134">
        <v>28</v>
      </c>
      <c r="C12" s="2126">
        <v>0.58799999999999997</v>
      </c>
      <c r="D12" s="2126">
        <v>6.4790000000000001</v>
      </c>
      <c r="E12" s="2126">
        <v>1.204</v>
      </c>
      <c r="F12" s="2126">
        <v>1.204</v>
      </c>
      <c r="G12" s="2126">
        <v>5.891</v>
      </c>
      <c r="H12" s="2127">
        <v>9.981327448650483E-2</v>
      </c>
      <c r="I12" s="2127">
        <v>0.20437956204379562</v>
      </c>
      <c r="J12" s="2135">
        <v>0.30419283653030044</v>
      </c>
      <c r="K12" s="2134">
        <v>28</v>
      </c>
      <c r="L12" s="2126">
        <v>0.58799999999999997</v>
      </c>
      <c r="M12" s="2126">
        <v>7.4279999999999999</v>
      </c>
      <c r="N12" s="2128">
        <v>0.308</v>
      </c>
      <c r="O12" s="2126">
        <v>0.308</v>
      </c>
      <c r="P12" s="2126">
        <v>6.84</v>
      </c>
      <c r="Q12" s="2127">
        <v>8.5964912280701758E-2</v>
      </c>
      <c r="R12" s="2127">
        <v>4.502923976608187E-2</v>
      </c>
      <c r="S12" s="2135">
        <v>0.13099415204678364</v>
      </c>
      <c r="T12" s="2134">
        <v>28</v>
      </c>
      <c r="U12" s="1742">
        <v>0.58799999999999997</v>
      </c>
      <c r="V12" s="1742">
        <v>6.9535</v>
      </c>
      <c r="W12" s="1742">
        <v>0.75600000000000001</v>
      </c>
      <c r="X12" s="1742">
        <v>0.49299999999999999</v>
      </c>
      <c r="Y12" s="1742">
        <v>5.8960000000000008</v>
      </c>
      <c r="Z12" s="2129">
        <v>4.9533799533799529E-2</v>
      </c>
      <c r="AA12" s="2129">
        <v>9.5765345765345747E-2</v>
      </c>
      <c r="AB12" s="2150">
        <v>0.14529914529914528</v>
      </c>
    </row>
    <row r="13" spans="1:28">
      <c r="B13" s="89">
        <v>29</v>
      </c>
      <c r="C13" s="1">
        <v>0.61799999999999999</v>
      </c>
      <c r="D13" s="1">
        <v>6.6669999999999998</v>
      </c>
      <c r="E13" s="1">
        <v>1.276</v>
      </c>
      <c r="F13" s="1">
        <v>1.276</v>
      </c>
      <c r="G13" s="1">
        <v>6.0489999999999995</v>
      </c>
      <c r="H13" s="747">
        <v>0.10216564721441561</v>
      </c>
      <c r="I13" s="747">
        <v>0.21094395767895521</v>
      </c>
      <c r="J13" s="2136">
        <v>0.31310960489337081</v>
      </c>
      <c r="K13" s="89">
        <v>29</v>
      </c>
      <c r="L13" s="1">
        <v>0.61799999999999999</v>
      </c>
      <c r="M13" s="1">
        <v>7.6390000000000002</v>
      </c>
      <c r="N13" s="1462">
        <v>0.32700000000000001</v>
      </c>
      <c r="O13" s="1">
        <v>0.32700000000000001</v>
      </c>
      <c r="P13" s="1">
        <v>7.0209999999999999</v>
      </c>
      <c r="Q13" s="747">
        <v>8.802164933770118E-2</v>
      </c>
      <c r="R13" s="747">
        <v>4.6574562028201115E-2</v>
      </c>
      <c r="S13" s="2136">
        <v>0.1345962113659023</v>
      </c>
      <c r="T13" s="89">
        <v>29</v>
      </c>
      <c r="U13" s="746">
        <v>0.61799999999999999</v>
      </c>
      <c r="V13" s="746">
        <v>7.1530000000000005</v>
      </c>
      <c r="W13" s="746">
        <v>0.80149999999999999</v>
      </c>
      <c r="X13" s="746">
        <v>0.49299999999999999</v>
      </c>
      <c r="Y13" s="746">
        <v>5.8960000000000008</v>
      </c>
      <c r="Z13" s="2124">
        <v>4.9533799533799529E-2</v>
      </c>
      <c r="AA13" s="2124">
        <v>9.5765345765345747E-2</v>
      </c>
      <c r="AB13" s="2151">
        <v>0.14529914529914528</v>
      </c>
    </row>
    <row r="14" spans="1:28">
      <c r="B14" s="2134">
        <v>30</v>
      </c>
      <c r="C14" s="2126">
        <v>0.64700000000000002</v>
      </c>
      <c r="D14" s="2126">
        <v>6.86</v>
      </c>
      <c r="E14" s="2126">
        <v>1.3480000000000001</v>
      </c>
      <c r="F14" s="2126">
        <v>1.3480000000000001</v>
      </c>
      <c r="G14" s="2126">
        <v>6.2130000000000001</v>
      </c>
      <c r="H14" s="2127">
        <v>0.10413648800901336</v>
      </c>
      <c r="I14" s="2127">
        <v>0.21696442942217931</v>
      </c>
      <c r="J14" s="2135">
        <v>0.32110091743119268</v>
      </c>
      <c r="K14" s="2134">
        <v>30</v>
      </c>
      <c r="L14" s="2126">
        <v>0.64700000000000002</v>
      </c>
      <c r="M14" s="2126">
        <v>7.8550000000000004</v>
      </c>
      <c r="N14" s="2128">
        <v>0.34699999999999998</v>
      </c>
      <c r="O14" s="2126">
        <v>0.34699999999999998</v>
      </c>
      <c r="P14" s="2126">
        <v>7.2080000000000002</v>
      </c>
      <c r="Q14" s="2127">
        <v>8.9761376248612648E-2</v>
      </c>
      <c r="R14" s="2127">
        <v>4.8140954495005543E-2</v>
      </c>
      <c r="S14" s="2135">
        <v>0.13790233074361818</v>
      </c>
      <c r="T14" s="2134">
        <v>30</v>
      </c>
      <c r="U14" s="1742">
        <v>0.64700000000000002</v>
      </c>
      <c r="V14" s="1742">
        <v>7.3574999999999999</v>
      </c>
      <c r="W14" s="1742">
        <v>0.84750000000000003</v>
      </c>
      <c r="X14" s="1742">
        <v>0.49299999999999999</v>
      </c>
      <c r="Y14" s="1742">
        <v>5.8960000000000008</v>
      </c>
      <c r="Z14" s="2129">
        <v>4.9533799533799529E-2</v>
      </c>
      <c r="AA14" s="2129">
        <v>9.5765345765345747E-2</v>
      </c>
      <c r="AB14" s="2150">
        <v>0.14529914529914528</v>
      </c>
    </row>
    <row r="15" spans="1:28">
      <c r="B15" s="89">
        <v>31</v>
      </c>
      <c r="C15" s="1">
        <v>0.67200000000000004</v>
      </c>
      <c r="D15" s="1">
        <v>7.0579999999999998</v>
      </c>
      <c r="E15" s="1">
        <v>1.419</v>
      </c>
      <c r="F15" s="1">
        <v>1.419</v>
      </c>
      <c r="G15" s="1">
        <v>6.3860000000000001</v>
      </c>
      <c r="H15" s="747">
        <v>0.10523019104290636</v>
      </c>
      <c r="I15" s="747">
        <v>0.2222048230504228</v>
      </c>
      <c r="J15" s="2136">
        <v>0.32743501409332915</v>
      </c>
      <c r="K15" s="89">
        <v>31</v>
      </c>
      <c r="L15" s="1">
        <v>0.67200000000000004</v>
      </c>
      <c r="M15" s="1">
        <v>8.0760000000000005</v>
      </c>
      <c r="N15" s="1462">
        <v>0.36499999999999999</v>
      </c>
      <c r="O15" s="1">
        <v>0.36499999999999999</v>
      </c>
      <c r="P15" s="1">
        <v>7.4040000000000008</v>
      </c>
      <c r="Q15" s="747">
        <v>9.0761750405186387E-2</v>
      </c>
      <c r="R15" s="747">
        <v>4.929767693138843E-2</v>
      </c>
      <c r="S15" s="2136">
        <v>0.14005942733657481</v>
      </c>
      <c r="T15" s="89">
        <v>31</v>
      </c>
      <c r="U15" s="746">
        <v>0.67200000000000004</v>
      </c>
      <c r="V15" s="746">
        <v>7.5670000000000002</v>
      </c>
      <c r="W15" s="746">
        <v>0.89200000000000002</v>
      </c>
      <c r="X15" s="746">
        <v>0.49299999999999999</v>
      </c>
      <c r="Y15" s="746">
        <v>5.8960000000000008</v>
      </c>
      <c r="Z15" s="2124">
        <v>4.9533799533799529E-2</v>
      </c>
      <c r="AA15" s="2124">
        <v>9.5765345765345747E-2</v>
      </c>
      <c r="AB15" s="2151">
        <v>0.14529914529914528</v>
      </c>
    </row>
    <row r="16" spans="1:28">
      <c r="B16" s="2134">
        <v>32</v>
      </c>
      <c r="C16" s="2126">
        <v>0.69599999999999995</v>
      </c>
      <c r="D16" s="2126">
        <v>7.2610000000000001</v>
      </c>
      <c r="E16" s="2126">
        <v>1.49</v>
      </c>
      <c r="F16" s="2126">
        <v>1.49</v>
      </c>
      <c r="G16" s="2126">
        <v>6.5650000000000004</v>
      </c>
      <c r="H16" s="2127">
        <v>0.106016755521706</v>
      </c>
      <c r="I16" s="2127">
        <v>0.22696115765422695</v>
      </c>
      <c r="J16" s="2135">
        <v>0.33297791317593295</v>
      </c>
      <c r="K16" s="2134">
        <v>32</v>
      </c>
      <c r="L16" s="2126">
        <v>0.69599999999999995</v>
      </c>
      <c r="M16" s="2126">
        <v>8.3010000000000002</v>
      </c>
      <c r="N16" s="2128">
        <v>0.38400000000000001</v>
      </c>
      <c r="O16" s="2126">
        <v>0.38400000000000001</v>
      </c>
      <c r="P16" s="2126">
        <v>7.6050000000000004</v>
      </c>
      <c r="Q16" s="2127">
        <v>9.1518737672583811E-2</v>
      </c>
      <c r="R16" s="2127">
        <v>5.0493096646942799E-2</v>
      </c>
      <c r="S16" s="2135">
        <v>0.1420118343195266</v>
      </c>
      <c r="T16" s="2134">
        <v>32</v>
      </c>
      <c r="U16" s="1742">
        <v>0.69599999999999995</v>
      </c>
      <c r="V16" s="1742">
        <v>7.7810000000000006</v>
      </c>
      <c r="W16" s="1742">
        <v>0.93700000000000006</v>
      </c>
      <c r="X16" s="1742">
        <v>0.49299999999999999</v>
      </c>
      <c r="Y16" s="1742">
        <v>5.8960000000000008</v>
      </c>
      <c r="Z16" s="2129">
        <v>4.9533799533799529E-2</v>
      </c>
      <c r="AA16" s="2129">
        <v>9.5765345765345747E-2</v>
      </c>
      <c r="AB16" s="2150">
        <v>0.14529914529914528</v>
      </c>
    </row>
    <row r="17" spans="2:28">
      <c r="B17" s="89">
        <v>33</v>
      </c>
      <c r="C17" s="1">
        <v>0.71599999999999997</v>
      </c>
      <c r="D17" s="1">
        <v>7.47</v>
      </c>
      <c r="E17" s="1">
        <v>1.5620000000000001</v>
      </c>
      <c r="F17" s="1">
        <v>1.5620000000000001</v>
      </c>
      <c r="G17" s="1">
        <v>6.7539999999999996</v>
      </c>
      <c r="H17" s="747">
        <v>0.10601125259105715</v>
      </c>
      <c r="I17" s="747">
        <v>0.23127035830618894</v>
      </c>
      <c r="J17" s="2136">
        <v>0.33728161089724606</v>
      </c>
      <c r="K17" s="89">
        <v>33</v>
      </c>
      <c r="L17" s="1">
        <v>0.71599999999999997</v>
      </c>
      <c r="M17" s="1">
        <v>8.532</v>
      </c>
      <c r="N17" s="1462">
        <v>0.40200000000000002</v>
      </c>
      <c r="O17" s="1">
        <v>0.40200000000000002</v>
      </c>
      <c r="P17" s="1">
        <v>7.8159999999999998</v>
      </c>
      <c r="Q17" s="747">
        <v>9.1606960081883321E-2</v>
      </c>
      <c r="R17" s="747">
        <v>5.1432958034800413E-2</v>
      </c>
      <c r="S17" s="2136">
        <v>0.14303991811668373</v>
      </c>
      <c r="T17" s="89">
        <v>33</v>
      </c>
      <c r="U17" s="746">
        <v>0.71599999999999997</v>
      </c>
      <c r="V17" s="746">
        <v>8.0009999999999994</v>
      </c>
      <c r="W17" s="746">
        <v>0.98199999999999998</v>
      </c>
      <c r="X17" s="746">
        <v>0.49299999999999999</v>
      </c>
      <c r="Y17" s="746">
        <v>5.8960000000000008</v>
      </c>
      <c r="Z17" s="2124">
        <v>4.9533799533799529E-2</v>
      </c>
      <c r="AA17" s="2124">
        <v>9.5765345765345747E-2</v>
      </c>
      <c r="AB17" s="2151">
        <v>0.14529914529914528</v>
      </c>
    </row>
    <row r="18" spans="2:28">
      <c r="B18" s="2134">
        <v>34</v>
      </c>
      <c r="C18" s="2126">
        <v>0.73399999999999999</v>
      </c>
      <c r="D18" s="2126">
        <v>7.6840000000000002</v>
      </c>
      <c r="E18" s="2126">
        <v>1.633</v>
      </c>
      <c r="F18" s="2126">
        <v>1.633</v>
      </c>
      <c r="G18" s="2126">
        <v>6.95</v>
      </c>
      <c r="H18" s="2127">
        <v>0.10561151079136691</v>
      </c>
      <c r="I18" s="2127">
        <v>0.23496402877697842</v>
      </c>
      <c r="J18" s="2135">
        <v>0.3405755395683453</v>
      </c>
      <c r="K18" s="2134">
        <v>34</v>
      </c>
      <c r="L18" s="2126">
        <v>0.73399999999999999</v>
      </c>
      <c r="M18" s="2126">
        <v>8.7669999999999995</v>
      </c>
      <c r="N18" s="2128">
        <v>0.41899999999999998</v>
      </c>
      <c r="O18" s="2126">
        <v>0.41899999999999998</v>
      </c>
      <c r="P18" s="2126">
        <v>8.0329999999999995</v>
      </c>
      <c r="Q18" s="2127">
        <v>9.1373086020166819E-2</v>
      </c>
      <c r="R18" s="2127">
        <v>5.2159840657288688E-2</v>
      </c>
      <c r="S18" s="2135">
        <v>0.14353292667745551</v>
      </c>
      <c r="T18" s="2134">
        <v>34</v>
      </c>
      <c r="U18" s="1742">
        <v>0.73399999999999999</v>
      </c>
      <c r="V18" s="1742">
        <v>8.2255000000000003</v>
      </c>
      <c r="W18" s="1742">
        <v>1.026</v>
      </c>
      <c r="X18" s="1742">
        <v>0.49299999999999999</v>
      </c>
      <c r="Y18" s="1742">
        <v>5.8960000000000008</v>
      </c>
      <c r="Z18" s="2129">
        <v>4.9533799533799529E-2</v>
      </c>
      <c r="AA18" s="2129">
        <v>9.5765345765345747E-2</v>
      </c>
      <c r="AB18" s="2150">
        <v>0.14529914529914528</v>
      </c>
    </row>
    <row r="19" spans="2:28">
      <c r="B19" s="89">
        <v>35</v>
      </c>
      <c r="C19" s="1">
        <v>0.748</v>
      </c>
      <c r="D19" s="1">
        <v>7.9029999999999996</v>
      </c>
      <c r="E19" s="1">
        <v>1.7050000000000001</v>
      </c>
      <c r="F19" s="1">
        <v>1.7050000000000001</v>
      </c>
      <c r="G19" s="1">
        <v>7.1549999999999994</v>
      </c>
      <c r="H19" s="747">
        <v>0.10454227812718379</v>
      </c>
      <c r="I19" s="747">
        <v>0.2382948986722572</v>
      </c>
      <c r="J19" s="2136">
        <v>0.34283717679944098</v>
      </c>
      <c r="K19" s="89">
        <v>35</v>
      </c>
      <c r="L19" s="1">
        <v>0.748</v>
      </c>
      <c r="M19" s="1">
        <v>9.0069999999999997</v>
      </c>
      <c r="N19" s="1462">
        <v>0.436</v>
      </c>
      <c r="O19" s="1">
        <v>0.436</v>
      </c>
      <c r="P19" s="1">
        <v>8.2590000000000003</v>
      </c>
      <c r="Q19" s="747">
        <v>9.0567865359002298E-2</v>
      </c>
      <c r="R19" s="747">
        <v>5.2790894781450534E-2</v>
      </c>
      <c r="S19" s="2136">
        <v>0.14335876014045285</v>
      </c>
      <c r="T19" s="89">
        <v>35</v>
      </c>
      <c r="U19" s="746">
        <v>0.748</v>
      </c>
      <c r="V19" s="746">
        <v>8.4550000000000001</v>
      </c>
      <c r="W19" s="746">
        <v>1.0705</v>
      </c>
      <c r="X19" s="746">
        <v>0.49299999999999999</v>
      </c>
      <c r="Y19" s="746">
        <v>5.8960000000000008</v>
      </c>
      <c r="Z19" s="2124">
        <v>4.9533799533799529E-2</v>
      </c>
      <c r="AA19" s="2124">
        <v>9.5765345765345747E-2</v>
      </c>
      <c r="AB19" s="2151">
        <v>0.14529914529914528</v>
      </c>
    </row>
    <row r="20" spans="2:28">
      <c r="B20" s="2134">
        <v>36</v>
      </c>
      <c r="C20" s="2126">
        <v>0.75700000000000001</v>
      </c>
      <c r="D20" s="2126">
        <v>8.1259999999999994</v>
      </c>
      <c r="E20" s="2126">
        <v>1.7769999999999999</v>
      </c>
      <c r="F20" s="2126">
        <v>1.7769999999999999</v>
      </c>
      <c r="G20" s="2126">
        <v>7.3689999999999998</v>
      </c>
      <c r="H20" s="2127">
        <v>0.10272764282806351</v>
      </c>
      <c r="I20" s="2127">
        <v>0.2411453385805401</v>
      </c>
      <c r="J20" s="2135">
        <v>0.34387298140860362</v>
      </c>
      <c r="K20" s="2134">
        <v>36</v>
      </c>
      <c r="L20" s="2126">
        <v>0.75700000000000001</v>
      </c>
      <c r="M20" s="2126">
        <v>9.2509999999999994</v>
      </c>
      <c r="N20" s="2128">
        <v>0.45200000000000001</v>
      </c>
      <c r="O20" s="2126">
        <v>0.45200000000000001</v>
      </c>
      <c r="P20" s="2126">
        <v>8.4939999999999998</v>
      </c>
      <c r="Q20" s="2127">
        <v>8.9121732987991531E-2</v>
      </c>
      <c r="R20" s="2127">
        <v>5.3214033435366147E-2</v>
      </c>
      <c r="S20" s="2135">
        <v>0.14233576642335768</v>
      </c>
      <c r="T20" s="2134">
        <v>36</v>
      </c>
      <c r="U20" s="1742">
        <v>0.75700000000000001</v>
      </c>
      <c r="V20" s="1742">
        <v>8.6884999999999994</v>
      </c>
      <c r="W20" s="1742">
        <v>1.1145</v>
      </c>
      <c r="X20" s="1742">
        <v>0.49299999999999999</v>
      </c>
      <c r="Y20" s="1742">
        <v>5.8960000000000008</v>
      </c>
      <c r="Z20" s="2129">
        <v>4.9533799533799529E-2</v>
      </c>
      <c r="AA20" s="2129">
        <v>9.5765345765345747E-2</v>
      </c>
      <c r="AB20" s="2150">
        <v>0.14529914529914528</v>
      </c>
    </row>
    <row r="21" spans="2:28">
      <c r="B21" s="89">
        <v>37</v>
      </c>
      <c r="C21" s="1">
        <v>0.76</v>
      </c>
      <c r="D21" s="1">
        <v>8.3529999999999998</v>
      </c>
      <c r="E21" s="1">
        <v>1.8480000000000001</v>
      </c>
      <c r="F21" s="1">
        <v>1.8480000000000001</v>
      </c>
      <c r="G21" s="1">
        <v>7.593</v>
      </c>
      <c r="H21" s="747">
        <v>0.10009219017516133</v>
      </c>
      <c r="I21" s="747">
        <v>0.24338206242591862</v>
      </c>
      <c r="J21" s="2136">
        <v>0.34347425260107994</v>
      </c>
      <c r="K21" s="89">
        <v>37</v>
      </c>
      <c r="L21" s="1">
        <v>0.76</v>
      </c>
      <c r="M21" s="1">
        <v>9.4979999999999993</v>
      </c>
      <c r="N21" s="1462">
        <v>0.46800000000000003</v>
      </c>
      <c r="O21" s="1">
        <v>0.46800000000000003</v>
      </c>
      <c r="P21" s="1">
        <v>8.7379999999999995</v>
      </c>
      <c r="Q21" s="747">
        <v>8.6976424811169614E-2</v>
      </c>
      <c r="R21" s="747">
        <v>5.3559166857404444E-2</v>
      </c>
      <c r="S21" s="2136">
        <v>0.14053559166857404</v>
      </c>
      <c r="T21" s="89">
        <v>37</v>
      </c>
      <c r="U21" s="746">
        <v>0.76</v>
      </c>
      <c r="V21" s="746">
        <v>8.9254999999999995</v>
      </c>
      <c r="W21" s="746">
        <v>1.1580000000000001</v>
      </c>
      <c r="X21" s="746">
        <v>0.49299999999999999</v>
      </c>
      <c r="Y21" s="746">
        <v>5.8960000000000008</v>
      </c>
      <c r="Z21" s="2124">
        <v>4.9533799533799529E-2</v>
      </c>
      <c r="AA21" s="2124">
        <v>9.5765345765345747E-2</v>
      </c>
      <c r="AB21" s="2151">
        <v>0.14529914529914528</v>
      </c>
    </row>
    <row r="22" spans="2:28">
      <c r="B22" s="2134">
        <v>38</v>
      </c>
      <c r="C22" s="2126">
        <v>0.75800000000000001</v>
      </c>
      <c r="D22" s="2126">
        <v>8.5839999999999996</v>
      </c>
      <c r="E22" s="2126">
        <v>1.92</v>
      </c>
      <c r="F22" s="2126">
        <v>1.92</v>
      </c>
      <c r="G22" s="2126">
        <v>7.8259999999999996</v>
      </c>
      <c r="H22" s="2127">
        <v>9.6856631740352681E-2</v>
      </c>
      <c r="I22" s="2127">
        <v>0.24533605928954766</v>
      </c>
      <c r="J22" s="2135">
        <v>0.34219269102990035</v>
      </c>
      <c r="K22" s="2134">
        <v>38</v>
      </c>
      <c r="L22" s="2126">
        <v>0.75800000000000001</v>
      </c>
      <c r="M22" s="2126">
        <v>9.7490000000000006</v>
      </c>
      <c r="N22" s="2128">
        <v>0.48199999999999998</v>
      </c>
      <c r="O22" s="2126">
        <v>0.48199999999999998</v>
      </c>
      <c r="P22" s="2126">
        <v>8.9909999999999997</v>
      </c>
      <c r="Q22" s="2127">
        <v>8.4306528750973206E-2</v>
      </c>
      <c r="R22" s="2127">
        <v>5.3609164720275833E-2</v>
      </c>
      <c r="S22" s="2135">
        <v>0.13791569347124905</v>
      </c>
      <c r="T22" s="2134">
        <v>38</v>
      </c>
      <c r="U22" s="1742">
        <v>0.75800000000000001</v>
      </c>
      <c r="V22" s="1742">
        <v>9.1664999999999992</v>
      </c>
      <c r="W22" s="1742">
        <v>1.2010000000000001</v>
      </c>
      <c r="X22" s="1742">
        <v>0.49299999999999999</v>
      </c>
      <c r="Y22" s="1742">
        <v>5.8960000000000008</v>
      </c>
      <c r="Z22" s="2129">
        <v>4.9533799533799529E-2</v>
      </c>
      <c r="AA22" s="2129">
        <v>9.5765345765345747E-2</v>
      </c>
      <c r="AB22" s="2150">
        <v>0.14529914529914528</v>
      </c>
    </row>
    <row r="23" spans="2:28">
      <c r="B23" s="89">
        <v>39</v>
      </c>
      <c r="C23" s="1">
        <v>0.75</v>
      </c>
      <c r="D23" s="1">
        <v>8.8179999999999996</v>
      </c>
      <c r="E23" s="1">
        <v>1.992</v>
      </c>
      <c r="F23" s="1">
        <v>1.992</v>
      </c>
      <c r="G23" s="1">
        <v>8.0679999999999996</v>
      </c>
      <c r="H23" s="747">
        <v>9.2959841348537436E-2</v>
      </c>
      <c r="I23" s="747">
        <v>0.24690133862171543</v>
      </c>
      <c r="J23" s="2136">
        <v>0.33986117997025289</v>
      </c>
      <c r="K23" s="89">
        <v>39</v>
      </c>
      <c r="L23" s="1">
        <v>0.75</v>
      </c>
      <c r="M23" s="1">
        <v>10.005000000000001</v>
      </c>
      <c r="N23" s="1462">
        <v>0.496</v>
      </c>
      <c r="O23" s="1">
        <v>0.496</v>
      </c>
      <c r="P23" s="1">
        <v>9.2550000000000008</v>
      </c>
      <c r="Q23" s="747">
        <v>8.1037277147487832E-2</v>
      </c>
      <c r="R23" s="747">
        <v>5.3592652620205287E-2</v>
      </c>
      <c r="S23" s="2136">
        <v>0.13462992976769311</v>
      </c>
      <c r="T23" s="89">
        <v>39</v>
      </c>
      <c r="U23" s="746">
        <v>0.75</v>
      </c>
      <c r="V23" s="746">
        <v>9.4115000000000002</v>
      </c>
      <c r="W23" s="746">
        <v>1.244</v>
      </c>
      <c r="X23" s="746">
        <v>0.49299999999999999</v>
      </c>
      <c r="Y23" s="746">
        <v>5.8960000000000008</v>
      </c>
      <c r="Z23" s="2124">
        <v>4.9533799533799529E-2</v>
      </c>
      <c r="AA23" s="2124">
        <v>9.5765345765345747E-2</v>
      </c>
      <c r="AB23" s="2151">
        <v>0.14529914529914528</v>
      </c>
    </row>
    <row r="24" spans="2:28">
      <c r="B24" s="2134">
        <v>40</v>
      </c>
      <c r="C24" s="2126">
        <v>0.73699999999999999</v>
      </c>
      <c r="D24" s="2126">
        <v>9.0579999999999998</v>
      </c>
      <c r="E24" s="2126">
        <v>2.0649999999999999</v>
      </c>
      <c r="F24" s="2126">
        <v>2.0649999999999999</v>
      </c>
      <c r="G24" s="2126">
        <v>8.3209999999999997</v>
      </c>
      <c r="H24" s="2127">
        <v>8.8571085206105044E-2</v>
      </c>
      <c r="I24" s="2127">
        <v>0.24816728758562673</v>
      </c>
      <c r="J24" s="2135">
        <v>0.3367383727917318</v>
      </c>
      <c r="K24" s="2134">
        <v>40</v>
      </c>
      <c r="L24" s="2126">
        <v>0.73699999999999999</v>
      </c>
      <c r="M24" s="2126">
        <v>10.265000000000001</v>
      </c>
      <c r="N24" s="2128">
        <v>0.51</v>
      </c>
      <c r="O24" s="2126">
        <v>0.51</v>
      </c>
      <c r="P24" s="2126">
        <v>9.5280000000000005</v>
      </c>
      <c r="Q24" s="2127">
        <v>7.7350965575146924E-2</v>
      </c>
      <c r="R24" s="2127">
        <v>5.35264483627204E-2</v>
      </c>
      <c r="S24" s="2135">
        <v>0.13087741393786734</v>
      </c>
      <c r="T24" s="2134">
        <v>40</v>
      </c>
      <c r="U24" s="1742">
        <v>0.73699999999999999</v>
      </c>
      <c r="V24" s="1742">
        <v>9.6615000000000002</v>
      </c>
      <c r="W24" s="1742">
        <v>1.2875000000000001</v>
      </c>
      <c r="X24" s="1742">
        <v>0.49299999999999999</v>
      </c>
      <c r="Y24" s="1742">
        <v>5.8960000000000008</v>
      </c>
      <c r="Z24" s="2129">
        <v>4.9533799533799529E-2</v>
      </c>
      <c r="AA24" s="2129">
        <v>9.5765345765345747E-2</v>
      </c>
      <c r="AB24" s="2150">
        <v>0.14529914529914528</v>
      </c>
    </row>
    <row r="25" spans="2:28">
      <c r="B25" s="89">
        <v>41</v>
      </c>
      <c r="C25" s="1">
        <v>0.72</v>
      </c>
      <c r="D25" s="1">
        <v>9.3049999999999997</v>
      </c>
      <c r="E25" s="1">
        <v>2.1389999999999998</v>
      </c>
      <c r="F25" s="1">
        <v>2.1389999999999998</v>
      </c>
      <c r="G25" s="1">
        <v>8.5849999999999991</v>
      </c>
      <c r="H25" s="747">
        <v>8.3867210250436808E-2</v>
      </c>
      <c r="I25" s="747">
        <v>0.24915550378567269</v>
      </c>
      <c r="J25" s="2136">
        <v>0.3330227140361095</v>
      </c>
      <c r="K25" s="89">
        <v>41</v>
      </c>
      <c r="L25" s="1">
        <v>0.72</v>
      </c>
      <c r="M25" s="1">
        <v>10.532</v>
      </c>
      <c r="N25" s="1462">
        <v>0.52300000000000002</v>
      </c>
      <c r="O25" s="1">
        <v>0.52300000000000002</v>
      </c>
      <c r="P25" s="1">
        <v>9.8119999999999994</v>
      </c>
      <c r="Q25" s="747">
        <v>7.3379535262943343E-2</v>
      </c>
      <c r="R25" s="747">
        <v>5.3302079086832453E-2</v>
      </c>
      <c r="S25" s="2136">
        <v>0.12668161434977579</v>
      </c>
      <c r="T25" s="89">
        <v>41</v>
      </c>
      <c r="U25" s="746">
        <v>0.72</v>
      </c>
      <c r="V25" s="746">
        <v>9.9184999999999999</v>
      </c>
      <c r="W25" s="746">
        <v>1.331</v>
      </c>
      <c r="X25" s="746">
        <v>0.49299999999999999</v>
      </c>
      <c r="Y25" s="746">
        <v>5.8960000000000008</v>
      </c>
      <c r="Z25" s="2124">
        <v>4.9533799533799529E-2</v>
      </c>
      <c r="AA25" s="2124">
        <v>9.5765345765345747E-2</v>
      </c>
      <c r="AB25" s="2151">
        <v>0.14529914529914528</v>
      </c>
    </row>
    <row r="26" spans="2:28">
      <c r="B26" s="2134">
        <v>42</v>
      </c>
      <c r="C26" s="2126">
        <v>0.7</v>
      </c>
      <c r="D26" s="2126">
        <v>9.56</v>
      </c>
      <c r="E26" s="2126">
        <v>2.214</v>
      </c>
      <c r="F26" s="2126">
        <v>2.214</v>
      </c>
      <c r="G26" s="2126">
        <v>8.8600000000000012</v>
      </c>
      <c r="H26" s="2127">
        <v>7.9006772009029336E-2</v>
      </c>
      <c r="I26" s="2127">
        <v>0.2498871331828442</v>
      </c>
      <c r="J26" s="2135">
        <v>0.32889390519187356</v>
      </c>
      <c r="K26" s="2134">
        <v>42</v>
      </c>
      <c r="L26" s="2126">
        <v>0.7</v>
      </c>
      <c r="M26" s="2126">
        <v>10.805999999999999</v>
      </c>
      <c r="N26" s="2128">
        <v>0.53600000000000003</v>
      </c>
      <c r="O26" s="2126">
        <v>0.53600000000000003</v>
      </c>
      <c r="P26" s="2126">
        <v>10.106</v>
      </c>
      <c r="Q26" s="2127">
        <v>6.9265782703344547E-2</v>
      </c>
      <c r="R26" s="2127">
        <v>5.3037799327132401E-2</v>
      </c>
      <c r="S26" s="2135">
        <v>0.12230358203047695</v>
      </c>
      <c r="T26" s="2134">
        <v>42</v>
      </c>
      <c r="U26" s="1742">
        <v>0.7</v>
      </c>
      <c r="V26" s="1742">
        <v>10.183</v>
      </c>
      <c r="W26" s="1742">
        <v>1.375</v>
      </c>
      <c r="X26" s="1742">
        <v>0.49299999999999999</v>
      </c>
      <c r="Y26" s="1742">
        <v>5.8960000000000008</v>
      </c>
      <c r="Z26" s="2129">
        <v>4.9533799533799529E-2</v>
      </c>
      <c r="AA26" s="2129">
        <v>9.5765345765345747E-2</v>
      </c>
      <c r="AB26" s="2150">
        <v>0.14529914529914528</v>
      </c>
    </row>
    <row r="27" spans="2:28">
      <c r="B27" s="89">
        <v>43</v>
      </c>
      <c r="C27" s="1">
        <v>0.67800000000000005</v>
      </c>
      <c r="D27" s="1">
        <v>9.8249999999999993</v>
      </c>
      <c r="E27" s="1">
        <v>2.29</v>
      </c>
      <c r="F27" s="1">
        <v>2.29</v>
      </c>
      <c r="G27" s="1">
        <v>9.1469999999999985</v>
      </c>
      <c r="H27" s="747">
        <v>7.4122663168251904E-2</v>
      </c>
      <c r="I27" s="747">
        <v>0.25035530775117532</v>
      </c>
      <c r="J27" s="2136">
        <v>0.32447797091942721</v>
      </c>
      <c r="K27" s="89">
        <v>43</v>
      </c>
      <c r="L27" s="1">
        <v>0.67800000000000005</v>
      </c>
      <c r="M27" s="1">
        <v>11.089</v>
      </c>
      <c r="N27" s="1462">
        <v>0.54900000000000004</v>
      </c>
      <c r="O27" s="1">
        <v>0.54900000000000004</v>
      </c>
      <c r="P27" s="1">
        <v>10.411</v>
      </c>
      <c r="Q27" s="747">
        <v>6.5123427144366544E-2</v>
      </c>
      <c r="R27" s="747">
        <v>5.2732686581500342E-2</v>
      </c>
      <c r="S27" s="2136">
        <v>0.11785611372586688</v>
      </c>
      <c r="T27" s="89">
        <v>43</v>
      </c>
      <c r="U27" s="746">
        <v>0.67800000000000005</v>
      </c>
      <c r="V27" s="746">
        <v>10.457000000000001</v>
      </c>
      <c r="W27" s="746">
        <v>1.4195</v>
      </c>
      <c r="X27" s="746">
        <v>0.49299999999999999</v>
      </c>
      <c r="Y27" s="746">
        <v>5.8960000000000008</v>
      </c>
      <c r="Z27" s="2124">
        <v>4.9533799533799529E-2</v>
      </c>
      <c r="AA27" s="2124">
        <v>9.5765345765345747E-2</v>
      </c>
      <c r="AB27" s="2151">
        <v>0.14529914529914528</v>
      </c>
    </row>
    <row r="28" spans="2:28">
      <c r="B28" s="2134">
        <v>44</v>
      </c>
      <c r="C28" s="2126">
        <v>0.65400000000000003</v>
      </c>
      <c r="D28" s="2126">
        <v>10.099</v>
      </c>
      <c r="E28" s="2126">
        <v>2.367</v>
      </c>
      <c r="F28" s="2126">
        <v>2.367</v>
      </c>
      <c r="G28" s="2126">
        <v>9.4450000000000003</v>
      </c>
      <c r="H28" s="2127">
        <v>6.9242985706723131E-2</v>
      </c>
      <c r="I28" s="2127">
        <v>0.25060878771836947</v>
      </c>
      <c r="J28" s="2135">
        <v>0.31985177342509263</v>
      </c>
      <c r="K28" s="2134">
        <v>44</v>
      </c>
      <c r="L28" s="2126">
        <v>0.65400000000000003</v>
      </c>
      <c r="M28" s="2126">
        <v>11.381</v>
      </c>
      <c r="N28" s="2128">
        <v>0.56100000000000005</v>
      </c>
      <c r="O28" s="2126">
        <v>0.56100000000000005</v>
      </c>
      <c r="P28" s="2126">
        <v>10.727</v>
      </c>
      <c r="Q28" s="2127">
        <v>6.0967651719958986E-2</v>
      </c>
      <c r="R28" s="2127">
        <v>5.2297939778129958E-2</v>
      </c>
      <c r="S28" s="2135">
        <v>0.11326559149808894</v>
      </c>
      <c r="T28" s="2134">
        <v>44</v>
      </c>
      <c r="U28" s="1742">
        <v>0.65400000000000003</v>
      </c>
      <c r="V28" s="1742">
        <v>10.74</v>
      </c>
      <c r="W28" s="1742">
        <v>1.464</v>
      </c>
      <c r="X28" s="1742">
        <v>0.49299999999999999</v>
      </c>
      <c r="Y28" s="1742">
        <v>5.8960000000000008</v>
      </c>
      <c r="Z28" s="2129">
        <v>4.9533799533799529E-2</v>
      </c>
      <c r="AA28" s="2129">
        <v>9.5765345765345747E-2</v>
      </c>
      <c r="AB28" s="2150">
        <v>0.14529914529914528</v>
      </c>
    </row>
    <row r="29" spans="2:28">
      <c r="B29" s="89">
        <v>45</v>
      </c>
      <c r="C29" s="1">
        <v>0.629</v>
      </c>
      <c r="D29" s="1">
        <v>10.382999999999999</v>
      </c>
      <c r="E29" s="1">
        <v>2.444</v>
      </c>
      <c r="F29" s="1">
        <v>2.444</v>
      </c>
      <c r="G29" s="1">
        <v>9.7539999999999996</v>
      </c>
      <c r="H29" s="747">
        <v>6.4486364568382207E-2</v>
      </c>
      <c r="I29" s="747">
        <v>0.25056387123231494</v>
      </c>
      <c r="J29" s="2136">
        <v>0.31505023580069713</v>
      </c>
      <c r="K29" s="89">
        <v>45</v>
      </c>
      <c r="L29" s="1">
        <v>0.629</v>
      </c>
      <c r="M29" s="1">
        <v>11.683</v>
      </c>
      <c r="N29" s="1462">
        <v>0.57399999999999995</v>
      </c>
      <c r="O29" s="1">
        <v>0.57399999999999995</v>
      </c>
      <c r="P29" s="1">
        <v>11.054</v>
      </c>
      <c r="Q29" s="747">
        <v>5.690247874072734E-2</v>
      </c>
      <c r="R29" s="747">
        <v>5.1926904288040525E-2</v>
      </c>
      <c r="S29" s="2136">
        <v>0.10882938302876786</v>
      </c>
      <c r="T29" s="89">
        <v>45</v>
      </c>
      <c r="U29" s="746">
        <v>0.629</v>
      </c>
      <c r="V29" s="746">
        <v>11.032999999999999</v>
      </c>
      <c r="W29" s="746">
        <v>1.5089999999999999</v>
      </c>
      <c r="X29" s="746">
        <v>0.49299999999999999</v>
      </c>
      <c r="Y29" s="746">
        <v>5.8960000000000008</v>
      </c>
      <c r="Z29" s="2124">
        <v>4.9533799533799529E-2</v>
      </c>
      <c r="AA29" s="2124">
        <v>9.5765345765345747E-2</v>
      </c>
      <c r="AB29" s="2151">
        <v>0.14529914529914528</v>
      </c>
    </row>
    <row r="30" spans="2:28">
      <c r="B30" s="2134">
        <v>46</v>
      </c>
      <c r="C30" s="2126">
        <v>0.60199999999999998</v>
      </c>
      <c r="D30" s="2126">
        <v>10.677</v>
      </c>
      <c r="E30" s="2126">
        <v>2.5209999999999999</v>
      </c>
      <c r="F30" s="2126">
        <v>2.5209999999999999</v>
      </c>
      <c r="G30" s="2126">
        <v>10.074999999999999</v>
      </c>
      <c r="H30" s="2127">
        <v>5.9751861042183628E-2</v>
      </c>
      <c r="I30" s="2127">
        <v>0.25022332506203476</v>
      </c>
      <c r="J30" s="2135">
        <v>0.30997518610421837</v>
      </c>
      <c r="K30" s="2134">
        <v>46</v>
      </c>
      <c r="L30" s="2126">
        <v>0.60199999999999998</v>
      </c>
      <c r="M30" s="2126">
        <v>11.994999999999999</v>
      </c>
      <c r="N30" s="2128">
        <v>0.58599999999999997</v>
      </c>
      <c r="O30" s="2126">
        <v>0.58599999999999997</v>
      </c>
      <c r="P30" s="2126">
        <v>11.392999999999999</v>
      </c>
      <c r="Q30" s="2127">
        <v>5.2839462828052318E-2</v>
      </c>
      <c r="R30" s="2127">
        <v>5.1435091722987804E-2</v>
      </c>
      <c r="S30" s="2135">
        <v>0.10427455455104012</v>
      </c>
      <c r="T30" s="2134">
        <v>46</v>
      </c>
      <c r="U30" s="1742">
        <v>0.60199999999999998</v>
      </c>
      <c r="V30" s="1742">
        <v>11.335999999999999</v>
      </c>
      <c r="W30" s="1742">
        <v>1.5534999999999999</v>
      </c>
      <c r="X30" s="1742">
        <v>0.49299999999999999</v>
      </c>
      <c r="Y30" s="1742">
        <v>5.8960000000000008</v>
      </c>
      <c r="Z30" s="2129">
        <v>4.9533799533799529E-2</v>
      </c>
      <c r="AA30" s="2129">
        <v>9.5765345765345747E-2</v>
      </c>
      <c r="AB30" s="2150">
        <v>0.14529914529914528</v>
      </c>
    </row>
    <row r="31" spans="2:28">
      <c r="B31" s="89">
        <v>47</v>
      </c>
      <c r="C31" s="1">
        <v>0.57399999999999995</v>
      </c>
      <c r="D31" s="1">
        <v>10.981</v>
      </c>
      <c r="E31" s="1">
        <v>2.5979999999999999</v>
      </c>
      <c r="F31" s="1">
        <v>2.5979999999999999</v>
      </c>
      <c r="G31" s="1">
        <v>10.407</v>
      </c>
      <c r="H31" s="747">
        <v>5.5155184010761985E-2</v>
      </c>
      <c r="I31" s="747">
        <v>0.24963966560968578</v>
      </c>
      <c r="J31" s="2136">
        <v>0.30479484962044778</v>
      </c>
      <c r="K31" s="89">
        <v>47</v>
      </c>
      <c r="L31" s="1">
        <v>0.57399999999999995</v>
      </c>
      <c r="M31" s="1">
        <v>12.316000000000001</v>
      </c>
      <c r="N31" s="1462">
        <v>0.59699999999999998</v>
      </c>
      <c r="O31" s="1">
        <v>0.59699999999999998</v>
      </c>
      <c r="P31" s="1">
        <v>11.742000000000001</v>
      </c>
      <c r="Q31" s="747">
        <v>4.8884346789303347E-2</v>
      </c>
      <c r="R31" s="747">
        <v>5.0843127235564632E-2</v>
      </c>
      <c r="S31" s="2136">
        <v>9.9727474024867979E-2</v>
      </c>
      <c r="T31" s="89">
        <v>47</v>
      </c>
      <c r="U31" s="746">
        <v>0.57399999999999995</v>
      </c>
      <c r="V31" s="746">
        <v>11.6485</v>
      </c>
      <c r="W31" s="746">
        <v>1.5974999999999999</v>
      </c>
      <c r="X31" s="746">
        <v>0.49299999999999999</v>
      </c>
      <c r="Y31" s="746">
        <v>5.8960000000000008</v>
      </c>
      <c r="Z31" s="2124">
        <v>4.9533799533799529E-2</v>
      </c>
      <c r="AA31" s="2124">
        <v>9.5765345765345747E-2</v>
      </c>
      <c r="AB31" s="2151">
        <v>0.14529914529914528</v>
      </c>
    </row>
    <row r="32" spans="2:28">
      <c r="B32" s="2134">
        <v>48</v>
      </c>
      <c r="C32" s="2126">
        <v>0.54300000000000004</v>
      </c>
      <c r="D32" s="2126">
        <v>11.295</v>
      </c>
      <c r="E32" s="2126">
        <v>2.673</v>
      </c>
      <c r="F32" s="2126">
        <v>2.673</v>
      </c>
      <c r="G32" s="2126">
        <v>10.752000000000001</v>
      </c>
      <c r="H32" s="2127">
        <v>5.0502232142857144E-2</v>
      </c>
      <c r="I32" s="2127">
        <v>0.2486049107142857</v>
      </c>
      <c r="J32" s="2135">
        <v>0.29910714285714285</v>
      </c>
      <c r="K32" s="2134">
        <v>48</v>
      </c>
      <c r="L32" s="2126">
        <v>0.54300000000000004</v>
      </c>
      <c r="M32" s="2126">
        <v>12.648</v>
      </c>
      <c r="N32" s="2128">
        <v>0.60799999999999998</v>
      </c>
      <c r="O32" s="2126">
        <v>0.60799999999999998</v>
      </c>
      <c r="P32" s="2126">
        <v>12.105</v>
      </c>
      <c r="Q32" s="2127">
        <v>4.4857496902106567E-2</v>
      </c>
      <c r="R32" s="2127">
        <v>5.0227178851714162E-2</v>
      </c>
      <c r="S32" s="2135">
        <v>9.5084675753820735E-2</v>
      </c>
      <c r="T32" s="2134">
        <v>48</v>
      </c>
      <c r="U32" s="1742">
        <v>0.54300000000000004</v>
      </c>
      <c r="V32" s="1742">
        <v>11.971499999999999</v>
      </c>
      <c r="W32" s="1742">
        <v>1.6405000000000001</v>
      </c>
      <c r="X32" s="1742">
        <v>0.49299999999999999</v>
      </c>
      <c r="Y32" s="1742">
        <v>5.8960000000000008</v>
      </c>
      <c r="Z32" s="2129">
        <v>4.9533799533799529E-2</v>
      </c>
      <c r="AA32" s="2129">
        <v>9.5765345765345747E-2</v>
      </c>
      <c r="AB32" s="2150">
        <v>0.14529914529914528</v>
      </c>
    </row>
    <row r="33" spans="1:28">
      <c r="B33" s="89">
        <v>49</v>
      </c>
      <c r="C33" s="1">
        <v>0.50900000000000001</v>
      </c>
      <c r="D33" s="1">
        <v>11.619</v>
      </c>
      <c r="E33" s="1">
        <v>2.7480000000000002</v>
      </c>
      <c r="F33" s="1">
        <v>2.7480000000000002</v>
      </c>
      <c r="G33" s="1">
        <v>11.11</v>
      </c>
      <c r="H33" s="747">
        <v>4.581458145814582E-2</v>
      </c>
      <c r="I33" s="747">
        <v>0.24734473447344738</v>
      </c>
      <c r="J33" s="2136">
        <v>0.29315931593159317</v>
      </c>
      <c r="K33" s="89">
        <v>49</v>
      </c>
      <c r="L33" s="1">
        <v>0.50900000000000001</v>
      </c>
      <c r="M33" s="1">
        <v>12.991</v>
      </c>
      <c r="N33" s="1462">
        <v>0.61799999999999999</v>
      </c>
      <c r="O33" s="1">
        <v>0.61799999999999999</v>
      </c>
      <c r="P33" s="1">
        <v>12.481999999999999</v>
      </c>
      <c r="Q33" s="747">
        <v>4.0778721358756612E-2</v>
      </c>
      <c r="R33" s="747">
        <v>4.9511296266623941E-2</v>
      </c>
      <c r="S33" s="2136">
        <v>9.0290017625380553E-2</v>
      </c>
      <c r="T33" s="89">
        <v>49</v>
      </c>
      <c r="U33" s="746">
        <v>0.50900000000000001</v>
      </c>
      <c r="V33" s="746">
        <v>12.305</v>
      </c>
      <c r="W33" s="746">
        <v>1.6830000000000001</v>
      </c>
      <c r="X33" s="746">
        <v>0.49299999999999999</v>
      </c>
      <c r="Y33" s="746">
        <v>5.8960000000000008</v>
      </c>
      <c r="Z33" s="2124">
        <v>4.9533799533799529E-2</v>
      </c>
      <c r="AA33" s="2124">
        <v>9.5765345765345747E-2</v>
      </c>
      <c r="AB33" s="2151">
        <v>0.14529914529914528</v>
      </c>
    </row>
    <row r="34" spans="1:28">
      <c r="B34" s="2134">
        <v>50</v>
      </c>
      <c r="C34" s="2126">
        <v>0.47199999999999998</v>
      </c>
      <c r="D34" s="2126">
        <v>11.954000000000001</v>
      </c>
      <c r="E34" s="2126">
        <v>2.82</v>
      </c>
      <c r="F34" s="2126">
        <v>2.82</v>
      </c>
      <c r="G34" s="2126">
        <v>11.482000000000001</v>
      </c>
      <c r="H34" s="2127">
        <v>4.1107820937118962E-2</v>
      </c>
      <c r="I34" s="2127">
        <v>0.24560181153109212</v>
      </c>
      <c r="J34" s="2135">
        <v>0.28670963246821107</v>
      </c>
      <c r="K34" s="2134">
        <v>50</v>
      </c>
      <c r="L34" s="2126">
        <v>0.47199999999999998</v>
      </c>
      <c r="M34" s="2126">
        <v>13.343999999999999</v>
      </c>
      <c r="N34" s="2128">
        <v>0.627</v>
      </c>
      <c r="O34" s="2126">
        <v>0.627</v>
      </c>
      <c r="P34" s="2126">
        <v>12.872</v>
      </c>
      <c r="Q34" s="2127">
        <v>3.6668738346799255E-2</v>
      </c>
      <c r="R34" s="2127">
        <v>4.8710379117464266E-2</v>
      </c>
      <c r="S34" s="2135">
        <v>8.5379117464263521E-2</v>
      </c>
      <c r="T34" s="2134">
        <v>50</v>
      </c>
      <c r="U34" s="1742">
        <v>0.47199999999999998</v>
      </c>
      <c r="V34" s="1742">
        <v>12.649000000000001</v>
      </c>
      <c r="W34" s="1742">
        <v>1.7235</v>
      </c>
      <c r="X34" s="1742">
        <v>0.49299999999999999</v>
      </c>
      <c r="Y34" s="1742">
        <v>5.8960000000000008</v>
      </c>
      <c r="Z34" s="2129">
        <v>4.9533799533799529E-2</v>
      </c>
      <c r="AA34" s="2129">
        <v>9.5765345765345747E-2</v>
      </c>
      <c r="AB34" s="2150">
        <v>0.14529914529914528</v>
      </c>
    </row>
    <row r="35" spans="1:28">
      <c r="B35" s="89">
        <v>51</v>
      </c>
      <c r="C35" s="1">
        <v>0.43099999999999999</v>
      </c>
      <c r="D35" s="1">
        <v>12.3</v>
      </c>
      <c r="E35" s="1">
        <v>2.891</v>
      </c>
      <c r="F35" s="1">
        <v>2.891</v>
      </c>
      <c r="G35" s="1">
        <v>11.869000000000002</v>
      </c>
      <c r="H35" s="747">
        <v>3.6313084505855582E-2</v>
      </c>
      <c r="I35" s="747">
        <v>0.24357570140702667</v>
      </c>
      <c r="J35" s="2136">
        <v>0.27988878591288224</v>
      </c>
      <c r="K35" s="89">
        <v>51</v>
      </c>
      <c r="L35" s="1">
        <v>0.43099999999999999</v>
      </c>
      <c r="M35" s="1">
        <v>13.707000000000001</v>
      </c>
      <c r="N35" s="1462">
        <v>0.63500000000000001</v>
      </c>
      <c r="O35" s="1">
        <v>0.63500000000000001</v>
      </c>
      <c r="P35" s="1">
        <v>13.276000000000002</v>
      </c>
      <c r="Q35" s="747">
        <v>3.2464597770412773E-2</v>
      </c>
      <c r="R35" s="747">
        <v>4.7830671889123225E-2</v>
      </c>
      <c r="S35" s="2136">
        <v>8.0295269659535998E-2</v>
      </c>
      <c r="T35" s="89">
        <v>51</v>
      </c>
      <c r="U35" s="746">
        <v>0.43099999999999999</v>
      </c>
      <c r="V35" s="746">
        <v>13.003500000000001</v>
      </c>
      <c r="W35" s="746">
        <v>1.7629999999999999</v>
      </c>
      <c r="X35" s="746">
        <v>0.49299999999999999</v>
      </c>
      <c r="Y35" s="746">
        <v>5.8960000000000008</v>
      </c>
      <c r="Z35" s="2124">
        <v>4.9533799533799529E-2</v>
      </c>
      <c r="AA35" s="2124">
        <v>9.5765345765345747E-2</v>
      </c>
      <c r="AB35" s="2151">
        <v>0.14529914529914528</v>
      </c>
    </row>
    <row r="36" spans="1:28">
      <c r="B36" s="2134">
        <v>52</v>
      </c>
      <c r="C36" s="2126">
        <v>0.38800000000000001</v>
      </c>
      <c r="D36" s="2126">
        <v>12.659000000000001</v>
      </c>
      <c r="E36" s="2126">
        <v>2.96</v>
      </c>
      <c r="F36" s="2126">
        <v>2.96</v>
      </c>
      <c r="G36" s="2126">
        <v>12.271000000000001</v>
      </c>
      <c r="H36" s="2127">
        <v>3.1619264933583247E-2</v>
      </c>
      <c r="I36" s="2127">
        <v>0.24121913454486185</v>
      </c>
      <c r="J36" s="2135">
        <v>0.27283839947844513</v>
      </c>
      <c r="K36" s="2134">
        <v>52</v>
      </c>
      <c r="L36" s="2126">
        <v>0.38800000000000001</v>
      </c>
      <c r="M36" s="2126">
        <v>14.083</v>
      </c>
      <c r="N36" s="2128">
        <v>0.64300000000000002</v>
      </c>
      <c r="O36" s="2126">
        <v>0.64300000000000002</v>
      </c>
      <c r="P36" s="2126">
        <v>13.695</v>
      </c>
      <c r="Q36" s="2127">
        <v>2.8331507849580138E-2</v>
      </c>
      <c r="R36" s="2127">
        <v>4.6951442132165025E-2</v>
      </c>
      <c r="S36" s="2135">
        <v>7.5282949981745159E-2</v>
      </c>
      <c r="T36" s="2134">
        <v>52</v>
      </c>
      <c r="U36" s="1742">
        <v>0.38800000000000001</v>
      </c>
      <c r="V36" s="1742">
        <v>13.371</v>
      </c>
      <c r="W36" s="1742">
        <v>1.8014999999999999</v>
      </c>
      <c r="X36" s="1742">
        <v>0.49299999999999999</v>
      </c>
      <c r="Y36" s="1742">
        <v>5.8960000000000008</v>
      </c>
      <c r="Z36" s="2129">
        <v>4.9533799533799529E-2</v>
      </c>
      <c r="AA36" s="2129">
        <v>9.5765345765345747E-2</v>
      </c>
      <c r="AB36" s="2150">
        <v>0.14529914529914528</v>
      </c>
    </row>
    <row r="37" spans="1:28">
      <c r="B37" s="89">
        <v>53</v>
      </c>
      <c r="C37" s="1">
        <v>0.34100000000000003</v>
      </c>
      <c r="D37" s="1">
        <v>13.031000000000001</v>
      </c>
      <c r="E37" s="1">
        <v>3.0270000000000001</v>
      </c>
      <c r="F37" s="1">
        <v>3.0270000000000001</v>
      </c>
      <c r="G37" s="1">
        <v>12.690000000000001</v>
      </c>
      <c r="H37" s="747">
        <v>2.6871552403467298E-2</v>
      </c>
      <c r="I37" s="747">
        <v>0.23853427895981086</v>
      </c>
      <c r="J37" s="2136">
        <v>0.26540583136327817</v>
      </c>
      <c r="K37" s="89">
        <v>53</v>
      </c>
      <c r="L37" s="1">
        <v>0.34100000000000003</v>
      </c>
      <c r="M37" s="1">
        <v>14.47</v>
      </c>
      <c r="N37" s="1462">
        <v>0.64900000000000002</v>
      </c>
      <c r="O37" s="1">
        <v>0.64900000000000002</v>
      </c>
      <c r="P37" s="1">
        <v>14.129000000000001</v>
      </c>
      <c r="Q37" s="747">
        <v>2.4134758298534929E-2</v>
      </c>
      <c r="R37" s="747">
        <v>4.5933894826243896E-2</v>
      </c>
      <c r="S37" s="2136">
        <v>7.0068653124778821E-2</v>
      </c>
      <c r="T37" s="89">
        <v>53</v>
      </c>
      <c r="U37" s="746">
        <v>0.34100000000000003</v>
      </c>
      <c r="V37" s="746">
        <v>13.750500000000001</v>
      </c>
      <c r="W37" s="746">
        <v>1.8380000000000001</v>
      </c>
      <c r="X37" s="746">
        <v>0.49299999999999999</v>
      </c>
      <c r="Y37" s="746">
        <v>5.8960000000000008</v>
      </c>
      <c r="Z37" s="2124">
        <v>4.9533799533799529E-2</v>
      </c>
      <c r="AA37" s="2124">
        <v>9.5765345765345747E-2</v>
      </c>
      <c r="AB37" s="2151">
        <v>0.14529914529914528</v>
      </c>
    </row>
    <row r="38" spans="1:28">
      <c r="B38" s="2134">
        <v>54</v>
      </c>
      <c r="C38" s="2126">
        <v>0.29199999999999998</v>
      </c>
      <c r="D38" s="2126">
        <v>13.417999999999999</v>
      </c>
      <c r="E38" s="2126">
        <v>3.093</v>
      </c>
      <c r="F38" s="2126">
        <v>3.093</v>
      </c>
      <c r="G38" s="2126">
        <v>13.125999999999999</v>
      </c>
      <c r="H38" s="2127">
        <v>2.2245924120067043E-2</v>
      </c>
      <c r="I38" s="2127">
        <v>0.23563918939509371</v>
      </c>
      <c r="J38" s="2135">
        <v>0.25788511351516075</v>
      </c>
      <c r="K38" s="2134">
        <v>54</v>
      </c>
      <c r="L38" s="2126">
        <v>0.29199999999999998</v>
      </c>
      <c r="M38" s="2126">
        <v>14.87</v>
      </c>
      <c r="N38" s="2128">
        <v>0.65400000000000003</v>
      </c>
      <c r="O38" s="2126">
        <v>0.65400000000000003</v>
      </c>
      <c r="P38" s="2126">
        <v>14.577999999999999</v>
      </c>
      <c r="Q38" s="2127">
        <v>2.0030182466730689E-2</v>
      </c>
      <c r="R38" s="2127">
        <v>4.4862121004252985E-2</v>
      </c>
      <c r="S38" s="2135">
        <v>6.4892303470983681E-2</v>
      </c>
      <c r="T38" s="2134">
        <v>54</v>
      </c>
      <c r="U38" s="1742">
        <v>0.29199999999999998</v>
      </c>
      <c r="V38" s="1742">
        <v>14.143999999999998</v>
      </c>
      <c r="W38" s="1742">
        <v>1.8734999999999999</v>
      </c>
      <c r="X38" s="1742">
        <v>0.49299999999999999</v>
      </c>
      <c r="Y38" s="1742">
        <v>5.8960000000000008</v>
      </c>
      <c r="Z38" s="2129">
        <v>4.9533799533799529E-2</v>
      </c>
      <c r="AA38" s="2129">
        <v>9.5765345765345747E-2</v>
      </c>
      <c r="AB38" s="2150">
        <v>0.14529914529914528</v>
      </c>
    </row>
    <row r="39" spans="1:28">
      <c r="B39" s="89">
        <v>55</v>
      </c>
      <c r="C39" s="1">
        <v>0.24</v>
      </c>
      <c r="D39" s="1">
        <v>13.818</v>
      </c>
      <c r="E39" s="1">
        <v>3.157</v>
      </c>
      <c r="F39" s="1">
        <v>3.157</v>
      </c>
      <c r="G39" s="1">
        <v>13.577999999999999</v>
      </c>
      <c r="H39" s="747">
        <v>1.7675651789659744E-2</v>
      </c>
      <c r="I39" s="747">
        <v>0.23250846958314922</v>
      </c>
      <c r="J39" s="2136">
        <v>0.25018412137280899</v>
      </c>
      <c r="K39" s="89">
        <v>55</v>
      </c>
      <c r="L39" s="1">
        <v>0.24</v>
      </c>
      <c r="M39" s="1">
        <v>15.284000000000001</v>
      </c>
      <c r="N39" s="1462">
        <v>0.65800000000000003</v>
      </c>
      <c r="O39" s="1">
        <v>0.65800000000000003</v>
      </c>
      <c r="P39" s="1">
        <v>15.044</v>
      </c>
      <c r="Q39" s="747">
        <v>1.5953203935123637E-2</v>
      </c>
      <c r="R39" s="747">
        <v>4.3738367455463972E-2</v>
      </c>
      <c r="S39" s="2136">
        <v>5.969157139058761E-2</v>
      </c>
      <c r="T39" s="89">
        <v>55</v>
      </c>
      <c r="U39" s="746">
        <v>0.24</v>
      </c>
      <c r="V39" s="746">
        <v>14.551</v>
      </c>
      <c r="W39" s="746">
        <v>1.9075</v>
      </c>
      <c r="X39" s="746">
        <v>0.49299999999999999</v>
      </c>
      <c r="Y39" s="746">
        <v>5.8960000000000008</v>
      </c>
      <c r="Z39" s="2124">
        <v>4.9533799533799529E-2</v>
      </c>
      <c r="AA39" s="2124">
        <v>9.5765345765345747E-2</v>
      </c>
      <c r="AB39" s="2151">
        <v>0.14529914529914528</v>
      </c>
    </row>
    <row r="40" spans="1:28">
      <c r="B40" s="2134">
        <v>56</v>
      </c>
      <c r="C40" s="2126">
        <v>0.188</v>
      </c>
      <c r="D40" s="2126">
        <v>14.234999999999999</v>
      </c>
      <c r="E40" s="2126">
        <v>3.22</v>
      </c>
      <c r="F40" s="2126">
        <v>3.22</v>
      </c>
      <c r="G40" s="2126">
        <v>14.046999999999999</v>
      </c>
      <c r="H40" s="2127">
        <v>1.3383640635011036E-2</v>
      </c>
      <c r="I40" s="2127">
        <v>0.22923044066348691</v>
      </c>
      <c r="J40" s="2135">
        <v>0.24261408129849796</v>
      </c>
      <c r="K40" s="2134">
        <v>56</v>
      </c>
      <c r="L40" s="2126">
        <v>0.188</v>
      </c>
      <c r="M40" s="2126">
        <v>15.712999999999999</v>
      </c>
      <c r="N40" s="2128">
        <v>0.66100000000000003</v>
      </c>
      <c r="O40" s="2126">
        <v>0.66100000000000003</v>
      </c>
      <c r="P40" s="2126">
        <v>15.524999999999999</v>
      </c>
      <c r="Q40" s="2127">
        <v>1.2109500805152979E-2</v>
      </c>
      <c r="R40" s="2127">
        <v>4.2576489533011276E-2</v>
      </c>
      <c r="S40" s="2135">
        <v>5.4685990338164257E-2</v>
      </c>
      <c r="T40" s="2134">
        <v>56</v>
      </c>
      <c r="U40" s="1742">
        <v>0.188</v>
      </c>
      <c r="V40" s="1742">
        <v>14.974</v>
      </c>
      <c r="W40" s="1742">
        <v>1.9405000000000001</v>
      </c>
      <c r="X40" s="1742">
        <v>0.49299999999999999</v>
      </c>
      <c r="Y40" s="1742">
        <v>5.8960000000000008</v>
      </c>
      <c r="Z40" s="2129">
        <v>4.9533799533799529E-2</v>
      </c>
      <c r="AA40" s="2129">
        <v>9.5765345765345747E-2</v>
      </c>
      <c r="AB40" s="2150">
        <v>0.14529914529914528</v>
      </c>
    </row>
    <row r="41" spans="1:28">
      <c r="B41" s="89">
        <v>57</v>
      </c>
      <c r="C41" s="1">
        <v>0.13600000000000001</v>
      </c>
      <c r="D41" s="1">
        <v>14.669</v>
      </c>
      <c r="E41" s="1">
        <v>3.2829999999999999</v>
      </c>
      <c r="F41" s="1">
        <v>3.2829999999999999</v>
      </c>
      <c r="G41" s="1">
        <v>14.533000000000001</v>
      </c>
      <c r="H41" s="747">
        <v>9.35801279845868E-3</v>
      </c>
      <c r="I41" s="747">
        <v>0.22589967659808707</v>
      </c>
      <c r="J41" s="2136">
        <v>0.23525768939654576</v>
      </c>
      <c r="K41" s="89">
        <v>57</v>
      </c>
      <c r="L41" s="1">
        <v>0.13600000000000001</v>
      </c>
      <c r="M41" s="1">
        <v>16.158999999999999</v>
      </c>
      <c r="N41" s="1462">
        <v>0.66400000000000003</v>
      </c>
      <c r="O41" s="1">
        <v>0.66400000000000003</v>
      </c>
      <c r="P41" s="1">
        <v>16.023</v>
      </c>
      <c r="Q41" s="747">
        <v>8.4877987892404676E-3</v>
      </c>
      <c r="R41" s="747">
        <v>4.1440429382762281E-2</v>
      </c>
      <c r="S41" s="2136">
        <v>4.992822817200275E-2</v>
      </c>
      <c r="T41" s="89">
        <v>57</v>
      </c>
      <c r="U41" s="746">
        <v>0.13600000000000001</v>
      </c>
      <c r="V41" s="746">
        <v>15.414</v>
      </c>
      <c r="W41" s="746">
        <v>1.9735</v>
      </c>
      <c r="X41" s="746">
        <v>0.49299999999999999</v>
      </c>
      <c r="Y41" s="746">
        <v>5.8960000000000008</v>
      </c>
      <c r="Z41" s="2124">
        <v>4.9533799533799529E-2</v>
      </c>
      <c r="AA41" s="2124">
        <v>9.5765345765345747E-2</v>
      </c>
      <c r="AB41" s="2151">
        <v>0.14529914529914528</v>
      </c>
    </row>
    <row r="42" spans="1:28">
      <c r="B42" s="2134">
        <v>58</v>
      </c>
      <c r="C42" s="2126">
        <v>8.8999999999999996E-2</v>
      </c>
      <c r="D42" s="2126">
        <v>15.122</v>
      </c>
      <c r="E42" s="2126">
        <v>3.3490000000000002</v>
      </c>
      <c r="F42" s="2126">
        <v>3.3490000000000002</v>
      </c>
      <c r="G42" s="2126">
        <v>15.032999999999999</v>
      </c>
      <c r="H42" s="2127">
        <v>5.9203086542938864E-3</v>
      </c>
      <c r="I42" s="2127">
        <v>0.22277655823854189</v>
      </c>
      <c r="J42" s="2135">
        <v>0.22869686689283578</v>
      </c>
      <c r="K42" s="2134">
        <v>58</v>
      </c>
      <c r="L42" s="2126">
        <v>8.8999999999999996E-2</v>
      </c>
      <c r="M42" s="2126">
        <v>16.626000000000001</v>
      </c>
      <c r="N42" s="2128">
        <v>0.66700000000000004</v>
      </c>
      <c r="O42" s="2126">
        <v>0.66700000000000004</v>
      </c>
      <c r="P42" s="2126">
        <v>16.537000000000003</v>
      </c>
      <c r="Q42" s="2127">
        <v>5.381870956037974E-3</v>
      </c>
      <c r="R42" s="2127">
        <v>4.0333796940194712E-2</v>
      </c>
      <c r="S42" s="2135">
        <v>4.5715667896232687E-2</v>
      </c>
      <c r="T42" s="2134">
        <v>58</v>
      </c>
      <c r="U42" s="1742">
        <v>8.8999999999999996E-2</v>
      </c>
      <c r="V42" s="1742">
        <v>15.874000000000001</v>
      </c>
      <c r="W42" s="1742">
        <v>2.008</v>
      </c>
      <c r="X42" s="1742">
        <v>0.49299999999999999</v>
      </c>
      <c r="Y42" s="1742">
        <v>5.8960000000000008</v>
      </c>
      <c r="Z42" s="2129">
        <v>4.9533799533799529E-2</v>
      </c>
      <c r="AA42" s="2129">
        <v>9.5765345765345747E-2</v>
      </c>
      <c r="AB42" s="2150">
        <v>0.14529914529914528</v>
      </c>
    </row>
    <row r="43" spans="1:28">
      <c r="B43" s="89">
        <v>59</v>
      </c>
      <c r="C43" s="1">
        <v>4.9000000000000002E-2</v>
      </c>
      <c r="D43" s="1">
        <v>15.597</v>
      </c>
      <c r="E43" s="1">
        <v>3.4159999999999999</v>
      </c>
      <c r="F43" s="1">
        <v>3.4159999999999999</v>
      </c>
      <c r="G43" s="1">
        <v>15.548</v>
      </c>
      <c r="H43" s="747">
        <v>3.1515307435039876E-3</v>
      </c>
      <c r="I43" s="747">
        <v>0.21970671468999228</v>
      </c>
      <c r="J43" s="2136">
        <v>0.22285824543349628</v>
      </c>
      <c r="K43" s="89">
        <v>59</v>
      </c>
      <c r="L43" s="1">
        <v>4.9000000000000002E-2</v>
      </c>
      <c r="M43" s="1">
        <v>17.117000000000001</v>
      </c>
      <c r="N43" s="1462">
        <v>0.67</v>
      </c>
      <c r="O43" s="1">
        <v>0.67</v>
      </c>
      <c r="P43" s="1">
        <v>17.068000000000001</v>
      </c>
      <c r="Q43" s="747">
        <v>2.8708694633231779E-3</v>
      </c>
      <c r="R43" s="747">
        <v>3.925474572299039E-2</v>
      </c>
      <c r="S43" s="2136">
        <v>4.2125615186313567E-2</v>
      </c>
      <c r="T43" s="89">
        <v>59</v>
      </c>
      <c r="U43" s="746">
        <v>4.9000000000000002E-2</v>
      </c>
      <c r="V43" s="746">
        <v>16.356999999999999</v>
      </c>
      <c r="W43" s="746">
        <v>2.0430000000000001</v>
      </c>
      <c r="X43" s="746">
        <v>0.49299999999999999</v>
      </c>
      <c r="Y43" s="746">
        <v>5.8960000000000008</v>
      </c>
      <c r="Z43" s="2124">
        <v>4.9533799533799529E-2</v>
      </c>
      <c r="AA43" s="2124">
        <v>9.5765345765345747E-2</v>
      </c>
      <c r="AB43" s="2151">
        <v>0.14529914529914528</v>
      </c>
    </row>
    <row r="44" spans="1:28">
      <c r="B44" s="2134">
        <v>60</v>
      </c>
      <c r="C44" s="2126">
        <v>2.1000000000000001E-2</v>
      </c>
      <c r="D44" s="2126">
        <v>16.097000000000001</v>
      </c>
      <c r="E44" s="2126">
        <v>3.4870000000000001</v>
      </c>
      <c r="F44" s="2126">
        <v>3.4870000000000001</v>
      </c>
      <c r="G44" s="2126">
        <v>16.076000000000001</v>
      </c>
      <c r="H44" s="2127">
        <v>1.3062950982831551E-3</v>
      </c>
      <c r="I44" s="2127">
        <v>0.21690719084349341</v>
      </c>
      <c r="J44" s="2135">
        <v>0.21821348594177656</v>
      </c>
      <c r="K44" s="2134">
        <v>60</v>
      </c>
      <c r="L44" s="2126">
        <v>2.1000000000000001E-2</v>
      </c>
      <c r="M44" s="2126">
        <v>17.635000000000002</v>
      </c>
      <c r="N44" s="2128">
        <v>0.67300000000000004</v>
      </c>
      <c r="O44" s="2126">
        <v>0.67300000000000004</v>
      </c>
      <c r="P44" s="2126">
        <v>17.614000000000001</v>
      </c>
      <c r="Q44" s="2127">
        <v>1.1922334506642444E-3</v>
      </c>
      <c r="R44" s="2127">
        <v>3.8208243442716019E-2</v>
      </c>
      <c r="S44" s="2135">
        <v>3.9400476893380262E-2</v>
      </c>
      <c r="T44" s="2134">
        <v>60</v>
      </c>
      <c r="U44" s="1742">
        <v>2.1000000000000001E-2</v>
      </c>
      <c r="V44" s="1742">
        <v>16.866</v>
      </c>
      <c r="W44" s="1742">
        <v>2.08</v>
      </c>
      <c r="X44" s="1742">
        <v>0.49299999999999999</v>
      </c>
      <c r="Y44" s="1742">
        <v>5.8960000000000008</v>
      </c>
      <c r="Z44" s="2129">
        <v>4.9533799533799529E-2</v>
      </c>
      <c r="AA44" s="2129">
        <v>9.5765345765345747E-2</v>
      </c>
      <c r="AB44" s="2150">
        <v>0.14529914529914528</v>
      </c>
    </row>
    <row r="45" spans="1:28">
      <c r="B45" s="89">
        <v>61</v>
      </c>
      <c r="C45" s="1">
        <v>4.0000000000000001E-3</v>
      </c>
      <c r="D45" s="1">
        <v>16.626000000000001</v>
      </c>
      <c r="E45" s="1">
        <v>3.5619999999999998</v>
      </c>
      <c r="F45" s="1">
        <v>3.5619999999999998</v>
      </c>
      <c r="G45" s="1">
        <v>16.622</v>
      </c>
      <c r="H45" s="747">
        <v>2.406449284081338E-4</v>
      </c>
      <c r="I45" s="747">
        <v>0.21429430874744315</v>
      </c>
      <c r="J45" s="2136">
        <v>0.21453495367585129</v>
      </c>
      <c r="K45" s="89">
        <v>61</v>
      </c>
      <c r="L45" s="1">
        <v>4.0000000000000001E-3</v>
      </c>
      <c r="M45" s="1">
        <v>18.184999999999999</v>
      </c>
      <c r="N45" s="1462">
        <v>0.67600000000000005</v>
      </c>
      <c r="O45" s="1">
        <v>0.67600000000000005</v>
      </c>
      <c r="P45" s="1">
        <v>18.180999999999997</v>
      </c>
      <c r="Q45" s="747">
        <v>2.2000990044552008E-4</v>
      </c>
      <c r="R45" s="747">
        <v>3.7181673175292897E-2</v>
      </c>
      <c r="S45" s="2136">
        <v>3.7401683075738414E-2</v>
      </c>
      <c r="T45" s="89">
        <v>61</v>
      </c>
      <c r="U45" s="746">
        <v>4.0000000000000001E-3</v>
      </c>
      <c r="V45" s="746">
        <v>17.4055</v>
      </c>
      <c r="W45" s="746">
        <v>2.1189999999999998</v>
      </c>
      <c r="X45" s="746">
        <v>0.49299999999999999</v>
      </c>
      <c r="Y45" s="746">
        <v>5.8960000000000008</v>
      </c>
      <c r="Z45" s="2124">
        <v>4.9533799533799529E-2</v>
      </c>
      <c r="AA45" s="2124">
        <v>9.5765345765345747E-2</v>
      </c>
      <c r="AB45" s="2151">
        <v>0.14529914529914528</v>
      </c>
    </row>
    <row r="46" spans="1:28">
      <c r="A46" s="34"/>
      <c r="B46" s="2155">
        <v>62</v>
      </c>
      <c r="C46" s="2156">
        <v>0</v>
      </c>
      <c r="D46" s="2156">
        <v>17.187000000000001</v>
      </c>
      <c r="E46" s="2156">
        <v>3.6219999999999999</v>
      </c>
      <c r="F46" s="2156">
        <v>3.6219999999999999</v>
      </c>
      <c r="G46" s="2156">
        <v>17.187000000000001</v>
      </c>
      <c r="H46" s="2157">
        <v>0</v>
      </c>
      <c r="I46" s="2157">
        <v>0.21074067609239538</v>
      </c>
      <c r="J46" s="2158">
        <v>0.21074067609239538</v>
      </c>
      <c r="K46" s="2155">
        <v>62</v>
      </c>
      <c r="L46" s="2156">
        <v>0</v>
      </c>
      <c r="M46" s="2156">
        <v>18.765999999999998</v>
      </c>
      <c r="N46" s="2159">
        <v>0.67600000000000005</v>
      </c>
      <c r="O46" s="2156">
        <v>0.67600000000000005</v>
      </c>
      <c r="P46" s="2156">
        <v>18.765999999999998</v>
      </c>
      <c r="Q46" s="2157">
        <v>0</v>
      </c>
      <c r="R46" s="2157">
        <v>3.6022594053074716E-2</v>
      </c>
      <c r="S46" s="2158">
        <v>3.6022594053074716E-2</v>
      </c>
      <c r="T46" s="2155">
        <v>62</v>
      </c>
      <c r="U46" s="2160">
        <v>0</v>
      </c>
      <c r="V46" s="2160">
        <v>17.976500000000001</v>
      </c>
      <c r="W46" s="2160">
        <v>2.149</v>
      </c>
      <c r="X46" s="2160">
        <v>0.49299999999999999</v>
      </c>
      <c r="Y46" s="2160">
        <v>5.8960000000000008</v>
      </c>
      <c r="Z46" s="2161">
        <v>4.9533799533799529E-2</v>
      </c>
      <c r="AA46" s="2161">
        <v>9.5765345765345747E-2</v>
      </c>
      <c r="AB46" s="2162">
        <v>0.14529914529914528</v>
      </c>
    </row>
    <row r="47" spans="1:28">
      <c r="B47" s="89">
        <v>63</v>
      </c>
      <c r="C47" s="1">
        <v>0</v>
      </c>
      <c r="D47" s="1">
        <v>16.815000000000001</v>
      </c>
      <c r="E47" s="1">
        <v>3.6419999999999999</v>
      </c>
      <c r="F47" s="1">
        <v>3.6419999999999999</v>
      </c>
      <c r="G47" s="1">
        <v>16.815000000000001</v>
      </c>
      <c r="H47" s="747">
        <v>0</v>
      </c>
      <c r="I47" s="747">
        <v>0.21659232827832289</v>
      </c>
      <c r="J47" s="2136">
        <v>0.21659232827832289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0.49299999999999999</v>
      </c>
      <c r="Y47" s="746">
        <v>5.8960000000000008</v>
      </c>
      <c r="Z47" s="2124">
        <v>4.9533799533799529E-2</v>
      </c>
      <c r="AA47" s="2124">
        <v>9.5765345765345747E-2</v>
      </c>
      <c r="AB47" s="2151">
        <v>0.14529914529914528</v>
      </c>
    </row>
    <row r="48" spans="1:28">
      <c r="B48" s="2134">
        <v>64</v>
      </c>
      <c r="C48" s="2126">
        <v>0</v>
      </c>
      <c r="D48" s="2126">
        <v>16.437999999999999</v>
      </c>
      <c r="E48" s="2126">
        <v>3.6579999999999999</v>
      </c>
      <c r="F48" s="2126">
        <v>3.6579999999999999</v>
      </c>
      <c r="G48" s="2126">
        <v>16.437999999999999</v>
      </c>
      <c r="H48" s="2127">
        <v>0</v>
      </c>
      <c r="I48" s="2127">
        <v>0.22253315488502251</v>
      </c>
      <c r="J48" s="2135">
        <v>0.22253315488502251</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0.49299999999999999</v>
      </c>
      <c r="Y48" s="1742">
        <v>5.8960000000000008</v>
      </c>
      <c r="Z48" s="2129">
        <v>4.9533799533799529E-2</v>
      </c>
      <c r="AA48" s="2129">
        <v>9.5765345765345747E-2</v>
      </c>
      <c r="AB48" s="2150">
        <v>0.14529914529914528</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0.49299999999999999</v>
      </c>
      <c r="Y49" s="746">
        <v>5.8960000000000008</v>
      </c>
      <c r="Z49" s="967">
        <v>4.9533799533799529E-2</v>
      </c>
      <c r="AA49" s="967">
        <v>9.5765345765345747E-2</v>
      </c>
      <c r="AB49" s="968">
        <v>0.14529914529914528</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0.49299999999999999</v>
      </c>
      <c r="Y50" s="1742">
        <v>5.8960000000000008</v>
      </c>
      <c r="Z50" s="2129">
        <v>4.9533799533799529E-2</v>
      </c>
      <c r="AA50" s="2129">
        <v>9.5765345765345747E-2</v>
      </c>
      <c r="AB50" s="2150">
        <v>0.14529914529914528</v>
      </c>
    </row>
    <row r="51" spans="2:28">
      <c r="B51" s="89">
        <v>67</v>
      </c>
      <c r="C51" s="1"/>
      <c r="D51" s="1">
        <v>15.260999999999999</v>
      </c>
      <c r="E51" s="1">
        <v>3.6779999999999999</v>
      </c>
      <c r="F51" s="1">
        <v>3.6779999999999999</v>
      </c>
      <c r="G51" s="1">
        <v>15.260999999999999</v>
      </c>
      <c r="H51" s="747">
        <v>0</v>
      </c>
      <c r="I51" s="747">
        <v>0.24100648712404169</v>
      </c>
      <c r="J51" s="2136">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0.49299999999999999</v>
      </c>
      <c r="Y51" s="746">
        <v>5.8960000000000008</v>
      </c>
      <c r="Z51" s="2124">
        <v>4.9533799533799529E-2</v>
      </c>
      <c r="AA51" s="2124">
        <v>9.5765345765345747E-2</v>
      </c>
      <c r="AB51" s="2151">
        <v>0.14529914529914528</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0.49299999999999999</v>
      </c>
      <c r="Y52" s="1742">
        <v>5.8960000000000008</v>
      </c>
      <c r="Z52" s="2129">
        <v>4.9533799533799529E-2</v>
      </c>
      <c r="AA52" s="2129">
        <v>9.5765345765345747E-2</v>
      </c>
      <c r="AB52" s="2150">
        <v>0.14529914529914528</v>
      </c>
    </row>
    <row r="53" spans="2:28">
      <c r="B53" s="89">
        <v>69</v>
      </c>
      <c r="C53" s="1"/>
      <c r="D53" s="1">
        <v>14.432</v>
      </c>
      <c r="E53" s="1">
        <v>3.681</v>
      </c>
      <c r="F53" s="1">
        <v>3.681</v>
      </c>
      <c r="G53" s="1">
        <v>14.432</v>
      </c>
      <c r="H53" s="747">
        <v>0</v>
      </c>
      <c r="I53" s="747">
        <v>0.25505820399113083</v>
      </c>
      <c r="J53" s="2136">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0.49299999999999999</v>
      </c>
      <c r="Y53" s="746">
        <v>5.8960000000000008</v>
      </c>
      <c r="Z53" s="2124">
        <v>4.9533799533799529E-2</v>
      </c>
      <c r="AA53" s="2124">
        <v>9.5765345765345747E-2</v>
      </c>
      <c r="AB53" s="2151">
        <v>0.14529914529914528</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0.49299999999999999</v>
      </c>
      <c r="Y54" s="1742">
        <v>5.8960000000000008</v>
      </c>
      <c r="Z54" s="2129">
        <v>4.9533799533799529E-2</v>
      </c>
      <c r="AA54" s="2129">
        <v>9.5765345765345747E-2</v>
      </c>
      <c r="AB54" s="2150">
        <v>0.14529914529914528</v>
      </c>
    </row>
    <row r="55" spans="2:28">
      <c r="B55" s="89">
        <v>71</v>
      </c>
      <c r="C55" s="1"/>
      <c r="D55" s="1">
        <v>13.561999999999999</v>
      </c>
      <c r="E55" s="1">
        <v>3.6749999999999998</v>
      </c>
      <c r="F55" s="1">
        <v>3.6749999999999998</v>
      </c>
      <c r="G55" s="1">
        <v>13.561999999999999</v>
      </c>
      <c r="H55" s="747">
        <v>0</v>
      </c>
      <c r="I55" s="747">
        <v>0.27097773189795016</v>
      </c>
      <c r="J55" s="2136">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0.49299999999999999</v>
      </c>
      <c r="Y55" s="746">
        <v>5.8960000000000008</v>
      </c>
      <c r="Z55" s="2124">
        <v>4.9533799533799529E-2</v>
      </c>
      <c r="AA55" s="2124">
        <v>9.5765345765345747E-2</v>
      </c>
      <c r="AB55" s="2151">
        <v>0.14529914529914528</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0.49299999999999999</v>
      </c>
      <c r="Y56" s="1742">
        <v>5.8960000000000008</v>
      </c>
      <c r="Z56" s="2129">
        <v>4.9533799533799529E-2</v>
      </c>
      <c r="AA56" s="2129">
        <v>9.5765345765345747E-2</v>
      </c>
      <c r="AB56" s="2150">
        <v>0.14529914529914528</v>
      </c>
    </row>
    <row r="57" spans="2:28">
      <c r="B57" s="89">
        <v>73</v>
      </c>
      <c r="C57" s="1"/>
      <c r="D57" s="1">
        <v>12.65</v>
      </c>
      <c r="E57" s="1">
        <v>3.6669999999999998</v>
      </c>
      <c r="F57" s="1">
        <v>3.6669999999999998</v>
      </c>
      <c r="G57" s="1">
        <v>12.65</v>
      </c>
      <c r="H57" s="747">
        <v>0</v>
      </c>
      <c r="I57" s="747">
        <v>0.28988142292490116</v>
      </c>
      <c r="J57" s="2136">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0.49299999999999999</v>
      </c>
      <c r="Y57" s="746">
        <v>5.8960000000000008</v>
      </c>
      <c r="Z57" s="2124">
        <v>4.9533799533799529E-2</v>
      </c>
      <c r="AA57" s="2124">
        <v>9.5765345765345747E-2</v>
      </c>
      <c r="AB57" s="2151">
        <v>0.14529914529914528</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0.49299999999999999</v>
      </c>
      <c r="Y58" s="1742">
        <v>5.8960000000000008</v>
      </c>
      <c r="Z58" s="2129">
        <v>4.9533799533799529E-2</v>
      </c>
      <c r="AA58" s="2129">
        <v>9.5765345765345747E-2</v>
      </c>
      <c r="AB58" s="2150">
        <v>0.14529914529914528</v>
      </c>
    </row>
    <row r="59" spans="2:28">
      <c r="B59" s="89">
        <v>75</v>
      </c>
      <c r="C59" s="1"/>
      <c r="D59" s="1">
        <v>11.701000000000001</v>
      </c>
      <c r="E59" s="1">
        <v>3.6549999999999998</v>
      </c>
      <c r="F59" s="1">
        <v>3.6549999999999998</v>
      </c>
      <c r="G59" s="1">
        <v>11.701000000000001</v>
      </c>
      <c r="H59" s="747">
        <v>0</v>
      </c>
      <c r="I59" s="747">
        <v>0.31236646440475169</v>
      </c>
      <c r="J59" s="2136">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0.49299999999999999</v>
      </c>
      <c r="Y59" s="746">
        <v>5.8960000000000008</v>
      </c>
      <c r="Z59" s="2124">
        <v>4.9533799533799529E-2</v>
      </c>
      <c r="AA59" s="2124">
        <v>9.5765345765345747E-2</v>
      </c>
      <c r="AB59" s="2151">
        <v>0.14529914529914528</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0.49299999999999999</v>
      </c>
      <c r="Y60" s="1742">
        <v>5.8960000000000008</v>
      </c>
      <c r="Z60" s="2129">
        <v>4.9533799533799529E-2</v>
      </c>
      <c r="AA60" s="2129">
        <v>9.5765345765345747E-2</v>
      </c>
      <c r="AB60" s="2150">
        <v>0.14529914529914528</v>
      </c>
    </row>
    <row r="61" spans="2:28">
      <c r="B61" s="89">
        <v>77</v>
      </c>
      <c r="C61" s="1"/>
      <c r="D61" s="1">
        <v>10.724</v>
      </c>
      <c r="E61" s="1">
        <v>3.625</v>
      </c>
      <c r="F61" s="1">
        <v>3.625</v>
      </c>
      <c r="G61" s="1">
        <v>10.724</v>
      </c>
      <c r="H61" s="747">
        <v>0</v>
      </c>
      <c r="I61" s="747">
        <v>0.33802685565087653</v>
      </c>
      <c r="J61" s="2136">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0.49299999999999999</v>
      </c>
      <c r="Y61" s="746">
        <v>5.8960000000000008</v>
      </c>
      <c r="Z61" s="2124">
        <v>4.9533799533799529E-2</v>
      </c>
      <c r="AA61" s="2124">
        <v>9.5765345765345747E-2</v>
      </c>
      <c r="AB61" s="2151">
        <v>0.14529914529914528</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0.49299999999999999</v>
      </c>
      <c r="Y62" s="1742">
        <v>5.8960000000000008</v>
      </c>
      <c r="Z62" s="2129">
        <v>4.9533799533799529E-2</v>
      </c>
      <c r="AA62" s="2129">
        <v>9.5765345765345747E-2</v>
      </c>
      <c r="AB62" s="2150">
        <v>0.14529914529914528</v>
      </c>
    </row>
    <row r="63" spans="2:28">
      <c r="B63" s="89">
        <v>79</v>
      </c>
      <c r="C63" s="1"/>
      <c r="D63" s="1">
        <v>9.7330000000000005</v>
      </c>
      <c r="E63" s="1">
        <v>3.57</v>
      </c>
      <c r="F63" s="1">
        <v>3.57</v>
      </c>
      <c r="G63" s="1">
        <v>9.7330000000000005</v>
      </c>
      <c r="H63" s="747">
        <v>0</v>
      </c>
      <c r="I63" s="747">
        <v>0.36679338333504569</v>
      </c>
      <c r="J63" s="2136">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0.49299999999999999</v>
      </c>
      <c r="Y63" s="746">
        <v>5.8960000000000008</v>
      </c>
      <c r="Z63" s="2124">
        <v>4.9533799533799529E-2</v>
      </c>
      <c r="AA63" s="2124">
        <v>9.5765345765345747E-2</v>
      </c>
      <c r="AB63" s="2151">
        <v>0.14529914529914528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0.49299999999999999</v>
      </c>
      <c r="Y64" s="1742">
        <v>5.8960000000000008</v>
      </c>
      <c r="Z64" s="2129">
        <v>4.9533799533799529E-2</v>
      </c>
      <c r="AA64" s="2129">
        <v>9.5765345765345747E-2</v>
      </c>
      <c r="AB64" s="2150">
        <v>0.14529914529914528</v>
      </c>
    </row>
    <row r="65" spans="2:28">
      <c r="B65" s="89">
        <v>81</v>
      </c>
      <c r="C65" s="1"/>
      <c r="D65" s="1">
        <v>8.7469999999999999</v>
      </c>
      <c r="E65" s="1">
        <v>3.4820000000000002</v>
      </c>
      <c r="F65" s="1">
        <v>3.4820000000000002</v>
      </c>
      <c r="G65" s="1">
        <v>8.7469999999999999</v>
      </c>
      <c r="H65" s="747">
        <v>0</v>
      </c>
      <c r="I65" s="747">
        <v>0.39807934148851037</v>
      </c>
      <c r="J65" s="2136">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0.49299999999999999</v>
      </c>
      <c r="Y65" s="746">
        <v>5.8960000000000008</v>
      </c>
      <c r="Z65" s="2124">
        <v>4.9533799533799529E-2</v>
      </c>
      <c r="AA65" s="2124">
        <v>9.5765345765345747E-2</v>
      </c>
      <c r="AB65" s="2151">
        <v>0.14529914529914528</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0.49299999999999999</v>
      </c>
      <c r="Y66" s="1742">
        <v>5.8960000000000008</v>
      </c>
      <c r="Z66" s="2129">
        <v>4.9533799533799529E-2</v>
      </c>
      <c r="AA66" s="2129">
        <v>9.5765345765345747E-2</v>
      </c>
      <c r="AB66" s="2150">
        <v>0.14529914529914528</v>
      </c>
    </row>
    <row r="67" spans="2:28">
      <c r="B67" s="89">
        <v>83</v>
      </c>
      <c r="C67" s="1"/>
      <c r="D67" s="1">
        <v>7.7880000000000003</v>
      </c>
      <c r="E67" s="1">
        <v>3.3220000000000001</v>
      </c>
      <c r="F67" s="1">
        <v>3.3220000000000001</v>
      </c>
      <c r="G67" s="1">
        <v>7.7880000000000003</v>
      </c>
      <c r="H67" s="747">
        <v>0</v>
      </c>
      <c r="I67" s="747">
        <v>0.42655367231638419</v>
      </c>
      <c r="J67" s="2136">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0.49299999999999999</v>
      </c>
      <c r="Y67" s="746">
        <v>5.8960000000000008</v>
      </c>
      <c r="Z67" s="2124">
        <v>4.9533799533799529E-2</v>
      </c>
      <c r="AA67" s="2124">
        <v>9.5765345765345747E-2</v>
      </c>
      <c r="AB67" s="2151">
        <v>0.14529914529914528</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0.49299999999999999</v>
      </c>
      <c r="Y68" s="1742">
        <v>5.8960000000000008</v>
      </c>
      <c r="Z68" s="2129">
        <v>4.9533799533799529E-2</v>
      </c>
      <c r="AA68" s="2129">
        <v>9.5765345765345747E-2</v>
      </c>
      <c r="AB68" s="2150">
        <v>0.14529914529914528</v>
      </c>
    </row>
    <row r="69" spans="2:28">
      <c r="B69" s="89">
        <v>85</v>
      </c>
      <c r="C69" s="1"/>
      <c r="D69" s="1">
        <v>6.883</v>
      </c>
      <c r="E69" s="1">
        <v>3.1139999999999999</v>
      </c>
      <c r="F69" s="1">
        <v>3.1139999999999999</v>
      </c>
      <c r="G69" s="1">
        <v>6.883</v>
      </c>
      <c r="H69" s="747">
        <v>0</v>
      </c>
      <c r="I69" s="747">
        <v>0.45241900334156615</v>
      </c>
      <c r="J69" s="2136">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0.49299999999999999</v>
      </c>
      <c r="Y69" s="746">
        <v>5.8960000000000008</v>
      </c>
      <c r="Z69" s="2124">
        <v>4.9533799533799529E-2</v>
      </c>
      <c r="AA69" s="2124">
        <v>9.5765345765345747E-2</v>
      </c>
      <c r="AB69" s="2151">
        <v>0.14529914529914528</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0.49299999999999999</v>
      </c>
      <c r="Y70" s="1742">
        <v>5.8960000000000008</v>
      </c>
      <c r="Z70" s="2129">
        <v>4.9533799533799529E-2</v>
      </c>
      <c r="AA70" s="2129">
        <v>9.5765345765345747E-2</v>
      </c>
      <c r="AB70" s="2150">
        <v>0.14529914529914528</v>
      </c>
    </row>
    <row r="71" spans="2:28">
      <c r="B71" s="89">
        <v>87</v>
      </c>
      <c r="C71" s="1"/>
      <c r="D71" s="1">
        <v>6.069</v>
      </c>
      <c r="E71" s="1">
        <v>2.8730000000000002</v>
      </c>
      <c r="F71" s="1">
        <v>2.8730000000000002</v>
      </c>
      <c r="G71" s="1">
        <v>6.069</v>
      </c>
      <c r="H71" s="747">
        <v>0</v>
      </c>
      <c r="I71" s="747">
        <v>0.47338935574229696</v>
      </c>
      <c r="J71" s="2136">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0.49299999999999999</v>
      </c>
      <c r="Y71" s="746">
        <v>5.8960000000000008</v>
      </c>
      <c r="Z71" s="2124">
        <v>4.9533799533799529E-2</v>
      </c>
      <c r="AA71" s="2124">
        <v>9.5765345765345747E-2</v>
      </c>
      <c r="AB71" s="2151">
        <v>0.14529914529914528</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0.49299999999999999</v>
      </c>
      <c r="Y72" s="1742">
        <v>5.8960000000000008</v>
      </c>
      <c r="Z72" s="2129">
        <v>4.9533799533799529E-2</v>
      </c>
      <c r="AA72" s="2129">
        <v>9.5765345765345747E-2</v>
      </c>
      <c r="AB72" s="2150">
        <v>0.14529914529914528</v>
      </c>
    </row>
    <row r="73" spans="2:28">
      <c r="B73" s="89">
        <v>89</v>
      </c>
      <c r="C73" s="1"/>
      <c r="D73" s="1">
        <v>5.3979999999999997</v>
      </c>
      <c r="E73" s="1">
        <v>2.5489999999999999</v>
      </c>
      <c r="F73" s="1">
        <v>2.5489999999999999</v>
      </c>
      <c r="G73" s="1">
        <v>5.3979999999999997</v>
      </c>
      <c r="H73" s="747">
        <v>0</v>
      </c>
      <c r="I73" s="747">
        <v>0.4722119303445721</v>
      </c>
      <c r="J73" s="2136">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0.49299999999999999</v>
      </c>
      <c r="Y73" s="746">
        <v>5.8960000000000008</v>
      </c>
      <c r="Z73" s="2124">
        <v>4.9533799533799529E-2</v>
      </c>
      <c r="AA73" s="2124">
        <v>9.5765345765345747E-2</v>
      </c>
      <c r="AB73" s="2151">
        <v>0.14529914529914528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0.49299999999999999</v>
      </c>
      <c r="Y74" s="1742">
        <v>5.8960000000000008</v>
      </c>
      <c r="Z74" s="2129">
        <v>4.9533799533799529E-2</v>
      </c>
      <c r="AA74" s="2129">
        <v>9.5765345765345747E-2</v>
      </c>
      <c r="AB74" s="2150">
        <v>0.14529914529914528</v>
      </c>
    </row>
    <row r="75" spans="2:28">
      <c r="B75" s="89">
        <v>91</v>
      </c>
      <c r="C75" s="1"/>
      <c r="D75" s="1">
        <v>4.8499999999999996</v>
      </c>
      <c r="E75" s="1">
        <v>2.2040000000000002</v>
      </c>
      <c r="F75" s="1">
        <v>2.2040000000000002</v>
      </c>
      <c r="G75" s="1">
        <v>4.8499999999999996</v>
      </c>
      <c r="H75" s="747">
        <v>0</v>
      </c>
      <c r="I75" s="747">
        <v>0.45443298969072171</v>
      </c>
      <c r="J75" s="2136">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0.49299999999999999</v>
      </c>
      <c r="Y75" s="746">
        <v>5.8960000000000008</v>
      </c>
      <c r="Z75" s="2124">
        <v>4.9533799533799529E-2</v>
      </c>
      <c r="AA75" s="2124">
        <v>9.5765345765345747E-2</v>
      </c>
      <c r="AB75" s="2151">
        <v>0.14529914529914528</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0.49299999999999999</v>
      </c>
      <c r="Y76" s="1742">
        <v>5.8960000000000008</v>
      </c>
      <c r="Z76" s="2129">
        <v>4.9533799533799529E-2</v>
      </c>
      <c r="AA76" s="2129">
        <v>9.5765345765345747E-2</v>
      </c>
      <c r="AB76" s="2150">
        <v>0.14529914529914528</v>
      </c>
    </row>
    <row r="77" spans="2:28">
      <c r="B77" s="89">
        <v>93</v>
      </c>
      <c r="C77" s="1"/>
      <c r="D77" s="1">
        <v>4.3760000000000003</v>
      </c>
      <c r="E77" s="1">
        <v>1.85</v>
      </c>
      <c r="F77" s="1">
        <v>1.85</v>
      </c>
      <c r="G77" s="1">
        <v>4.3760000000000003</v>
      </c>
      <c r="H77" s="747">
        <v>0</v>
      </c>
      <c r="I77" s="747">
        <v>0.42276051188299818</v>
      </c>
      <c r="J77" s="2136">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0.49299999999999999</v>
      </c>
      <c r="Y77" s="746">
        <v>5.8960000000000008</v>
      </c>
      <c r="Z77" s="2124">
        <v>4.9533799533799529E-2</v>
      </c>
      <c r="AA77" s="2124">
        <v>9.5765345765345747E-2</v>
      </c>
      <c r="AB77" s="2151">
        <v>0.14529914529914528</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0.49299999999999999</v>
      </c>
      <c r="Y78" s="1742">
        <v>5.8960000000000008</v>
      </c>
      <c r="Z78" s="2129">
        <v>4.9533799533799529E-2</v>
      </c>
      <c r="AA78" s="2129">
        <v>9.5765345765345747E-2</v>
      </c>
      <c r="AB78" s="2150">
        <v>0.14529914529914528</v>
      </c>
    </row>
    <row r="79" spans="2:28">
      <c r="B79" s="89">
        <v>95</v>
      </c>
      <c r="C79" s="1"/>
      <c r="D79" s="1">
        <v>3.9740000000000002</v>
      </c>
      <c r="E79" s="1">
        <v>1.5349999999999999</v>
      </c>
      <c r="F79" s="1">
        <v>1.5349999999999999</v>
      </c>
      <c r="G79" s="1">
        <v>3.9740000000000002</v>
      </c>
      <c r="H79" s="747">
        <v>0</v>
      </c>
      <c r="I79" s="747">
        <v>0.38626069451434319</v>
      </c>
      <c r="J79" s="2136">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0.49299999999999999</v>
      </c>
      <c r="Y79" s="746">
        <v>5.8960000000000008</v>
      </c>
      <c r="Z79" s="2124">
        <v>4.9533799533799529E-2</v>
      </c>
      <c r="AA79" s="2124">
        <v>9.5765345765345747E-2</v>
      </c>
      <c r="AB79" s="2151">
        <v>0.14529914529914528</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0.49299999999999999</v>
      </c>
      <c r="Y80" s="1742">
        <v>5.8960000000000008</v>
      </c>
      <c r="Z80" s="2129">
        <v>4.9533799533799529E-2</v>
      </c>
      <c r="AA80" s="2129">
        <v>9.5765345765345747E-2</v>
      </c>
      <c r="AB80" s="2150">
        <v>0.14529914529914528</v>
      </c>
    </row>
    <row r="81" spans="2:28">
      <c r="B81" s="89">
        <v>97</v>
      </c>
      <c r="C81" s="1"/>
      <c r="D81" s="1">
        <v>3.6389999999999998</v>
      </c>
      <c r="E81" s="1">
        <v>1.216</v>
      </c>
      <c r="F81" s="1">
        <v>1.216</v>
      </c>
      <c r="G81" s="1">
        <v>3.6389999999999998</v>
      </c>
      <c r="H81" s="747">
        <v>0</v>
      </c>
      <c r="I81" s="747">
        <v>0.33415773564165979</v>
      </c>
      <c r="J81" s="2136">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0.49299999999999999</v>
      </c>
      <c r="Y81" s="746">
        <v>5.8960000000000008</v>
      </c>
      <c r="Z81" s="2124">
        <v>4.9533799533799529E-2</v>
      </c>
      <c r="AA81" s="2124">
        <v>9.5765345765345747E-2</v>
      </c>
      <c r="AB81" s="2151">
        <v>0.14529914529914528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0.49299999999999999</v>
      </c>
      <c r="Y82" s="1742">
        <v>5.8960000000000008</v>
      </c>
      <c r="Z82" s="2129">
        <v>4.9533799533799529E-2</v>
      </c>
      <c r="AA82" s="2129">
        <v>9.5765345765345747E-2</v>
      </c>
      <c r="AB82" s="2150">
        <v>0.14529914529914528</v>
      </c>
    </row>
    <row r="83" spans="2:28">
      <c r="B83" s="89">
        <v>99</v>
      </c>
      <c r="C83" s="1"/>
      <c r="D83" s="1">
        <v>3.3639999999999999</v>
      </c>
      <c r="E83" s="1">
        <v>0.84799999999999998</v>
      </c>
      <c r="F83" s="1">
        <v>0.84799999999999998</v>
      </c>
      <c r="G83" s="1">
        <v>3.3639999999999999</v>
      </c>
      <c r="H83" s="747">
        <v>0</v>
      </c>
      <c r="I83" s="747">
        <v>0.25208085612366232</v>
      </c>
      <c r="J83" s="2136">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0.49299999999999999</v>
      </c>
      <c r="Y83" s="746">
        <v>5.8960000000000008</v>
      </c>
      <c r="Z83" s="2124">
        <v>4.9533799533799529E-2</v>
      </c>
      <c r="AA83" s="2124">
        <v>9.5765345765345747E-2</v>
      </c>
      <c r="AB83" s="2151">
        <v>0.14529914529914528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40">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0.49299999999999999</v>
      </c>
      <c r="Y84" s="2152">
        <v>5.8960000000000008</v>
      </c>
      <c r="Z84" s="2153">
        <v>4.9533799533799529E-2</v>
      </c>
      <c r="AA84" s="2153">
        <v>9.5765345765345747E-2</v>
      </c>
      <c r="AB84" s="2154">
        <v>0.14529914529914528</v>
      </c>
    </row>
  </sheetData>
  <mergeCells count="4">
    <mergeCell ref="B2:B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1" spans="1:28" ht="1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1966</v>
      </c>
      <c r="B2" s="3960" t="s">
        <v>7</v>
      </c>
      <c r="C2" s="2131" t="s">
        <v>0</v>
      </c>
      <c r="D2" s="2131" t="s">
        <v>1</v>
      </c>
      <c r="E2" s="2131" t="s">
        <v>2</v>
      </c>
      <c r="F2" s="2131" t="s">
        <v>1706</v>
      </c>
      <c r="G2" s="2131" t="s">
        <v>1963</v>
      </c>
      <c r="H2" s="3956" t="s">
        <v>5</v>
      </c>
      <c r="I2" s="3956"/>
      <c r="J2" s="3957"/>
      <c r="K2" s="2141"/>
      <c r="L2" s="2142" t="s">
        <v>0</v>
      </c>
      <c r="M2" s="2142" t="s">
        <v>1</v>
      </c>
      <c r="N2" s="2142" t="s">
        <v>2</v>
      </c>
      <c r="O2" s="2142" t="s">
        <v>1706</v>
      </c>
      <c r="P2" s="2142" t="str">
        <f>+G2</f>
        <v>Anwartschafts-barwert
Altersrente</v>
      </c>
      <c r="Q2" s="3958" t="s">
        <v>6</v>
      </c>
      <c r="R2" s="3958"/>
      <c r="S2" s="3959"/>
      <c r="T2" s="2146"/>
      <c r="U2" s="2147" t="s">
        <v>0</v>
      </c>
      <c r="V2" s="2147" t="s">
        <v>1</v>
      </c>
      <c r="W2" s="2147" t="s">
        <v>2</v>
      </c>
      <c r="X2" s="2147" t="s">
        <v>1706</v>
      </c>
      <c r="Y2" s="2147" t="str">
        <f>+G2</f>
        <v>Anwartschafts-barwert
Altersrente</v>
      </c>
      <c r="Z2" s="3962" t="s">
        <v>6</v>
      </c>
      <c r="AA2" s="3962"/>
      <c r="AB2" s="3963"/>
    </row>
    <row r="3" spans="1:28" s="2" customFormat="1" ht="13.5">
      <c r="A3" s="60">
        <v>43111</v>
      </c>
      <c r="B3" s="3961"/>
      <c r="C3" s="2125" t="s">
        <v>17</v>
      </c>
      <c r="D3" s="2125" t="s">
        <v>18</v>
      </c>
      <c r="E3" s="2125" t="s">
        <v>24</v>
      </c>
      <c r="F3" s="2125" t="s">
        <v>25</v>
      </c>
      <c r="G3" s="2125"/>
      <c r="H3" s="1133" t="s">
        <v>8</v>
      </c>
      <c r="I3" s="1133" t="s">
        <v>9</v>
      </c>
      <c r="J3" s="2133" t="s">
        <v>10</v>
      </c>
      <c r="K3" s="2143" t="s">
        <v>7</v>
      </c>
      <c r="L3" s="1134" t="s">
        <v>19</v>
      </c>
      <c r="M3" s="1134" t="s">
        <v>20</v>
      </c>
      <c r="N3" s="1134" t="s">
        <v>26</v>
      </c>
      <c r="O3" s="1134" t="s">
        <v>27</v>
      </c>
      <c r="P3" s="1134"/>
      <c r="Q3" s="1134" t="s">
        <v>8</v>
      </c>
      <c r="R3" s="1134" t="s">
        <v>9</v>
      </c>
      <c r="S3" s="2144" t="s">
        <v>10</v>
      </c>
      <c r="T3" s="2163" t="s">
        <v>7</v>
      </c>
      <c r="U3" s="2164" t="s">
        <v>19</v>
      </c>
      <c r="V3" s="2164" t="s">
        <v>20</v>
      </c>
      <c r="W3" s="2164" t="s">
        <v>26</v>
      </c>
      <c r="X3" s="2164" t="s">
        <v>27</v>
      </c>
      <c r="Y3" s="2164"/>
      <c r="Z3" s="2164" t="s">
        <v>8</v>
      </c>
      <c r="AA3" s="2164" t="s">
        <v>9</v>
      </c>
      <c r="AB3" s="2165" t="s">
        <v>10</v>
      </c>
    </row>
    <row r="4" spans="1:28">
      <c r="B4" s="2134">
        <v>20</v>
      </c>
      <c r="C4" s="2126">
        <v>0.24</v>
      </c>
      <c r="D4" s="2126">
        <v>5.3579999999999997</v>
      </c>
      <c r="E4" s="2126">
        <v>0.53</v>
      </c>
      <c r="F4" s="2126">
        <v>0.53</v>
      </c>
      <c r="G4" s="2126">
        <v>5.1179999999999994</v>
      </c>
      <c r="H4" s="2127">
        <v>4.6893317702227433E-2</v>
      </c>
      <c r="I4" s="2127">
        <v>0.10355607659241893</v>
      </c>
      <c r="J4" s="2135">
        <v>0.15044939429464638</v>
      </c>
      <c r="K4" s="2134">
        <v>20</v>
      </c>
      <c r="L4" s="2126">
        <v>0.254</v>
      </c>
      <c r="M4" s="2126">
        <v>6.1280000000000001</v>
      </c>
      <c r="N4" s="2128">
        <v>0.13100000000000001</v>
      </c>
      <c r="O4" s="2126">
        <v>0.13100000000000001</v>
      </c>
      <c r="P4" s="2126">
        <v>5.8740000000000006</v>
      </c>
      <c r="Q4" s="2127">
        <v>4.3241402791964589E-2</v>
      </c>
      <c r="R4" s="2127">
        <v>2.2301668369084097E-2</v>
      </c>
      <c r="S4" s="2135">
        <v>6.5543071161048683E-2</v>
      </c>
      <c r="T4" s="2134">
        <v>20</v>
      </c>
      <c r="U4" s="1742">
        <v>0.247</v>
      </c>
      <c r="V4" s="1742">
        <v>5.7430000000000003</v>
      </c>
      <c r="W4" s="1742">
        <v>0.33050000000000002</v>
      </c>
      <c r="X4" s="1742">
        <v>0.33050000000000002</v>
      </c>
      <c r="Y4" s="1742">
        <v>5.4960000000000004</v>
      </c>
      <c r="Z4" s="2129">
        <v>4.5067360247096011E-2</v>
      </c>
      <c r="AA4" s="2129">
        <v>6.2928872480751519E-2</v>
      </c>
      <c r="AB4" s="2150">
        <v>0.10799623272784753</v>
      </c>
    </row>
    <row r="5" spans="1:28">
      <c r="B5" s="89">
        <v>21</v>
      </c>
      <c r="C5" s="1">
        <v>0.27700000000000002</v>
      </c>
      <c r="D5" s="1">
        <v>5.52</v>
      </c>
      <c r="E5" s="1">
        <v>0.61599999999999999</v>
      </c>
      <c r="F5" s="1">
        <v>0.61599999999999999</v>
      </c>
      <c r="G5" s="1">
        <v>5.2429999999999994</v>
      </c>
      <c r="H5" s="747">
        <v>5.2832347892428008E-2</v>
      </c>
      <c r="I5" s="747">
        <v>0.11748998664886516</v>
      </c>
      <c r="J5" s="2135">
        <v>0.17032233454129317</v>
      </c>
      <c r="K5" s="89">
        <v>21</v>
      </c>
      <c r="L5" s="1">
        <v>0.30499999999999999</v>
      </c>
      <c r="M5" s="1">
        <v>6.3120000000000003</v>
      </c>
      <c r="N5" s="1462">
        <v>0.159</v>
      </c>
      <c r="O5" s="1">
        <v>0.159</v>
      </c>
      <c r="P5" s="1">
        <v>6.0070000000000006</v>
      </c>
      <c r="Q5" s="747">
        <v>5.07740968869652E-2</v>
      </c>
      <c r="R5" s="747">
        <v>2.6469119360745794E-2</v>
      </c>
      <c r="S5" s="2136">
        <v>7.7243216247710994E-2</v>
      </c>
      <c r="T5" s="89">
        <v>21</v>
      </c>
      <c r="U5" s="746">
        <v>0.29100000000000004</v>
      </c>
      <c r="V5" s="746">
        <v>5.9160000000000004</v>
      </c>
      <c r="W5" s="746">
        <v>0.38750000000000001</v>
      </c>
      <c r="X5" s="746">
        <v>0.38750000000000001</v>
      </c>
      <c r="Y5" s="746">
        <v>5.625</v>
      </c>
      <c r="Z5" s="2124">
        <v>5.1803222389696604E-2</v>
      </c>
      <c r="AA5" s="2124">
        <v>7.1979553004805477E-2</v>
      </c>
      <c r="AB5" s="2151">
        <v>0.12378277539450208</v>
      </c>
    </row>
    <row r="6" spans="1:28">
      <c r="B6" s="2134">
        <v>22</v>
      </c>
      <c r="C6" s="2126">
        <v>0.314</v>
      </c>
      <c r="D6" s="2126">
        <v>5.6870000000000003</v>
      </c>
      <c r="E6" s="2126">
        <v>0.70799999999999996</v>
      </c>
      <c r="F6" s="2126">
        <v>0.70799999999999996</v>
      </c>
      <c r="G6" s="2126">
        <v>5.3730000000000002</v>
      </c>
      <c r="H6" s="2127">
        <v>5.8440349897636329E-2</v>
      </c>
      <c r="I6" s="2127">
        <v>0.13176996091568954</v>
      </c>
      <c r="J6" s="2135">
        <v>0.19021031081332587</v>
      </c>
      <c r="K6" s="2134">
        <v>22</v>
      </c>
      <c r="L6" s="2126">
        <v>0.35199999999999998</v>
      </c>
      <c r="M6" s="2126">
        <v>6.5</v>
      </c>
      <c r="N6" s="2128">
        <v>0.184</v>
      </c>
      <c r="O6" s="2126">
        <v>0.184</v>
      </c>
      <c r="P6" s="2126">
        <v>6.1479999999999997</v>
      </c>
      <c r="Q6" s="2127">
        <v>5.7254391672088484E-2</v>
      </c>
      <c r="R6" s="2127">
        <v>2.992843201040989E-2</v>
      </c>
      <c r="S6" s="2135">
        <v>8.718282368249837E-2</v>
      </c>
      <c r="T6" s="2134">
        <v>22</v>
      </c>
      <c r="U6" s="1742">
        <v>0.33299999999999996</v>
      </c>
      <c r="V6" s="1742">
        <v>6.0935000000000006</v>
      </c>
      <c r="W6" s="1742">
        <v>0.44599999999999995</v>
      </c>
      <c r="X6" s="1742">
        <v>0.44599999999999995</v>
      </c>
      <c r="Y6" s="1742">
        <v>5.7605000000000004</v>
      </c>
      <c r="Z6" s="2129">
        <v>5.7847370784862406E-2</v>
      </c>
      <c r="AA6" s="2129">
        <v>8.0849196463049722E-2</v>
      </c>
      <c r="AB6" s="2150">
        <v>0.13869656724791213</v>
      </c>
    </row>
    <row r="7" spans="1:28">
      <c r="B7" s="89">
        <v>23</v>
      </c>
      <c r="C7" s="1">
        <v>0.35299999999999998</v>
      </c>
      <c r="D7" s="1">
        <v>5.8579999999999997</v>
      </c>
      <c r="E7" s="1">
        <v>0.80300000000000005</v>
      </c>
      <c r="F7" s="1">
        <v>0.80300000000000005</v>
      </c>
      <c r="G7" s="1">
        <v>5.5049999999999999</v>
      </c>
      <c r="H7" s="747">
        <v>6.4123524069028159E-2</v>
      </c>
      <c r="I7" s="747">
        <v>0.14586739327883744</v>
      </c>
      <c r="J7" s="2135">
        <v>0.2099909173478656</v>
      </c>
      <c r="K7" s="89">
        <v>23</v>
      </c>
      <c r="L7" s="1">
        <v>0.39</v>
      </c>
      <c r="M7" s="1">
        <v>6.6929999999999996</v>
      </c>
      <c r="N7" s="1462">
        <v>0.20599999999999999</v>
      </c>
      <c r="O7" s="1">
        <v>0.20599999999999999</v>
      </c>
      <c r="P7" s="1">
        <v>6.3029999999999999</v>
      </c>
      <c r="Q7" s="747">
        <v>6.1875297477391719E-2</v>
      </c>
      <c r="R7" s="747">
        <v>3.2682849436776136E-2</v>
      </c>
      <c r="S7" s="2136">
        <v>9.4558146914167862E-2</v>
      </c>
      <c r="T7" s="89">
        <v>23</v>
      </c>
      <c r="U7" s="746">
        <v>0.3715</v>
      </c>
      <c r="V7" s="746">
        <v>6.2754999999999992</v>
      </c>
      <c r="W7" s="746">
        <v>0.50450000000000006</v>
      </c>
      <c r="X7" s="746">
        <v>0.50450000000000006</v>
      </c>
      <c r="Y7" s="746">
        <v>5.9039999999999999</v>
      </c>
      <c r="Z7" s="2124">
        <v>6.2999410773209946E-2</v>
      </c>
      <c r="AA7" s="2124">
        <v>8.9275121357806783E-2</v>
      </c>
      <c r="AB7" s="2151">
        <v>0.15227453213101672</v>
      </c>
    </row>
    <row r="8" spans="1:28">
      <c r="B8" s="2134">
        <v>24</v>
      </c>
      <c r="C8" s="2126">
        <v>0.38600000000000001</v>
      </c>
      <c r="D8" s="2126">
        <v>6.0339999999999998</v>
      </c>
      <c r="E8" s="2126">
        <v>0.89100000000000001</v>
      </c>
      <c r="F8" s="2126">
        <v>0.89100000000000001</v>
      </c>
      <c r="G8" s="2126">
        <v>5.6479999999999997</v>
      </c>
      <c r="H8" s="2127">
        <v>6.8342776203966005E-2</v>
      </c>
      <c r="I8" s="2127">
        <v>0.15775495750708216</v>
      </c>
      <c r="J8" s="2135">
        <v>0.22609773371104816</v>
      </c>
      <c r="K8" s="2134">
        <v>24</v>
      </c>
      <c r="L8" s="2126">
        <v>0.42499999999999999</v>
      </c>
      <c r="M8" s="2126">
        <v>6.891</v>
      </c>
      <c r="N8" s="2128">
        <v>0.22600000000000001</v>
      </c>
      <c r="O8" s="2126">
        <v>0.22600000000000001</v>
      </c>
      <c r="P8" s="2126">
        <v>6.4660000000000002</v>
      </c>
      <c r="Q8" s="2127">
        <v>6.5728425610887722E-2</v>
      </c>
      <c r="R8" s="2127">
        <v>3.4952056913083826E-2</v>
      </c>
      <c r="S8" s="2135">
        <v>0.10068048252397155</v>
      </c>
      <c r="T8" s="2134">
        <v>24</v>
      </c>
      <c r="U8" s="1742">
        <v>0.40549999999999997</v>
      </c>
      <c r="V8" s="1742">
        <v>6.4625000000000004</v>
      </c>
      <c r="W8" s="1742">
        <v>0.5585</v>
      </c>
      <c r="X8" s="1742">
        <v>0.5585</v>
      </c>
      <c r="Y8" s="1742">
        <v>6.0570000000000004</v>
      </c>
      <c r="Z8" s="2129">
        <v>6.7035600907426857E-2</v>
      </c>
      <c r="AA8" s="2129">
        <v>9.6353507210082984E-2</v>
      </c>
      <c r="AB8" s="2150">
        <v>0.16338910811750984</v>
      </c>
    </row>
    <row r="9" spans="1:28">
      <c r="B9" s="89">
        <v>25</v>
      </c>
      <c r="C9" s="1">
        <v>0.41599999999999998</v>
      </c>
      <c r="D9" s="1">
        <v>6.2130000000000001</v>
      </c>
      <c r="E9" s="1">
        <v>0.97399999999999998</v>
      </c>
      <c r="F9" s="1">
        <v>0.97399999999999998</v>
      </c>
      <c r="G9" s="1">
        <v>5.7969999999999997</v>
      </c>
      <c r="H9" s="747">
        <v>7.1761255821976885E-2</v>
      </c>
      <c r="I9" s="747">
        <v>0.1680179403139555</v>
      </c>
      <c r="J9" s="2135">
        <v>0.2397791961359324</v>
      </c>
      <c r="K9" s="89">
        <v>25</v>
      </c>
      <c r="L9" s="1">
        <v>0.45900000000000002</v>
      </c>
      <c r="M9" s="1">
        <v>7.0940000000000003</v>
      </c>
      <c r="N9" s="1462">
        <v>0.246</v>
      </c>
      <c r="O9" s="1">
        <v>0.246</v>
      </c>
      <c r="P9" s="1">
        <v>6.6350000000000007</v>
      </c>
      <c r="Q9" s="747">
        <v>6.9178598342125086E-2</v>
      </c>
      <c r="R9" s="747">
        <v>3.7076111529766385E-2</v>
      </c>
      <c r="S9" s="2136">
        <v>0.10625470987189148</v>
      </c>
      <c r="T9" s="89">
        <v>25</v>
      </c>
      <c r="U9" s="746">
        <v>0.4375</v>
      </c>
      <c r="V9" s="746">
        <v>6.6535000000000002</v>
      </c>
      <c r="W9" s="746">
        <v>0.61</v>
      </c>
      <c r="X9" s="746">
        <v>0.61</v>
      </c>
      <c r="Y9" s="746">
        <v>6.2160000000000002</v>
      </c>
      <c r="Z9" s="2124">
        <v>7.0469927082050993E-2</v>
      </c>
      <c r="AA9" s="2124">
        <v>0.10254702592186095</v>
      </c>
      <c r="AB9" s="2151">
        <v>0.17301695300391196</v>
      </c>
    </row>
    <row r="10" spans="1:28">
      <c r="B10" s="2134">
        <v>26</v>
      </c>
      <c r="C10" s="2126">
        <v>0.442</v>
      </c>
      <c r="D10" s="2126">
        <v>6.3970000000000002</v>
      </c>
      <c r="E10" s="2126">
        <v>1.052</v>
      </c>
      <c r="F10" s="2126">
        <v>1.052</v>
      </c>
      <c r="G10" s="2126">
        <v>5.9550000000000001</v>
      </c>
      <c r="H10" s="2127">
        <v>7.4223341729638959E-2</v>
      </c>
      <c r="I10" s="2127">
        <v>0.17665827036104115</v>
      </c>
      <c r="J10" s="2135">
        <v>0.25088161209068011</v>
      </c>
      <c r="K10" s="2134">
        <v>26</v>
      </c>
      <c r="L10" s="2126">
        <v>0.49299999999999999</v>
      </c>
      <c r="M10" s="2126">
        <v>7.3010000000000002</v>
      </c>
      <c r="N10" s="2128">
        <v>0.26700000000000002</v>
      </c>
      <c r="O10" s="2126">
        <v>0.26700000000000002</v>
      </c>
      <c r="P10" s="2126">
        <v>6.8079999999999998</v>
      </c>
      <c r="Q10" s="2127">
        <v>7.241480611045828E-2</v>
      </c>
      <c r="R10" s="2127">
        <v>3.9218566392479441E-2</v>
      </c>
      <c r="S10" s="2135">
        <v>0.11163337250293773</v>
      </c>
      <c r="T10" s="2134">
        <v>26</v>
      </c>
      <c r="U10" s="1742">
        <v>0.46750000000000003</v>
      </c>
      <c r="V10" s="1742">
        <v>6.8490000000000002</v>
      </c>
      <c r="W10" s="1742">
        <v>0.65949999999999998</v>
      </c>
      <c r="X10" s="1742">
        <v>0.65949999999999998</v>
      </c>
      <c r="Y10" s="1742">
        <v>6.3815</v>
      </c>
      <c r="Z10" s="2129">
        <v>7.3319073920048619E-2</v>
      </c>
      <c r="AA10" s="2129">
        <v>0.1079384183767603</v>
      </c>
      <c r="AB10" s="2150">
        <v>0.18125749229680893</v>
      </c>
    </row>
    <row r="11" spans="1:28">
      <c r="B11" s="89">
        <v>27</v>
      </c>
      <c r="C11" s="1">
        <v>0.46600000000000003</v>
      </c>
      <c r="D11" s="1">
        <v>6.585</v>
      </c>
      <c r="E11" s="1">
        <v>1.127</v>
      </c>
      <c r="F11" s="1">
        <v>1.127</v>
      </c>
      <c r="G11" s="1">
        <v>6.1189999999999998</v>
      </c>
      <c r="H11" s="747">
        <v>7.6156234678869103E-2</v>
      </c>
      <c r="I11" s="747">
        <v>0.18418042163752249</v>
      </c>
      <c r="J11" s="2135">
        <v>0.26033665631639158</v>
      </c>
      <c r="K11" s="89">
        <v>27</v>
      </c>
      <c r="L11" s="1">
        <v>0.52500000000000002</v>
      </c>
      <c r="M11" s="1">
        <v>7.5129999999999999</v>
      </c>
      <c r="N11" s="1462">
        <v>0.28699999999999998</v>
      </c>
      <c r="O11" s="1">
        <v>0.28699999999999998</v>
      </c>
      <c r="P11" s="1">
        <v>6.9879999999999995</v>
      </c>
      <c r="Q11" s="747">
        <v>7.5128792215226115E-2</v>
      </c>
      <c r="R11" s="747">
        <v>4.1070406410990266E-2</v>
      </c>
      <c r="S11" s="2136">
        <v>0.11619919862621639</v>
      </c>
      <c r="T11" s="89">
        <v>27</v>
      </c>
      <c r="U11" s="746">
        <v>0.49550000000000005</v>
      </c>
      <c r="V11" s="746">
        <v>7.0489999999999995</v>
      </c>
      <c r="W11" s="746">
        <v>0.70699999999999996</v>
      </c>
      <c r="X11" s="746">
        <v>0.70699999999999996</v>
      </c>
      <c r="Y11" s="746">
        <v>6.5534999999999997</v>
      </c>
      <c r="Z11" s="2124">
        <v>7.5642513447047616E-2</v>
      </c>
      <c r="AA11" s="2124">
        <v>0.11262541402425638</v>
      </c>
      <c r="AB11" s="2151">
        <v>0.188267927471304</v>
      </c>
    </row>
    <row r="12" spans="1:28">
      <c r="B12" s="2134">
        <v>28</v>
      </c>
      <c r="C12" s="2126">
        <v>0.48699999999999999</v>
      </c>
      <c r="D12" s="2126">
        <v>6.7779999999999996</v>
      </c>
      <c r="E12" s="2126">
        <v>1.2010000000000001</v>
      </c>
      <c r="F12" s="2126">
        <v>1.2010000000000001</v>
      </c>
      <c r="G12" s="2126">
        <v>6.2909999999999995</v>
      </c>
      <c r="H12" s="2127">
        <v>7.7412176124622478E-2</v>
      </c>
      <c r="I12" s="2127">
        <v>0.19090764584326819</v>
      </c>
      <c r="J12" s="2135">
        <v>0.26831982196789067</v>
      </c>
      <c r="K12" s="2134">
        <v>28</v>
      </c>
      <c r="L12" s="2126">
        <v>0.55500000000000005</v>
      </c>
      <c r="M12" s="2126">
        <v>7.7290000000000001</v>
      </c>
      <c r="N12" s="2128">
        <v>0.307</v>
      </c>
      <c r="O12" s="2126">
        <v>0.307</v>
      </c>
      <c r="P12" s="2126">
        <v>7.1740000000000004</v>
      </c>
      <c r="Q12" s="2127">
        <v>7.7362698633955951E-2</v>
      </c>
      <c r="R12" s="2127">
        <v>4.2793420685809866E-2</v>
      </c>
      <c r="S12" s="2135">
        <v>0.12015611931976582</v>
      </c>
      <c r="T12" s="2134">
        <v>28</v>
      </c>
      <c r="U12" s="1742">
        <v>0.52100000000000002</v>
      </c>
      <c r="V12" s="1742">
        <v>7.2534999999999998</v>
      </c>
      <c r="W12" s="1742">
        <v>0.754</v>
      </c>
      <c r="X12" s="1742">
        <v>0.754</v>
      </c>
      <c r="Y12" s="1742">
        <v>6.7324999999999999</v>
      </c>
      <c r="Z12" s="2129">
        <v>7.7387437379289215E-2</v>
      </c>
      <c r="AA12" s="2129">
        <v>0.11685053326453904</v>
      </c>
      <c r="AB12" s="2150">
        <v>0.19423797064382825</v>
      </c>
    </row>
    <row r="13" spans="1:28">
      <c r="B13" s="89">
        <v>29</v>
      </c>
      <c r="C13" s="1">
        <v>0.50700000000000001</v>
      </c>
      <c r="D13" s="1">
        <v>6.976</v>
      </c>
      <c r="E13" s="1">
        <v>1.2729999999999999</v>
      </c>
      <c r="F13" s="1">
        <v>1.2729999999999999</v>
      </c>
      <c r="G13" s="1">
        <v>6.4690000000000003</v>
      </c>
      <c r="H13" s="747">
        <v>7.8373782655742769E-2</v>
      </c>
      <c r="I13" s="747">
        <v>0.19678466532694386</v>
      </c>
      <c r="J13" s="2135">
        <v>0.27515844798268663</v>
      </c>
      <c r="K13" s="89">
        <v>29</v>
      </c>
      <c r="L13" s="1">
        <v>0.58299999999999996</v>
      </c>
      <c r="M13" s="1">
        <v>7.95</v>
      </c>
      <c r="N13" s="1462">
        <v>0.32600000000000001</v>
      </c>
      <c r="O13" s="1">
        <v>0.32600000000000001</v>
      </c>
      <c r="P13" s="1">
        <v>7.367</v>
      </c>
      <c r="Q13" s="747">
        <v>7.9136690647482008E-2</v>
      </c>
      <c r="R13" s="747">
        <v>4.4251391339758382E-2</v>
      </c>
      <c r="S13" s="2136">
        <v>0.12338808198724038</v>
      </c>
      <c r="T13" s="89">
        <v>29</v>
      </c>
      <c r="U13" s="746">
        <v>0.54499999999999993</v>
      </c>
      <c r="V13" s="746">
        <v>7.4630000000000001</v>
      </c>
      <c r="W13" s="746">
        <v>0.79949999999999999</v>
      </c>
      <c r="X13" s="746">
        <v>0.79949999999999999</v>
      </c>
      <c r="Y13" s="746">
        <v>6.9180000000000001</v>
      </c>
      <c r="Z13" s="2124">
        <v>7.8755236651612381E-2</v>
      </c>
      <c r="AA13" s="2124">
        <v>0.12051802833335112</v>
      </c>
      <c r="AB13" s="2151">
        <v>0.19927326498496351</v>
      </c>
    </row>
    <row r="14" spans="1:28">
      <c r="B14" s="2134">
        <v>30</v>
      </c>
      <c r="C14" s="2126">
        <v>0.52500000000000002</v>
      </c>
      <c r="D14" s="2126">
        <v>7.1790000000000003</v>
      </c>
      <c r="E14" s="2126">
        <v>1.345</v>
      </c>
      <c r="F14" s="2126">
        <v>1.345</v>
      </c>
      <c r="G14" s="2126">
        <v>6.6539999999999999</v>
      </c>
      <c r="H14" s="2127">
        <v>7.889990982867448E-2</v>
      </c>
      <c r="I14" s="2127">
        <v>0.20213405470393747</v>
      </c>
      <c r="J14" s="2135">
        <v>0.28103396453261198</v>
      </c>
      <c r="K14" s="2134">
        <v>30</v>
      </c>
      <c r="L14" s="2126">
        <v>0.60799999999999998</v>
      </c>
      <c r="M14" s="2126">
        <v>8.1750000000000007</v>
      </c>
      <c r="N14" s="2128">
        <v>0.34599999999999997</v>
      </c>
      <c r="O14" s="2126">
        <v>0.34599999999999997</v>
      </c>
      <c r="P14" s="2126">
        <v>7.5670000000000011</v>
      </c>
      <c r="Q14" s="2127">
        <v>8.0348883309105307E-2</v>
      </c>
      <c r="R14" s="2127">
        <v>4.5724857935773744E-2</v>
      </c>
      <c r="S14" s="2135">
        <v>0.12607374124487905</v>
      </c>
      <c r="T14" s="2134">
        <v>30</v>
      </c>
      <c r="U14" s="1742">
        <v>0.5665</v>
      </c>
      <c r="V14" s="1742">
        <v>7.6770000000000005</v>
      </c>
      <c r="W14" s="1742">
        <v>0.84549999999999992</v>
      </c>
      <c r="X14" s="1742">
        <v>0.84549999999999992</v>
      </c>
      <c r="Y14" s="1742">
        <v>7.1105</v>
      </c>
      <c r="Z14" s="2129">
        <v>7.9624396568889894E-2</v>
      </c>
      <c r="AA14" s="2129">
        <v>0.12392945631985561</v>
      </c>
      <c r="AB14" s="2150">
        <v>0.2035538528887455</v>
      </c>
    </row>
    <row r="15" spans="1:28">
      <c r="B15" s="89">
        <v>31</v>
      </c>
      <c r="C15" s="1">
        <v>0.54100000000000004</v>
      </c>
      <c r="D15" s="1">
        <v>7.3869999999999996</v>
      </c>
      <c r="E15" s="1">
        <v>1.4159999999999999</v>
      </c>
      <c r="F15" s="1">
        <v>1.4159999999999999</v>
      </c>
      <c r="G15" s="1">
        <v>6.8459999999999992</v>
      </c>
      <c r="H15" s="747">
        <v>7.9024247735904191E-2</v>
      </c>
      <c r="I15" s="747">
        <v>0.20683610867659949</v>
      </c>
      <c r="J15" s="2135">
        <v>0.28586035641250368</v>
      </c>
      <c r="K15" s="89">
        <v>31</v>
      </c>
      <c r="L15" s="1">
        <v>0.63200000000000001</v>
      </c>
      <c r="M15" s="1">
        <v>8.4060000000000006</v>
      </c>
      <c r="N15" s="1462">
        <v>0.36399999999999999</v>
      </c>
      <c r="O15" s="1">
        <v>0.36399999999999999</v>
      </c>
      <c r="P15" s="1">
        <v>7.7740000000000009</v>
      </c>
      <c r="Q15" s="747">
        <v>8.1296629791613062E-2</v>
      </c>
      <c r="R15" s="747">
        <v>4.6822742474916385E-2</v>
      </c>
      <c r="S15" s="2136">
        <v>0.12811937226652945</v>
      </c>
      <c r="T15" s="89">
        <v>31</v>
      </c>
      <c r="U15" s="746">
        <v>0.58650000000000002</v>
      </c>
      <c r="V15" s="746">
        <v>7.8964999999999996</v>
      </c>
      <c r="W15" s="746">
        <v>0.8899999999999999</v>
      </c>
      <c r="X15" s="746">
        <v>0.8899999999999999</v>
      </c>
      <c r="Y15" s="746">
        <v>7.3100000000000005</v>
      </c>
      <c r="Z15" s="2124">
        <v>8.0160438763758626E-2</v>
      </c>
      <c r="AA15" s="2124">
        <v>0.12682942557575794</v>
      </c>
      <c r="AB15" s="2151">
        <v>0.20698986433951655</v>
      </c>
    </row>
    <row r="16" spans="1:28">
      <c r="B16" s="2134">
        <v>32</v>
      </c>
      <c r="C16" s="2126">
        <v>0.55600000000000005</v>
      </c>
      <c r="D16" s="2126">
        <v>7.6</v>
      </c>
      <c r="E16" s="2126">
        <v>1.4870000000000001</v>
      </c>
      <c r="F16" s="2126">
        <v>1.4870000000000001</v>
      </c>
      <c r="G16" s="2126">
        <v>7.0439999999999996</v>
      </c>
      <c r="H16" s="2127">
        <v>7.8932424758659858E-2</v>
      </c>
      <c r="I16" s="2127">
        <v>0.21110164679159571</v>
      </c>
      <c r="J16" s="2135">
        <v>0.29003407155025557</v>
      </c>
      <c r="K16" s="2134">
        <v>32</v>
      </c>
      <c r="L16" s="2126">
        <v>0.65300000000000002</v>
      </c>
      <c r="M16" s="2126">
        <v>8.6419999999999995</v>
      </c>
      <c r="N16" s="2128">
        <v>0.38300000000000001</v>
      </c>
      <c r="O16" s="2126">
        <v>0.38300000000000001</v>
      </c>
      <c r="P16" s="2126">
        <v>7.988999999999999</v>
      </c>
      <c r="Q16" s="2127">
        <v>8.1737388909750922E-2</v>
      </c>
      <c r="R16" s="2127">
        <v>4.7940918763299541E-2</v>
      </c>
      <c r="S16" s="2135">
        <v>0.12967830767305047</v>
      </c>
      <c r="T16" s="2134">
        <v>32</v>
      </c>
      <c r="U16" s="1742">
        <v>0.60450000000000004</v>
      </c>
      <c r="V16" s="1742">
        <v>8.1209999999999987</v>
      </c>
      <c r="W16" s="1742">
        <v>0.93500000000000005</v>
      </c>
      <c r="X16" s="1742">
        <v>0.93500000000000005</v>
      </c>
      <c r="Y16" s="1742">
        <v>7.5164999999999988</v>
      </c>
      <c r="Z16" s="2129">
        <v>8.0334906834205383E-2</v>
      </c>
      <c r="AA16" s="2129">
        <v>0.12952128277744762</v>
      </c>
      <c r="AB16" s="2150">
        <v>0.20985618961165303</v>
      </c>
    </row>
    <row r="17" spans="2:28">
      <c r="B17" s="89">
        <v>33</v>
      </c>
      <c r="C17" s="1">
        <v>0.56999999999999995</v>
      </c>
      <c r="D17" s="1">
        <v>7.819</v>
      </c>
      <c r="E17" s="1">
        <v>1.5580000000000001</v>
      </c>
      <c r="F17" s="1">
        <v>1.5580000000000001</v>
      </c>
      <c r="G17" s="1">
        <v>7.2489999999999997</v>
      </c>
      <c r="H17" s="747">
        <v>7.8631535384190918E-2</v>
      </c>
      <c r="I17" s="747">
        <v>0.21492619671678853</v>
      </c>
      <c r="J17" s="2135">
        <v>0.29355773210097946</v>
      </c>
      <c r="K17" s="89">
        <v>33</v>
      </c>
      <c r="L17" s="1">
        <v>0.67100000000000004</v>
      </c>
      <c r="M17" s="1">
        <v>8.8829999999999991</v>
      </c>
      <c r="N17" s="1462">
        <v>0.40100000000000002</v>
      </c>
      <c r="O17" s="1">
        <v>0.40100000000000002</v>
      </c>
      <c r="P17" s="1">
        <v>8.2119999999999997</v>
      </c>
      <c r="Q17" s="747">
        <v>8.1709693132001951E-2</v>
      </c>
      <c r="R17" s="747">
        <v>4.8830979055041406E-2</v>
      </c>
      <c r="S17" s="2136">
        <v>0.13054067218704335</v>
      </c>
      <c r="T17" s="89">
        <v>33</v>
      </c>
      <c r="U17" s="746">
        <v>0.62050000000000005</v>
      </c>
      <c r="V17" s="746">
        <v>8.3509999999999991</v>
      </c>
      <c r="W17" s="746">
        <v>0.97950000000000004</v>
      </c>
      <c r="X17" s="746">
        <v>0.97950000000000004</v>
      </c>
      <c r="Y17" s="746">
        <v>7.7304999999999993</v>
      </c>
      <c r="Z17" s="2124">
        <v>8.0170614258096434E-2</v>
      </c>
      <c r="AA17" s="2124">
        <v>0.13187858788591497</v>
      </c>
      <c r="AB17" s="2151">
        <v>0.21204920214401141</v>
      </c>
    </row>
    <row r="18" spans="2:28">
      <c r="B18" s="2134">
        <v>34</v>
      </c>
      <c r="C18" s="2126">
        <v>0.58199999999999996</v>
      </c>
      <c r="D18" s="2126">
        <v>8.0440000000000005</v>
      </c>
      <c r="E18" s="2126">
        <v>1.629</v>
      </c>
      <c r="F18" s="2126">
        <v>1.629</v>
      </c>
      <c r="G18" s="2126">
        <v>7.4620000000000006</v>
      </c>
      <c r="H18" s="2127">
        <v>7.7995175556151153E-2</v>
      </c>
      <c r="I18" s="2127">
        <v>0.21830608415974267</v>
      </c>
      <c r="J18" s="2135">
        <v>0.29630125971589383</v>
      </c>
      <c r="K18" s="2134">
        <v>34</v>
      </c>
      <c r="L18" s="2126">
        <v>0.68600000000000005</v>
      </c>
      <c r="M18" s="2126">
        <v>9.1300000000000008</v>
      </c>
      <c r="N18" s="2128">
        <v>0.41799999999999998</v>
      </c>
      <c r="O18" s="2126">
        <v>0.41799999999999998</v>
      </c>
      <c r="P18" s="2126">
        <v>8.4440000000000008</v>
      </c>
      <c r="Q18" s="2127">
        <v>8.1241117953576497E-2</v>
      </c>
      <c r="R18" s="2127">
        <v>4.9502605400284221E-2</v>
      </c>
      <c r="S18" s="2135">
        <v>0.13074372335386072</v>
      </c>
      <c r="T18" s="2134">
        <v>34</v>
      </c>
      <c r="U18" s="1742">
        <v>0.63400000000000001</v>
      </c>
      <c r="V18" s="1742">
        <v>8.5869999999999997</v>
      </c>
      <c r="W18" s="1742">
        <v>1.0235000000000001</v>
      </c>
      <c r="X18" s="1742">
        <v>1.0235000000000001</v>
      </c>
      <c r="Y18" s="1742">
        <v>7.9530000000000012</v>
      </c>
      <c r="Z18" s="2129">
        <v>7.9618146754863825E-2</v>
      </c>
      <c r="AA18" s="2129">
        <v>0.13390434478001345</v>
      </c>
      <c r="AB18" s="2150">
        <v>0.21352249153487729</v>
      </c>
    </row>
    <row r="19" spans="2:28">
      <c r="B19" s="89">
        <v>35</v>
      </c>
      <c r="C19" s="1">
        <v>0.59099999999999997</v>
      </c>
      <c r="D19" s="1">
        <v>8.2750000000000004</v>
      </c>
      <c r="E19" s="1">
        <v>1.7010000000000001</v>
      </c>
      <c r="F19" s="1">
        <v>1.7010000000000001</v>
      </c>
      <c r="G19" s="1">
        <v>7.6840000000000002</v>
      </c>
      <c r="H19" s="747">
        <v>7.6913066111400308E-2</v>
      </c>
      <c r="I19" s="747">
        <v>0.2213690786048933</v>
      </c>
      <c r="J19" s="2135">
        <v>0.29828214471629361</v>
      </c>
      <c r="K19" s="89">
        <v>35</v>
      </c>
      <c r="L19" s="1">
        <v>0.69699999999999995</v>
      </c>
      <c r="M19" s="1">
        <v>9.3810000000000002</v>
      </c>
      <c r="N19" s="1462">
        <v>0.435</v>
      </c>
      <c r="O19" s="1">
        <v>0.435</v>
      </c>
      <c r="P19" s="1">
        <v>8.6840000000000011</v>
      </c>
      <c r="Q19" s="747">
        <v>8.0262551819438033E-2</v>
      </c>
      <c r="R19" s="747">
        <v>5.0092123445416852E-2</v>
      </c>
      <c r="S19" s="2136">
        <v>0.13035467526485489</v>
      </c>
      <c r="T19" s="89">
        <v>35</v>
      </c>
      <c r="U19" s="746">
        <v>0.64399999999999991</v>
      </c>
      <c r="V19" s="746">
        <v>8.8279999999999994</v>
      </c>
      <c r="W19" s="746">
        <v>1.0680000000000001</v>
      </c>
      <c r="X19" s="746">
        <v>1.0680000000000001</v>
      </c>
      <c r="Y19" s="746">
        <v>8.1840000000000011</v>
      </c>
      <c r="Z19" s="2124">
        <v>7.858780896541917E-2</v>
      </c>
      <c r="AA19" s="2124">
        <v>0.13573060102515508</v>
      </c>
      <c r="AB19" s="2151">
        <v>0.21431840999057425</v>
      </c>
    </row>
    <row r="20" spans="2:28">
      <c r="B20" s="2134">
        <v>36</v>
      </c>
      <c r="C20" s="2126">
        <v>0.59799999999999998</v>
      </c>
      <c r="D20" s="2126">
        <v>8.51</v>
      </c>
      <c r="E20" s="2126">
        <v>1.7729999999999999</v>
      </c>
      <c r="F20" s="2126">
        <v>1.7729999999999999</v>
      </c>
      <c r="G20" s="2126">
        <v>7.9119999999999999</v>
      </c>
      <c r="H20" s="2127">
        <v>7.5581395348837205E-2</v>
      </c>
      <c r="I20" s="2127">
        <v>0.22408998988877654</v>
      </c>
      <c r="J20" s="2135">
        <v>0.29967138523761372</v>
      </c>
      <c r="K20" s="2134">
        <v>36</v>
      </c>
      <c r="L20" s="2126">
        <v>0.70399999999999996</v>
      </c>
      <c r="M20" s="2126">
        <v>9.6370000000000005</v>
      </c>
      <c r="N20" s="2128">
        <v>0.45100000000000001</v>
      </c>
      <c r="O20" s="2126">
        <v>0.45100000000000001</v>
      </c>
      <c r="P20" s="2126">
        <v>8.9329999999999998</v>
      </c>
      <c r="Q20" s="2127">
        <v>7.8808910780252997E-2</v>
      </c>
      <c r="R20" s="2127">
        <v>5.0486958468599574E-2</v>
      </c>
      <c r="S20" s="2135">
        <v>0.12929586924885256</v>
      </c>
      <c r="T20" s="2134">
        <v>36</v>
      </c>
      <c r="U20" s="1742">
        <v>0.65100000000000002</v>
      </c>
      <c r="V20" s="1742">
        <v>9.0734999999999992</v>
      </c>
      <c r="W20" s="1742">
        <v>1.1119999999999999</v>
      </c>
      <c r="X20" s="1742">
        <v>1.1119999999999999</v>
      </c>
      <c r="Y20" s="1742">
        <v>8.4224999999999994</v>
      </c>
      <c r="Z20" s="2129">
        <v>7.7195153064545108E-2</v>
      </c>
      <c r="AA20" s="2129">
        <v>0.13728847417868806</v>
      </c>
      <c r="AB20" s="2150">
        <v>0.21448362724323314</v>
      </c>
    </row>
    <row r="21" spans="2:28">
      <c r="B21" s="89">
        <v>37</v>
      </c>
      <c r="C21" s="1">
        <v>0.6</v>
      </c>
      <c r="D21" s="1">
        <v>8.75</v>
      </c>
      <c r="E21" s="1">
        <v>1.8440000000000001</v>
      </c>
      <c r="F21" s="1">
        <v>1.8440000000000001</v>
      </c>
      <c r="G21" s="1">
        <v>8.15</v>
      </c>
      <c r="H21" s="747">
        <v>7.3619631901840482E-2</v>
      </c>
      <c r="I21" s="747">
        <v>0.22625766871165645</v>
      </c>
      <c r="J21" s="2135">
        <v>0.29987730061349693</v>
      </c>
      <c r="K21" s="89">
        <v>37</v>
      </c>
      <c r="L21" s="1">
        <v>0.70499999999999996</v>
      </c>
      <c r="M21" s="1">
        <v>9.8970000000000002</v>
      </c>
      <c r="N21" s="1462">
        <v>0.46700000000000003</v>
      </c>
      <c r="O21" s="1">
        <v>0.46700000000000003</v>
      </c>
      <c r="P21" s="1">
        <v>9.1920000000000002</v>
      </c>
      <c r="Q21" s="747">
        <v>7.6697127937336809E-2</v>
      </c>
      <c r="R21" s="747">
        <v>5.0805047867711055E-2</v>
      </c>
      <c r="S21" s="2136">
        <v>0.12750217580504786</v>
      </c>
      <c r="T21" s="89">
        <v>37</v>
      </c>
      <c r="U21" s="746">
        <v>0.65249999999999997</v>
      </c>
      <c r="V21" s="746">
        <v>9.3234999999999992</v>
      </c>
      <c r="W21" s="746">
        <v>1.1555</v>
      </c>
      <c r="X21" s="746">
        <v>1.1555</v>
      </c>
      <c r="Y21" s="746">
        <v>8.6709999999999994</v>
      </c>
      <c r="Z21" s="2124">
        <v>7.5158379919588653E-2</v>
      </c>
      <c r="AA21" s="2124">
        <v>0.13853135828968374</v>
      </c>
      <c r="AB21" s="2151">
        <v>0.2136897382092724</v>
      </c>
    </row>
    <row r="22" spans="2:28">
      <c r="B22" s="2134">
        <v>38</v>
      </c>
      <c r="C22" s="2126">
        <v>0.59599999999999997</v>
      </c>
      <c r="D22" s="2126">
        <v>8.9930000000000003</v>
      </c>
      <c r="E22" s="2126">
        <v>1.9159999999999999</v>
      </c>
      <c r="F22" s="2126">
        <v>1.9159999999999999</v>
      </c>
      <c r="G22" s="2126">
        <v>8.3970000000000002</v>
      </c>
      <c r="H22" s="2127">
        <v>7.097773014171728E-2</v>
      </c>
      <c r="I22" s="2127">
        <v>0.22817672978444681</v>
      </c>
      <c r="J22" s="2135">
        <v>0.29915445992616407</v>
      </c>
      <c r="K22" s="2134">
        <v>38</v>
      </c>
      <c r="L22" s="2126">
        <v>0.70099999999999996</v>
      </c>
      <c r="M22" s="2126">
        <v>10.161</v>
      </c>
      <c r="N22" s="2128">
        <v>0.48199999999999998</v>
      </c>
      <c r="O22" s="2126">
        <v>0.48199999999999998</v>
      </c>
      <c r="P22" s="2126">
        <v>9.4599999999999991</v>
      </c>
      <c r="Q22" s="2127">
        <v>7.4101479915433408E-2</v>
      </c>
      <c r="R22" s="2127">
        <v>5.0951374207188163E-2</v>
      </c>
      <c r="S22" s="2135">
        <v>0.12505285412262157</v>
      </c>
      <c r="T22" s="2134">
        <v>38</v>
      </c>
      <c r="U22" s="1742">
        <v>0.64849999999999997</v>
      </c>
      <c r="V22" s="1742">
        <v>9.577</v>
      </c>
      <c r="W22" s="1742">
        <v>1.1989999999999998</v>
      </c>
      <c r="X22" s="1742">
        <v>1.1989999999999998</v>
      </c>
      <c r="Y22" s="1742">
        <v>8.9284999999999997</v>
      </c>
      <c r="Z22" s="2129">
        <v>7.2539605028575344E-2</v>
      </c>
      <c r="AA22" s="2129">
        <v>0.13956405199581748</v>
      </c>
      <c r="AB22" s="2150">
        <v>0.21210365702439282</v>
      </c>
    </row>
    <row r="23" spans="2:28">
      <c r="B23" s="89">
        <v>39</v>
      </c>
      <c r="C23" s="1">
        <v>0.58799999999999997</v>
      </c>
      <c r="D23" s="1">
        <v>9.2409999999999997</v>
      </c>
      <c r="E23" s="1">
        <v>1.988</v>
      </c>
      <c r="F23" s="1">
        <v>1.988</v>
      </c>
      <c r="G23" s="1">
        <v>8.6530000000000005</v>
      </c>
      <c r="H23" s="747">
        <v>6.7953310990407939E-2</v>
      </c>
      <c r="I23" s="747">
        <v>0.22974690858661734</v>
      </c>
      <c r="J23" s="2135">
        <v>0.2977002195770253</v>
      </c>
      <c r="K23" s="89">
        <v>39</v>
      </c>
      <c r="L23" s="1">
        <v>0.69</v>
      </c>
      <c r="M23" s="1">
        <v>10.43</v>
      </c>
      <c r="N23" s="1462">
        <v>0.496</v>
      </c>
      <c r="O23" s="1">
        <v>0.496</v>
      </c>
      <c r="P23" s="1">
        <v>9.74</v>
      </c>
      <c r="Q23" s="747">
        <v>7.0841889117043116E-2</v>
      </c>
      <c r="R23" s="747">
        <v>5.0924024640657081E-2</v>
      </c>
      <c r="S23" s="2136">
        <v>0.1217659137577002</v>
      </c>
      <c r="T23" s="89">
        <v>39</v>
      </c>
      <c r="U23" s="746">
        <v>0.63900000000000001</v>
      </c>
      <c r="V23" s="746">
        <v>9.8354999999999997</v>
      </c>
      <c r="W23" s="746">
        <v>1.242</v>
      </c>
      <c r="X23" s="746">
        <v>1.242</v>
      </c>
      <c r="Y23" s="746">
        <v>9.1965000000000003</v>
      </c>
      <c r="Z23" s="2124">
        <v>6.9397600053725528E-2</v>
      </c>
      <c r="AA23" s="2124">
        <v>0.14033546661363722</v>
      </c>
      <c r="AB23" s="2151">
        <v>0.20973306666736274</v>
      </c>
    </row>
    <row r="24" spans="2:28">
      <c r="B24" s="2134">
        <v>40</v>
      </c>
      <c r="C24" s="2126">
        <v>0.57599999999999996</v>
      </c>
      <c r="D24" s="2126">
        <v>9.4939999999999998</v>
      </c>
      <c r="E24" s="2126">
        <v>2.0609999999999999</v>
      </c>
      <c r="F24" s="2126">
        <v>2.0609999999999999</v>
      </c>
      <c r="G24" s="2126">
        <v>8.9179999999999993</v>
      </c>
      <c r="H24" s="2127">
        <v>6.4588472751738055E-2</v>
      </c>
      <c r="I24" s="2127">
        <v>0.23110562906481275</v>
      </c>
      <c r="J24" s="2135">
        <v>0.29569410181655081</v>
      </c>
      <c r="K24" s="2134">
        <v>40</v>
      </c>
      <c r="L24" s="2126">
        <v>0.67500000000000004</v>
      </c>
      <c r="M24" s="2126">
        <v>10.705</v>
      </c>
      <c r="N24" s="2128">
        <v>0.50900000000000001</v>
      </c>
      <c r="O24" s="2126">
        <v>0.50900000000000001</v>
      </c>
      <c r="P24" s="2126">
        <v>10.029999999999999</v>
      </c>
      <c r="Q24" s="2127">
        <v>6.7298105682951151E-2</v>
      </c>
      <c r="R24" s="2127">
        <v>5.0747756729810571E-2</v>
      </c>
      <c r="S24" s="2135">
        <v>0.11804586241276172</v>
      </c>
      <c r="T24" s="2134">
        <v>40</v>
      </c>
      <c r="U24" s="1742">
        <v>0.62549999999999994</v>
      </c>
      <c r="V24" s="1742">
        <v>10.099499999999999</v>
      </c>
      <c r="W24" s="1742">
        <v>1.2849999999999999</v>
      </c>
      <c r="X24" s="1742">
        <v>1.2849999999999999</v>
      </c>
      <c r="Y24" s="1742">
        <v>9.4740000000000002</v>
      </c>
      <c r="Z24" s="2129">
        <v>6.5943289217344603E-2</v>
      </c>
      <c r="AA24" s="2129">
        <v>0.14092669289731166</v>
      </c>
      <c r="AB24" s="2150">
        <v>0.20686998211465626</v>
      </c>
    </row>
    <row r="25" spans="2:28">
      <c r="B25" s="89">
        <v>41</v>
      </c>
      <c r="C25" s="1">
        <v>0.56100000000000005</v>
      </c>
      <c r="D25" s="1">
        <v>9.7560000000000002</v>
      </c>
      <c r="E25" s="1">
        <v>2.1349999999999998</v>
      </c>
      <c r="F25" s="1">
        <v>2.1349999999999998</v>
      </c>
      <c r="G25" s="1">
        <v>9.1950000000000003</v>
      </c>
      <c r="H25" s="747">
        <v>6.1011419249592171E-2</v>
      </c>
      <c r="I25" s="747">
        <v>0.23219140837411634</v>
      </c>
      <c r="J25" s="2135">
        <v>0.29320282762370853</v>
      </c>
      <c r="K25" s="89">
        <v>41</v>
      </c>
      <c r="L25" s="1">
        <v>0.65600000000000003</v>
      </c>
      <c r="M25" s="1">
        <v>10.986000000000001</v>
      </c>
      <c r="N25" s="1462">
        <v>0.52300000000000002</v>
      </c>
      <c r="O25" s="1">
        <v>0.52300000000000002</v>
      </c>
      <c r="P25" s="1">
        <v>10.33</v>
      </c>
      <c r="Q25" s="747">
        <v>6.3504356243949664E-2</v>
      </c>
      <c r="R25" s="747">
        <v>5.0629235237173283E-2</v>
      </c>
      <c r="S25" s="2136">
        <v>0.11413359148112295</v>
      </c>
      <c r="T25" s="89">
        <v>41</v>
      </c>
      <c r="U25" s="746">
        <v>0.60850000000000004</v>
      </c>
      <c r="V25" s="746">
        <v>10.371</v>
      </c>
      <c r="W25" s="746">
        <v>1.329</v>
      </c>
      <c r="X25" s="746">
        <v>1.329</v>
      </c>
      <c r="Y25" s="746">
        <v>9.7624999999999993</v>
      </c>
      <c r="Z25" s="2124">
        <v>6.2257887746770921E-2</v>
      </c>
      <c r="AA25" s="2124">
        <v>0.14141032180564481</v>
      </c>
      <c r="AB25" s="2151">
        <v>0.20366820955241574</v>
      </c>
    </row>
    <row r="26" spans="2:28">
      <c r="B26" s="2134">
        <v>42</v>
      </c>
      <c r="C26" s="2126">
        <v>0.54600000000000004</v>
      </c>
      <c r="D26" s="2126">
        <v>10.026</v>
      </c>
      <c r="E26" s="2126">
        <v>2.21</v>
      </c>
      <c r="F26" s="2126">
        <v>2.21</v>
      </c>
      <c r="G26" s="2126">
        <v>9.48</v>
      </c>
      <c r="H26" s="2127">
        <v>5.7594936708860761E-2</v>
      </c>
      <c r="I26" s="2127">
        <v>0.2331223628691983</v>
      </c>
      <c r="J26" s="2135">
        <v>0.29071729957805903</v>
      </c>
      <c r="K26" s="2134">
        <v>42</v>
      </c>
      <c r="L26" s="2126">
        <v>0.63500000000000001</v>
      </c>
      <c r="M26" s="2126">
        <v>11.276</v>
      </c>
      <c r="N26" s="2128">
        <v>0.53600000000000003</v>
      </c>
      <c r="O26" s="2126">
        <v>0.53600000000000003</v>
      </c>
      <c r="P26" s="2126">
        <v>10.641</v>
      </c>
      <c r="Q26" s="2127">
        <v>5.9674842589982145E-2</v>
      </c>
      <c r="R26" s="2127">
        <v>5.0371205713748708E-2</v>
      </c>
      <c r="S26" s="2135">
        <v>0.11004604830373085</v>
      </c>
      <c r="T26" s="2134">
        <v>42</v>
      </c>
      <c r="U26" s="1742">
        <v>0.59050000000000002</v>
      </c>
      <c r="V26" s="1742">
        <v>10.651</v>
      </c>
      <c r="W26" s="1742">
        <v>1.373</v>
      </c>
      <c r="X26" s="1742">
        <v>1.373</v>
      </c>
      <c r="Y26" s="1742">
        <v>10.060500000000001</v>
      </c>
      <c r="Z26" s="2129">
        <v>5.8634889649421457E-2</v>
      </c>
      <c r="AA26" s="2129">
        <v>0.1417467842914735</v>
      </c>
      <c r="AB26" s="2150">
        <v>0.20038167394089496</v>
      </c>
    </row>
    <row r="27" spans="2:28">
      <c r="B27" s="89">
        <v>43</v>
      </c>
      <c r="C27" s="1">
        <v>0.53100000000000003</v>
      </c>
      <c r="D27" s="1">
        <v>10.305999999999999</v>
      </c>
      <c r="E27" s="1">
        <v>2.286</v>
      </c>
      <c r="F27" s="1">
        <v>2.286</v>
      </c>
      <c r="G27" s="1">
        <v>9.7749999999999986</v>
      </c>
      <c r="H27" s="747">
        <v>5.4322250639386199E-2</v>
      </c>
      <c r="I27" s="747">
        <v>0.23386189258312023</v>
      </c>
      <c r="J27" s="2135">
        <v>0.28818414322250641</v>
      </c>
      <c r="K27" s="89">
        <v>43</v>
      </c>
      <c r="L27" s="1">
        <v>0.61199999999999999</v>
      </c>
      <c r="M27" s="1">
        <v>11.574999999999999</v>
      </c>
      <c r="N27" s="1462">
        <v>0.54900000000000004</v>
      </c>
      <c r="O27" s="1">
        <v>0.54900000000000004</v>
      </c>
      <c r="P27" s="1">
        <v>10.962999999999999</v>
      </c>
      <c r="Q27" s="747">
        <v>5.5824135729271189E-2</v>
      </c>
      <c r="R27" s="747">
        <v>5.0077533521846219E-2</v>
      </c>
      <c r="S27" s="2136">
        <v>0.10590166925111741</v>
      </c>
      <c r="T27" s="89">
        <v>43</v>
      </c>
      <c r="U27" s="746">
        <v>0.57150000000000001</v>
      </c>
      <c r="V27" s="746">
        <v>10.9405</v>
      </c>
      <c r="W27" s="746">
        <v>1.4175</v>
      </c>
      <c r="X27" s="746">
        <v>1.4175</v>
      </c>
      <c r="Y27" s="746">
        <v>10.369</v>
      </c>
      <c r="Z27" s="2124">
        <v>5.5073193184328698E-2</v>
      </c>
      <c r="AA27" s="2124">
        <v>0.14196971305248324</v>
      </c>
      <c r="AB27" s="2151">
        <v>0.19704290623681192</v>
      </c>
    </row>
    <row r="28" spans="2:28">
      <c r="B28" s="2134">
        <v>44</v>
      </c>
      <c r="C28" s="2126">
        <v>0.51500000000000001</v>
      </c>
      <c r="D28" s="2126">
        <v>10.596</v>
      </c>
      <c r="E28" s="2126">
        <v>2.3639999999999999</v>
      </c>
      <c r="F28" s="2126">
        <v>2.3639999999999999</v>
      </c>
      <c r="G28" s="2126">
        <v>10.081</v>
      </c>
      <c r="H28" s="2127">
        <v>5.108620176569785E-2</v>
      </c>
      <c r="I28" s="2127">
        <v>0.23450054558079556</v>
      </c>
      <c r="J28" s="2135">
        <v>0.28558674734649342</v>
      </c>
      <c r="K28" s="2134">
        <v>44</v>
      </c>
      <c r="L28" s="2126">
        <v>0.58699999999999997</v>
      </c>
      <c r="M28" s="2126">
        <v>11.884</v>
      </c>
      <c r="N28" s="2128">
        <v>0.56100000000000005</v>
      </c>
      <c r="O28" s="2126">
        <v>0.56100000000000005</v>
      </c>
      <c r="P28" s="2126">
        <v>11.297000000000001</v>
      </c>
      <c r="Q28" s="2127">
        <v>5.1960697530317776E-2</v>
      </c>
      <c r="R28" s="2127">
        <v>4.9659201557935739E-2</v>
      </c>
      <c r="S28" s="2135">
        <v>0.10161989908825352</v>
      </c>
      <c r="T28" s="2134">
        <v>44</v>
      </c>
      <c r="U28" s="1742">
        <v>0.55099999999999993</v>
      </c>
      <c r="V28" s="1742">
        <v>11.24</v>
      </c>
      <c r="W28" s="1742">
        <v>1.4624999999999999</v>
      </c>
      <c r="X28" s="1742">
        <v>1.4624999999999999</v>
      </c>
      <c r="Y28" s="1742">
        <v>10.689</v>
      </c>
      <c r="Z28" s="2129">
        <v>5.1523449648007813E-2</v>
      </c>
      <c r="AA28" s="2129">
        <v>0.14207987356936563</v>
      </c>
      <c r="AB28" s="2150">
        <v>0.19360332321737347</v>
      </c>
    </row>
    <row r="29" spans="2:28">
      <c r="B29" s="89">
        <v>45</v>
      </c>
      <c r="C29" s="1">
        <v>0.498</v>
      </c>
      <c r="D29" s="1">
        <v>10.897</v>
      </c>
      <c r="E29" s="1">
        <v>2.4409999999999998</v>
      </c>
      <c r="F29" s="1">
        <v>2.4409999999999998</v>
      </c>
      <c r="G29" s="1">
        <v>10.399000000000001</v>
      </c>
      <c r="H29" s="747">
        <v>4.788922011731897E-2</v>
      </c>
      <c r="I29" s="747">
        <v>0.23473410904894698</v>
      </c>
      <c r="J29" s="2135">
        <v>0.28262332916626598</v>
      </c>
      <c r="K29" s="89">
        <v>45</v>
      </c>
      <c r="L29" s="1">
        <v>0.56000000000000005</v>
      </c>
      <c r="M29" s="1">
        <v>12.202999999999999</v>
      </c>
      <c r="N29" s="1462">
        <v>0.57399999999999995</v>
      </c>
      <c r="O29" s="1">
        <v>0.57399999999999995</v>
      </c>
      <c r="P29" s="1">
        <v>11.642999999999999</v>
      </c>
      <c r="Q29" s="747">
        <v>4.8097569354977249E-2</v>
      </c>
      <c r="R29" s="747">
        <v>4.9300008588851668E-2</v>
      </c>
      <c r="S29" s="2136">
        <v>9.7397577943828917E-2</v>
      </c>
      <c r="T29" s="89">
        <v>45</v>
      </c>
      <c r="U29" s="746">
        <v>0.52900000000000003</v>
      </c>
      <c r="V29" s="746">
        <v>11.55</v>
      </c>
      <c r="W29" s="746">
        <v>1.5074999999999998</v>
      </c>
      <c r="X29" s="746">
        <v>1.5074999999999998</v>
      </c>
      <c r="Y29" s="746">
        <v>11.021000000000001</v>
      </c>
      <c r="Z29" s="2124">
        <v>4.7993394736148109E-2</v>
      </c>
      <c r="AA29" s="2124">
        <v>0.14201705881889931</v>
      </c>
      <c r="AB29" s="2151">
        <v>0.19001045355504745</v>
      </c>
    </row>
    <row r="30" spans="2:28">
      <c r="B30" s="2134">
        <v>46</v>
      </c>
      <c r="C30" s="2126">
        <v>0.48</v>
      </c>
      <c r="D30" s="2126">
        <v>11.208</v>
      </c>
      <c r="E30" s="2126">
        <v>2.5190000000000001</v>
      </c>
      <c r="F30" s="2126">
        <v>2.5190000000000001</v>
      </c>
      <c r="G30" s="2126">
        <v>10.728</v>
      </c>
      <c r="H30" s="2127">
        <v>4.4742729306487698E-2</v>
      </c>
      <c r="I30" s="2127">
        <v>0.2348061148396719</v>
      </c>
      <c r="J30" s="2135">
        <v>0.2795488441461596</v>
      </c>
      <c r="K30" s="2134">
        <v>46</v>
      </c>
      <c r="L30" s="2126">
        <v>0.53300000000000003</v>
      </c>
      <c r="M30" s="2126">
        <v>12.532</v>
      </c>
      <c r="N30" s="2128">
        <v>0.58599999999999997</v>
      </c>
      <c r="O30" s="2126">
        <v>0.58599999999999997</v>
      </c>
      <c r="P30" s="2126">
        <v>11.999000000000001</v>
      </c>
      <c r="Q30" s="2127">
        <v>4.4420368364030335E-2</v>
      </c>
      <c r="R30" s="2127">
        <v>4.8837403116926408E-2</v>
      </c>
      <c r="S30" s="2135">
        <v>9.3257771480956736E-2</v>
      </c>
      <c r="T30" s="2134">
        <v>46</v>
      </c>
      <c r="U30" s="1742">
        <v>0.50649999999999995</v>
      </c>
      <c r="V30" s="1742">
        <v>11.870000000000001</v>
      </c>
      <c r="W30" s="1742">
        <v>1.5525</v>
      </c>
      <c r="X30" s="1742">
        <v>1.5525</v>
      </c>
      <c r="Y30" s="1742">
        <v>11.3635</v>
      </c>
      <c r="Z30" s="2129">
        <v>4.4581548835259013E-2</v>
      </c>
      <c r="AA30" s="2129">
        <v>0.14182175897829916</v>
      </c>
      <c r="AB30" s="2150">
        <v>0.18640330781355818</v>
      </c>
    </row>
    <row r="31" spans="2:28">
      <c r="B31" s="89">
        <v>47</v>
      </c>
      <c r="C31" s="1">
        <v>0.45900000000000002</v>
      </c>
      <c r="D31" s="1">
        <v>11.53</v>
      </c>
      <c r="E31" s="1">
        <v>2.5960000000000001</v>
      </c>
      <c r="F31" s="1">
        <v>2.5960000000000001</v>
      </c>
      <c r="G31" s="1">
        <v>11.071</v>
      </c>
      <c r="H31" s="747">
        <v>4.1459669406557674E-2</v>
      </c>
      <c r="I31" s="747">
        <v>0.23448649625146781</v>
      </c>
      <c r="J31" s="2135">
        <v>0.27594616565802549</v>
      </c>
      <c r="K31" s="89">
        <v>47</v>
      </c>
      <c r="L31" s="1">
        <v>0.503</v>
      </c>
      <c r="M31" s="1">
        <v>12.872999999999999</v>
      </c>
      <c r="N31" s="1462">
        <v>0.59799999999999998</v>
      </c>
      <c r="O31" s="1">
        <v>0.59799999999999998</v>
      </c>
      <c r="P31" s="1">
        <v>12.37</v>
      </c>
      <c r="Q31" s="747">
        <v>4.066289409862571E-2</v>
      </c>
      <c r="R31" s="747">
        <v>4.8342764753435734E-2</v>
      </c>
      <c r="S31" s="2136">
        <v>8.9005658852061437E-2</v>
      </c>
      <c r="T31" s="89">
        <v>47</v>
      </c>
      <c r="U31" s="746">
        <v>0.48099999999999998</v>
      </c>
      <c r="V31" s="746">
        <v>12.201499999999999</v>
      </c>
      <c r="W31" s="746">
        <v>1.597</v>
      </c>
      <c r="X31" s="746">
        <v>1.597</v>
      </c>
      <c r="Y31" s="746">
        <v>11.720499999999999</v>
      </c>
      <c r="Z31" s="2124">
        <v>4.1061281752591688E-2</v>
      </c>
      <c r="AA31" s="2124">
        <v>0.14141463050245176</v>
      </c>
      <c r="AB31" s="2151">
        <v>0.18247591225504345</v>
      </c>
    </row>
    <row r="32" spans="2:28">
      <c r="B32" s="2134">
        <v>48</v>
      </c>
      <c r="C32" s="2126">
        <v>0.436</v>
      </c>
      <c r="D32" s="2126">
        <v>11.863</v>
      </c>
      <c r="E32" s="2126">
        <v>2.6720000000000002</v>
      </c>
      <c r="F32" s="2126">
        <v>2.6720000000000002</v>
      </c>
      <c r="G32" s="2126">
        <v>11.427</v>
      </c>
      <c r="H32" s="2127">
        <v>3.8155246346372629E-2</v>
      </c>
      <c r="I32" s="2127">
        <v>0.23383215192088913</v>
      </c>
      <c r="J32" s="2135">
        <v>0.27198739826726176</v>
      </c>
      <c r="K32" s="2134">
        <v>48</v>
      </c>
      <c r="L32" s="2126">
        <v>0.47099999999999997</v>
      </c>
      <c r="M32" s="2126">
        <v>13.224</v>
      </c>
      <c r="N32" s="2128">
        <v>0.60899999999999999</v>
      </c>
      <c r="O32" s="2126">
        <v>0.60899999999999999</v>
      </c>
      <c r="P32" s="2126">
        <v>12.753</v>
      </c>
      <c r="Q32" s="2127">
        <v>3.6932486473770877E-2</v>
      </c>
      <c r="R32" s="2127">
        <v>4.7753469771818394E-2</v>
      </c>
      <c r="S32" s="2135">
        <v>8.4685956245589278E-2</v>
      </c>
      <c r="T32" s="2134">
        <v>48</v>
      </c>
      <c r="U32" s="1742">
        <v>0.45350000000000001</v>
      </c>
      <c r="V32" s="1742">
        <v>12.5435</v>
      </c>
      <c r="W32" s="1742">
        <v>1.6405000000000001</v>
      </c>
      <c r="X32" s="1742">
        <v>1.6405000000000001</v>
      </c>
      <c r="Y32" s="1742">
        <v>12.09</v>
      </c>
      <c r="Z32" s="2129">
        <v>3.754386641007175E-2</v>
      </c>
      <c r="AA32" s="2129">
        <v>0.14079281084635376</v>
      </c>
      <c r="AB32" s="2150">
        <v>0.17833667725642552</v>
      </c>
    </row>
    <row r="33" spans="2:28">
      <c r="B33" s="89">
        <v>49</v>
      </c>
      <c r="C33" s="1">
        <v>0.41</v>
      </c>
      <c r="D33" s="1">
        <v>12.206</v>
      </c>
      <c r="E33" s="1">
        <v>2.7469999999999999</v>
      </c>
      <c r="F33" s="1">
        <v>2.7469999999999999</v>
      </c>
      <c r="G33" s="1">
        <v>11.795999999999999</v>
      </c>
      <c r="H33" s="747">
        <v>3.4757544930484913E-2</v>
      </c>
      <c r="I33" s="747">
        <v>0.2328755510342489</v>
      </c>
      <c r="J33" s="2135">
        <v>0.26763309596473384</v>
      </c>
      <c r="K33" s="89">
        <v>49</v>
      </c>
      <c r="L33" s="1">
        <v>0.437</v>
      </c>
      <c r="M33" s="1">
        <v>13.587</v>
      </c>
      <c r="N33" s="1462">
        <v>0.62</v>
      </c>
      <c r="O33" s="1">
        <v>0.62</v>
      </c>
      <c r="P33" s="1">
        <v>13.15</v>
      </c>
      <c r="Q33" s="747">
        <v>3.3231939163498099E-2</v>
      </c>
      <c r="R33" s="747">
        <v>4.714828897338403E-2</v>
      </c>
      <c r="S33" s="2136">
        <v>8.0380228136882129E-2</v>
      </c>
      <c r="T33" s="89">
        <v>49</v>
      </c>
      <c r="U33" s="746">
        <v>0.42349999999999999</v>
      </c>
      <c r="V33" s="746">
        <v>12.8965</v>
      </c>
      <c r="W33" s="746">
        <v>1.6835</v>
      </c>
      <c r="X33" s="746">
        <v>1.6835</v>
      </c>
      <c r="Y33" s="746">
        <v>12.472999999999999</v>
      </c>
      <c r="Z33" s="2124">
        <v>3.3994742046991502E-2</v>
      </c>
      <c r="AA33" s="2124">
        <v>0.14001192000381646</v>
      </c>
      <c r="AB33" s="2151">
        <v>0.17400666205080798</v>
      </c>
    </row>
    <row r="34" spans="2:28">
      <c r="B34" s="2134">
        <v>50</v>
      </c>
      <c r="C34" s="2126">
        <v>0.38</v>
      </c>
      <c r="D34" s="2126">
        <v>12.561999999999999</v>
      </c>
      <c r="E34" s="2126">
        <v>2.8210000000000002</v>
      </c>
      <c r="F34" s="2126">
        <v>2.8210000000000002</v>
      </c>
      <c r="G34" s="2126">
        <v>12.181999999999999</v>
      </c>
      <c r="H34" s="2127">
        <v>3.1193564275160075E-2</v>
      </c>
      <c r="I34" s="2127">
        <v>0.23157117057954363</v>
      </c>
      <c r="J34" s="2135">
        <v>0.2627647348547037</v>
      </c>
      <c r="K34" s="2134">
        <v>50</v>
      </c>
      <c r="L34" s="2126">
        <v>0.40100000000000002</v>
      </c>
      <c r="M34" s="2126">
        <v>13.961</v>
      </c>
      <c r="N34" s="2128">
        <v>0.63</v>
      </c>
      <c r="O34" s="2126">
        <v>0.63</v>
      </c>
      <c r="P34" s="2126">
        <v>13.56</v>
      </c>
      <c r="Q34" s="2127">
        <v>2.957227138643068E-2</v>
      </c>
      <c r="R34" s="2127">
        <v>4.6460176991150438E-2</v>
      </c>
      <c r="S34" s="2135">
        <v>7.6032448377581122E-2</v>
      </c>
      <c r="T34" s="2134">
        <v>50</v>
      </c>
      <c r="U34" s="1742">
        <v>0.39050000000000001</v>
      </c>
      <c r="V34" s="1742">
        <v>13.2615</v>
      </c>
      <c r="W34" s="1742">
        <v>1.7255</v>
      </c>
      <c r="X34" s="1742">
        <v>1.7255</v>
      </c>
      <c r="Y34" s="1742">
        <v>12.870999999999999</v>
      </c>
      <c r="Z34" s="2129">
        <v>3.0382917830795379E-2</v>
      </c>
      <c r="AA34" s="2129">
        <v>0.13901567378534704</v>
      </c>
      <c r="AB34" s="2150">
        <v>0.1693985916161424</v>
      </c>
    </row>
    <row r="35" spans="2:28">
      <c r="B35" s="89">
        <v>51</v>
      </c>
      <c r="C35" s="1">
        <v>0.34599999999999997</v>
      </c>
      <c r="D35" s="1">
        <v>12.93</v>
      </c>
      <c r="E35" s="1">
        <v>2.8929999999999998</v>
      </c>
      <c r="F35" s="1">
        <v>2.8929999999999998</v>
      </c>
      <c r="G35" s="1">
        <v>12.584</v>
      </c>
      <c r="H35" s="747">
        <v>2.7495232040686584E-2</v>
      </c>
      <c r="I35" s="747">
        <v>0.2298951048951049</v>
      </c>
      <c r="J35" s="2135">
        <v>0.2573903369357915</v>
      </c>
      <c r="K35" s="89">
        <v>51</v>
      </c>
      <c r="L35" s="1">
        <v>0.36099999999999999</v>
      </c>
      <c r="M35" s="1">
        <v>14.347</v>
      </c>
      <c r="N35" s="1462">
        <v>0.63800000000000001</v>
      </c>
      <c r="O35" s="1">
        <v>0.63800000000000001</v>
      </c>
      <c r="P35" s="1">
        <v>13.985999999999999</v>
      </c>
      <c r="Q35" s="747">
        <v>2.5811525811525814E-2</v>
      </c>
      <c r="R35" s="747">
        <v>4.5617045617045625E-2</v>
      </c>
      <c r="S35" s="2136">
        <v>7.1428571428571438E-2</v>
      </c>
      <c r="T35" s="89">
        <v>51</v>
      </c>
      <c r="U35" s="746">
        <v>0.35349999999999998</v>
      </c>
      <c r="V35" s="746">
        <v>13.638500000000001</v>
      </c>
      <c r="W35" s="746">
        <v>1.7654999999999998</v>
      </c>
      <c r="X35" s="746">
        <v>1.7654999999999998</v>
      </c>
      <c r="Y35" s="746">
        <v>13.285</v>
      </c>
      <c r="Z35" s="2124">
        <v>2.6653378926106197E-2</v>
      </c>
      <c r="AA35" s="2124">
        <v>0.13775607525607525</v>
      </c>
      <c r="AB35" s="2151">
        <v>0.16440945418218147</v>
      </c>
    </row>
    <row r="36" spans="2:28">
      <c r="B36" s="2134">
        <v>52</v>
      </c>
      <c r="C36" s="2126">
        <v>0.309</v>
      </c>
      <c r="D36" s="2126">
        <v>13.311999999999999</v>
      </c>
      <c r="E36" s="2126">
        <v>2.9630000000000001</v>
      </c>
      <c r="F36" s="2126">
        <v>2.9630000000000001</v>
      </c>
      <c r="G36" s="2126">
        <v>13.003</v>
      </c>
      <c r="H36" s="2127">
        <v>2.3763746827655155E-2</v>
      </c>
      <c r="I36" s="2127">
        <v>0.22787049142505575</v>
      </c>
      <c r="J36" s="2135">
        <v>0.25163423825271092</v>
      </c>
      <c r="K36" s="2134">
        <v>52</v>
      </c>
      <c r="L36" s="2126">
        <v>0.31900000000000001</v>
      </c>
      <c r="M36" s="2126">
        <v>14.746</v>
      </c>
      <c r="N36" s="2128">
        <v>0.64600000000000002</v>
      </c>
      <c r="O36" s="2126">
        <v>0.64600000000000002</v>
      </c>
      <c r="P36" s="2126">
        <v>14.427</v>
      </c>
      <c r="Q36" s="2127">
        <v>2.2111319054550497E-2</v>
      </c>
      <c r="R36" s="2127">
        <v>4.4777153947459625E-2</v>
      </c>
      <c r="S36" s="2135">
        <v>6.6888473002010118E-2</v>
      </c>
      <c r="T36" s="2134">
        <v>52</v>
      </c>
      <c r="U36" s="1742">
        <v>0.314</v>
      </c>
      <c r="V36" s="1742">
        <v>14.029</v>
      </c>
      <c r="W36" s="1742">
        <v>1.8045</v>
      </c>
      <c r="X36" s="1742">
        <v>1.8045</v>
      </c>
      <c r="Y36" s="1742">
        <v>13.715</v>
      </c>
      <c r="Z36" s="2129">
        <v>2.2937532941102824E-2</v>
      </c>
      <c r="AA36" s="2129">
        <v>0.1363238226862577</v>
      </c>
      <c r="AB36" s="2150">
        <v>0.15926135562736052</v>
      </c>
    </row>
    <row r="37" spans="2:28">
      <c r="B37" s="89">
        <v>53</v>
      </c>
      <c r="C37" s="1">
        <v>0.27</v>
      </c>
      <c r="D37" s="1">
        <v>13.709</v>
      </c>
      <c r="E37" s="1">
        <v>3.032</v>
      </c>
      <c r="F37" s="1">
        <v>3.032</v>
      </c>
      <c r="G37" s="1">
        <v>13.439</v>
      </c>
      <c r="H37" s="747">
        <v>2.0090780564030061E-2</v>
      </c>
      <c r="I37" s="747">
        <v>0.22561202470421907</v>
      </c>
      <c r="J37" s="2135">
        <v>0.24570280526824911</v>
      </c>
      <c r="K37" s="89">
        <v>53</v>
      </c>
      <c r="L37" s="1">
        <v>0.27500000000000002</v>
      </c>
      <c r="M37" s="1">
        <v>15.157999999999999</v>
      </c>
      <c r="N37" s="1462">
        <v>0.65300000000000002</v>
      </c>
      <c r="O37" s="1">
        <v>0.65300000000000002</v>
      </c>
      <c r="P37" s="1">
        <v>14.882999999999999</v>
      </c>
      <c r="Q37" s="747">
        <v>1.8477457501847747E-2</v>
      </c>
      <c r="R37" s="747">
        <v>4.3875562722569379E-2</v>
      </c>
      <c r="S37" s="2136">
        <v>6.2353020224417126E-2</v>
      </c>
      <c r="T37" s="89">
        <v>53</v>
      </c>
      <c r="U37" s="746">
        <v>0.27250000000000002</v>
      </c>
      <c r="V37" s="746">
        <v>14.433499999999999</v>
      </c>
      <c r="W37" s="746">
        <v>1.8425</v>
      </c>
      <c r="X37" s="746">
        <v>1.8425</v>
      </c>
      <c r="Y37" s="746">
        <v>14.161</v>
      </c>
      <c r="Z37" s="2124">
        <v>1.9284119032938904E-2</v>
      </c>
      <c r="AA37" s="2124">
        <v>0.13474379371339423</v>
      </c>
      <c r="AB37" s="2151">
        <v>0.15402791274633312</v>
      </c>
    </row>
    <row r="38" spans="2:28">
      <c r="B38" s="2134">
        <v>54</v>
      </c>
      <c r="C38" s="2126">
        <v>0.22800000000000001</v>
      </c>
      <c r="D38" s="2126">
        <v>14.12</v>
      </c>
      <c r="E38" s="2126">
        <v>3.0990000000000002</v>
      </c>
      <c r="F38" s="2126">
        <v>3.0990000000000002</v>
      </c>
      <c r="G38" s="2126">
        <v>13.891999999999999</v>
      </c>
      <c r="H38" s="2127">
        <v>1.6412323639504751E-2</v>
      </c>
      <c r="I38" s="2127">
        <v>0.22307803052116329</v>
      </c>
      <c r="J38" s="2135">
        <v>0.23949035416066805</v>
      </c>
      <c r="K38" s="2134">
        <v>54</v>
      </c>
      <c r="L38" s="2126">
        <v>0.22900000000000001</v>
      </c>
      <c r="M38" s="2126">
        <v>15.585000000000001</v>
      </c>
      <c r="N38" s="2128">
        <v>0.65900000000000003</v>
      </c>
      <c r="O38" s="2126">
        <v>0.65900000000000003</v>
      </c>
      <c r="P38" s="2126">
        <v>15.356000000000002</v>
      </c>
      <c r="Q38" s="2127">
        <v>1.4912737692107318E-2</v>
      </c>
      <c r="R38" s="2127">
        <v>4.2914821568116691E-2</v>
      </c>
      <c r="S38" s="2135">
        <v>5.782755926022401E-2</v>
      </c>
      <c r="T38" s="2134">
        <v>54</v>
      </c>
      <c r="U38" s="1742">
        <v>0.22850000000000001</v>
      </c>
      <c r="V38" s="1742">
        <v>14.852499999999999</v>
      </c>
      <c r="W38" s="1742">
        <v>1.879</v>
      </c>
      <c r="X38" s="1742">
        <v>1.879</v>
      </c>
      <c r="Y38" s="1742">
        <v>14.624000000000001</v>
      </c>
      <c r="Z38" s="2129">
        <v>1.5662530665806036E-2</v>
      </c>
      <c r="AA38" s="2129">
        <v>0.13299642604463999</v>
      </c>
      <c r="AB38" s="2150">
        <v>0.14865895671044604</v>
      </c>
    </row>
    <row r="39" spans="2:28">
      <c r="B39" s="89">
        <v>55</v>
      </c>
      <c r="C39" s="1">
        <v>0.184</v>
      </c>
      <c r="D39" s="1">
        <v>14.548</v>
      </c>
      <c r="E39" s="1">
        <v>3.165</v>
      </c>
      <c r="F39" s="1">
        <v>3.165</v>
      </c>
      <c r="G39" s="1">
        <v>14.364000000000001</v>
      </c>
      <c r="H39" s="747">
        <v>1.2809802283486493E-2</v>
      </c>
      <c r="I39" s="747">
        <v>0.22034252297410192</v>
      </c>
      <c r="J39" s="2135">
        <v>0.23315232525758842</v>
      </c>
      <c r="K39" s="89">
        <v>55</v>
      </c>
      <c r="L39" s="1">
        <v>0.18099999999999999</v>
      </c>
      <c r="M39" s="1">
        <v>16.026</v>
      </c>
      <c r="N39" s="1462">
        <v>0.66400000000000003</v>
      </c>
      <c r="O39" s="1">
        <v>0.66400000000000003</v>
      </c>
      <c r="P39" s="1">
        <v>15.845000000000001</v>
      </c>
      <c r="Q39" s="747">
        <v>1.1423161880719469E-2</v>
      </c>
      <c r="R39" s="747">
        <v>4.1905964026506787E-2</v>
      </c>
      <c r="S39" s="2136">
        <v>5.3329125907226257E-2</v>
      </c>
      <c r="T39" s="89">
        <v>55</v>
      </c>
      <c r="U39" s="746">
        <v>0.1825</v>
      </c>
      <c r="V39" s="746">
        <v>15.286999999999999</v>
      </c>
      <c r="W39" s="746">
        <v>1.9145000000000001</v>
      </c>
      <c r="X39" s="746">
        <v>1.9145000000000001</v>
      </c>
      <c r="Y39" s="746">
        <v>15.104500000000002</v>
      </c>
      <c r="Z39" s="2124">
        <v>1.2116482082102982E-2</v>
      </c>
      <c r="AA39" s="2124">
        <v>0.13112424350030435</v>
      </c>
      <c r="AB39" s="2151">
        <v>0.14324072558240733</v>
      </c>
    </row>
    <row r="40" spans="2:28">
      <c r="B40" s="2134">
        <v>56</v>
      </c>
      <c r="C40" s="2126">
        <v>0.13900000000000001</v>
      </c>
      <c r="D40" s="2126">
        <v>14.993</v>
      </c>
      <c r="E40" s="2126">
        <v>3.2320000000000002</v>
      </c>
      <c r="F40" s="2126">
        <v>3.2320000000000002</v>
      </c>
      <c r="G40" s="2126">
        <v>14.854000000000001</v>
      </c>
      <c r="H40" s="2127">
        <v>9.35774875454423E-3</v>
      </c>
      <c r="I40" s="2127">
        <v>0.21758448902652483</v>
      </c>
      <c r="J40" s="2135">
        <v>0.22694223778106906</v>
      </c>
      <c r="K40" s="2134">
        <v>56</v>
      </c>
      <c r="L40" s="2126">
        <v>0.13500000000000001</v>
      </c>
      <c r="M40" s="2126">
        <v>16.484999999999999</v>
      </c>
      <c r="N40" s="2128">
        <v>0.66900000000000004</v>
      </c>
      <c r="O40" s="2126">
        <v>0.66900000000000004</v>
      </c>
      <c r="P40" s="2126">
        <v>16.349999999999998</v>
      </c>
      <c r="Q40" s="2127">
        <v>8.2568807339449563E-3</v>
      </c>
      <c r="R40" s="2127">
        <v>4.0917431192660558E-2</v>
      </c>
      <c r="S40" s="2135">
        <v>4.9174311926605513E-2</v>
      </c>
      <c r="T40" s="2134">
        <v>56</v>
      </c>
      <c r="U40" s="1742">
        <v>0.13700000000000001</v>
      </c>
      <c r="V40" s="1742">
        <v>15.739000000000001</v>
      </c>
      <c r="W40" s="1742">
        <v>1.9505000000000001</v>
      </c>
      <c r="X40" s="1742">
        <v>1.9505000000000001</v>
      </c>
      <c r="Y40" s="1742">
        <v>15.602</v>
      </c>
      <c r="Z40" s="2129">
        <v>8.8073147442445932E-3</v>
      </c>
      <c r="AA40" s="2129">
        <v>0.12925096010959269</v>
      </c>
      <c r="AB40" s="2150">
        <v>0.13805827485383729</v>
      </c>
    </row>
    <row r="41" spans="2:28">
      <c r="B41" s="89">
        <v>57</v>
      </c>
      <c r="C41" s="1">
        <v>9.5000000000000001E-2</v>
      </c>
      <c r="D41" s="1">
        <v>15.458</v>
      </c>
      <c r="E41" s="1">
        <v>3.2989999999999999</v>
      </c>
      <c r="F41" s="1">
        <v>3.2989999999999999</v>
      </c>
      <c r="G41" s="1">
        <v>15.363</v>
      </c>
      <c r="H41" s="747">
        <v>6.1836880817548656E-3</v>
      </c>
      <c r="I41" s="747">
        <v>0.21473670507062423</v>
      </c>
      <c r="J41" s="2135">
        <v>0.2209203931523791</v>
      </c>
      <c r="K41" s="89">
        <v>57</v>
      </c>
      <c r="L41" s="1">
        <v>9.0999999999999998E-2</v>
      </c>
      <c r="M41" s="1">
        <v>16.963000000000001</v>
      </c>
      <c r="N41" s="1462">
        <v>0.67300000000000004</v>
      </c>
      <c r="O41" s="1">
        <v>0.67300000000000004</v>
      </c>
      <c r="P41" s="1">
        <v>16.872</v>
      </c>
      <c r="Q41" s="747">
        <v>5.3935514461830253E-3</v>
      </c>
      <c r="R41" s="747">
        <v>3.988857278330963E-2</v>
      </c>
      <c r="S41" s="2136">
        <v>4.5282124229492654E-2</v>
      </c>
      <c r="T41" s="89">
        <v>57</v>
      </c>
      <c r="U41" s="746">
        <v>9.2999999999999999E-2</v>
      </c>
      <c r="V41" s="746">
        <v>16.2105</v>
      </c>
      <c r="W41" s="746">
        <v>1.986</v>
      </c>
      <c r="X41" s="746">
        <v>1.986</v>
      </c>
      <c r="Y41" s="746">
        <v>16.1175</v>
      </c>
      <c r="Z41" s="2124">
        <v>5.7886197639689455E-3</v>
      </c>
      <c r="AA41" s="2124">
        <v>0.12731263892696693</v>
      </c>
      <c r="AB41" s="2151">
        <v>0.13310125869093586</v>
      </c>
    </row>
    <row r="42" spans="2:28">
      <c r="B42" s="2134">
        <v>58</v>
      </c>
      <c r="C42" s="2126">
        <v>5.7000000000000002E-2</v>
      </c>
      <c r="D42" s="2126">
        <v>15.943</v>
      </c>
      <c r="E42" s="2126">
        <v>3.3679999999999999</v>
      </c>
      <c r="F42" s="2126">
        <v>3.3679999999999999</v>
      </c>
      <c r="G42" s="2126">
        <v>15.885999999999999</v>
      </c>
      <c r="H42" s="2127">
        <v>3.5880649628603806E-3</v>
      </c>
      <c r="I42" s="2127">
        <v>0.21201057534936421</v>
      </c>
      <c r="J42" s="2135">
        <v>0.21559864031222459</v>
      </c>
      <c r="K42" s="2134">
        <v>58</v>
      </c>
      <c r="L42" s="2126">
        <v>5.1999999999999998E-2</v>
      </c>
      <c r="M42" s="2126">
        <v>17.463000000000001</v>
      </c>
      <c r="N42" s="2128">
        <v>0.67800000000000005</v>
      </c>
      <c r="O42" s="2126">
        <v>0.67800000000000005</v>
      </c>
      <c r="P42" s="2126">
        <v>17.411000000000001</v>
      </c>
      <c r="Q42" s="2127">
        <v>2.9866176555051402E-3</v>
      </c>
      <c r="R42" s="2127">
        <v>3.8940899431393949E-2</v>
      </c>
      <c r="S42" s="2135">
        <v>4.192751708689909E-2</v>
      </c>
      <c r="T42" s="2134">
        <v>58</v>
      </c>
      <c r="U42" s="1742">
        <v>5.45E-2</v>
      </c>
      <c r="V42" s="1742">
        <v>16.702999999999999</v>
      </c>
      <c r="W42" s="1742">
        <v>2.0230000000000001</v>
      </c>
      <c r="X42" s="1742">
        <v>2.0230000000000001</v>
      </c>
      <c r="Y42" s="1742">
        <v>16.648499999999999</v>
      </c>
      <c r="Z42" s="2129">
        <v>3.2873413091827602E-3</v>
      </c>
      <c r="AA42" s="2129">
        <v>0.12547573739037909</v>
      </c>
      <c r="AB42" s="2150">
        <v>0.12876307869956183</v>
      </c>
    </row>
    <row r="43" spans="2:28">
      <c r="B43" s="89">
        <v>59</v>
      </c>
      <c r="C43" s="1">
        <v>2.5999999999999999E-2</v>
      </c>
      <c r="D43" s="1">
        <v>16.451000000000001</v>
      </c>
      <c r="E43" s="1">
        <v>3.4409999999999998</v>
      </c>
      <c r="F43" s="1">
        <v>3.4409999999999998</v>
      </c>
      <c r="G43" s="1">
        <v>16.425000000000001</v>
      </c>
      <c r="H43" s="747">
        <v>1.5829528158295279E-3</v>
      </c>
      <c r="I43" s="747">
        <v>0.20949771689497715</v>
      </c>
      <c r="J43" s="2135">
        <v>0.21108066971080669</v>
      </c>
      <c r="K43" s="89">
        <v>59</v>
      </c>
      <c r="L43" s="1">
        <v>2.3E-2</v>
      </c>
      <c r="M43" s="1">
        <v>17.989000000000001</v>
      </c>
      <c r="N43" s="1462">
        <v>0.68200000000000005</v>
      </c>
      <c r="O43" s="1">
        <v>0.68200000000000005</v>
      </c>
      <c r="P43" s="1">
        <v>17.966000000000001</v>
      </c>
      <c r="Q43" s="747">
        <v>1.2801959256373149E-3</v>
      </c>
      <c r="R43" s="747">
        <v>3.7960592229767338E-2</v>
      </c>
      <c r="S43" s="2136">
        <v>3.9240788155404653E-2</v>
      </c>
      <c r="T43" s="89">
        <v>59</v>
      </c>
      <c r="U43" s="746">
        <v>2.4500000000000001E-2</v>
      </c>
      <c r="V43" s="746">
        <v>17.22</v>
      </c>
      <c r="W43" s="746">
        <v>2.0615000000000001</v>
      </c>
      <c r="X43" s="746">
        <v>2.0615000000000001</v>
      </c>
      <c r="Y43" s="746">
        <v>17.195500000000003</v>
      </c>
      <c r="Z43" s="2124">
        <v>1.4315743707334215E-3</v>
      </c>
      <c r="AA43" s="2124">
        <v>0.12372915456237224</v>
      </c>
      <c r="AB43" s="2151">
        <v>0.12516072893310567</v>
      </c>
    </row>
    <row r="44" spans="2:28">
      <c r="B44" s="2134">
        <v>60</v>
      </c>
      <c r="C44" s="2126">
        <v>6.0000000000000001E-3</v>
      </c>
      <c r="D44" s="2126">
        <v>16.986999999999998</v>
      </c>
      <c r="E44" s="2126">
        <v>3.5169999999999999</v>
      </c>
      <c r="F44" s="2126">
        <v>3.5169999999999999</v>
      </c>
      <c r="G44" s="2126">
        <v>16.980999999999998</v>
      </c>
      <c r="H44" s="2127">
        <v>3.5333608150285616E-4</v>
      </c>
      <c r="I44" s="2127">
        <v>0.20711383310759085</v>
      </c>
      <c r="J44" s="2135">
        <v>0.20746716918909372</v>
      </c>
      <c r="K44" s="2134">
        <v>60</v>
      </c>
      <c r="L44" s="2126">
        <v>5.0000000000000001E-3</v>
      </c>
      <c r="M44" s="2126">
        <v>18.544</v>
      </c>
      <c r="N44" s="2128">
        <v>0.68700000000000006</v>
      </c>
      <c r="O44" s="2126">
        <v>0.68700000000000006</v>
      </c>
      <c r="P44" s="2126">
        <v>18.539000000000001</v>
      </c>
      <c r="Q44" s="2127">
        <v>2.6970170990884082E-4</v>
      </c>
      <c r="R44" s="2127">
        <v>3.7057014941474731E-2</v>
      </c>
      <c r="S44" s="2135">
        <v>3.7326716651383575E-2</v>
      </c>
      <c r="T44" s="2134">
        <v>60</v>
      </c>
      <c r="U44" s="1742">
        <v>5.4999999999999997E-3</v>
      </c>
      <c r="V44" s="1742">
        <v>17.765499999999999</v>
      </c>
      <c r="W44" s="1742">
        <v>2.1019999999999999</v>
      </c>
      <c r="X44" s="1742">
        <v>2.1019999999999999</v>
      </c>
      <c r="Y44" s="1742">
        <v>17.759999999999998</v>
      </c>
      <c r="Z44" s="2129">
        <v>3.1151889570584846E-4</v>
      </c>
      <c r="AA44" s="2129">
        <v>0.12208542402453279</v>
      </c>
      <c r="AB44" s="2150">
        <v>0.12239694292023864</v>
      </c>
    </row>
    <row r="45" spans="2:28">
      <c r="B45" s="2155">
        <v>61</v>
      </c>
      <c r="C45" s="2156">
        <v>0</v>
      </c>
      <c r="D45" s="2156">
        <v>17.553000000000001</v>
      </c>
      <c r="E45" s="2156">
        <v>3.5979999999999999</v>
      </c>
      <c r="F45" s="2156">
        <v>3.5979999999999999</v>
      </c>
      <c r="G45" s="2156">
        <v>17.553000000000001</v>
      </c>
      <c r="H45" s="2157">
        <v>0</v>
      </c>
      <c r="I45" s="2157">
        <v>0.20497920583376059</v>
      </c>
      <c r="J45" s="2158">
        <v>0.20497920583376059</v>
      </c>
      <c r="K45" s="2155">
        <v>61</v>
      </c>
      <c r="L45" s="2156">
        <v>0</v>
      </c>
      <c r="M45" s="2156">
        <v>19.131</v>
      </c>
      <c r="N45" s="2159">
        <v>0.69199999999999995</v>
      </c>
      <c r="O45" s="2156">
        <v>0.69199999999999995</v>
      </c>
      <c r="P45" s="2156">
        <v>19.131</v>
      </c>
      <c r="Q45" s="2157">
        <v>0</v>
      </c>
      <c r="R45" s="2157">
        <v>3.6171658564633315E-2</v>
      </c>
      <c r="S45" s="2158">
        <v>3.6171658564633315E-2</v>
      </c>
      <c r="T45" s="2155">
        <v>61</v>
      </c>
      <c r="U45" s="2160">
        <v>0</v>
      </c>
      <c r="V45" s="2160">
        <v>18.341999999999999</v>
      </c>
      <c r="W45" s="2160">
        <v>2.145</v>
      </c>
      <c r="X45" s="2160">
        <v>2.145</v>
      </c>
      <c r="Y45" s="2160">
        <v>18.341999999999999</v>
      </c>
      <c r="Z45" s="2161">
        <v>0</v>
      </c>
      <c r="AA45" s="2161">
        <v>0.12057543219919695</v>
      </c>
      <c r="AB45" s="2162">
        <v>0.12057543219919695</v>
      </c>
    </row>
    <row r="46" spans="2:28">
      <c r="B46" s="2134">
        <v>62</v>
      </c>
      <c r="C46" s="2126">
        <v>0</v>
      </c>
      <c r="D46" s="2126">
        <v>17.187000000000001</v>
      </c>
      <c r="E46" s="2126">
        <v>3.6219999999999999</v>
      </c>
      <c r="F46" s="2126">
        <v>3.734</v>
      </c>
      <c r="G46" s="2126">
        <v>17.187000000000001</v>
      </c>
      <c r="H46" s="2127">
        <v>0</v>
      </c>
      <c r="I46" s="2127">
        <v>0.21725722930121602</v>
      </c>
      <c r="J46" s="2135">
        <v>0.21725722930121602</v>
      </c>
      <c r="K46" s="2134">
        <v>62</v>
      </c>
      <c r="L46" s="2126">
        <v>0</v>
      </c>
      <c r="M46" s="2126">
        <v>18.765999999999998</v>
      </c>
      <c r="N46" s="2128">
        <v>0.67600000000000005</v>
      </c>
      <c r="O46" s="2126">
        <v>0.67600000000000005</v>
      </c>
      <c r="P46" s="2126">
        <v>18.765999999999998</v>
      </c>
      <c r="Q46" s="2127">
        <v>0</v>
      </c>
      <c r="R46" s="2127">
        <v>3.6022594053074716E-2</v>
      </c>
      <c r="S46" s="2135">
        <v>3.6022594053074716E-2</v>
      </c>
      <c r="T46" s="2134">
        <v>62</v>
      </c>
      <c r="U46" s="1742">
        <v>0</v>
      </c>
      <c r="V46" s="1742">
        <v>17.976500000000001</v>
      </c>
      <c r="W46" s="1742">
        <v>2.149</v>
      </c>
      <c r="X46" s="1742">
        <v>2.2050000000000001</v>
      </c>
      <c r="Y46" s="1742">
        <v>17.976500000000001</v>
      </c>
      <c r="Z46" s="2129">
        <v>0</v>
      </c>
      <c r="AA46" s="2129">
        <v>0.12663991167714536</v>
      </c>
      <c r="AB46" s="2150">
        <v>0.12663991167714536</v>
      </c>
    </row>
    <row r="47" spans="2:28">
      <c r="B47" s="89">
        <v>63</v>
      </c>
      <c r="C47" s="1">
        <v>0</v>
      </c>
      <c r="D47" s="1">
        <v>16.815000000000001</v>
      </c>
      <c r="E47" s="1">
        <v>3.6419999999999999</v>
      </c>
      <c r="F47" s="1">
        <v>3.7530000000000001</v>
      </c>
      <c r="G47" s="1">
        <v>16.815000000000001</v>
      </c>
      <c r="H47" s="747">
        <v>0</v>
      </c>
      <c r="I47" s="747">
        <v>0.22319357716324709</v>
      </c>
      <c r="J47" s="2135">
        <v>0.22319357716324709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2.206</v>
      </c>
      <c r="Y47" s="746">
        <v>17.603999999999999</v>
      </c>
      <c r="Z47" s="2124">
        <v>0</v>
      </c>
      <c r="AA47" s="2124">
        <v>0.12951121254726264</v>
      </c>
      <c r="AB47" s="2151">
        <v>0.12951121254726264</v>
      </c>
    </row>
    <row r="48" spans="2:28">
      <c r="B48" s="2134">
        <v>64</v>
      </c>
      <c r="C48" s="2126">
        <v>0</v>
      </c>
      <c r="D48" s="2126">
        <v>16.437999999999999</v>
      </c>
      <c r="E48" s="2126">
        <v>3.6579999999999999</v>
      </c>
      <c r="F48" s="2126">
        <v>3.7669999999999999</v>
      </c>
      <c r="G48" s="2126">
        <v>16.437999999999999</v>
      </c>
      <c r="H48" s="2127">
        <v>0</v>
      </c>
      <c r="I48" s="2127">
        <v>0.22916413188952428</v>
      </c>
      <c r="J48" s="2135">
        <v>0.22916413188952428</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2.2039999999999997</v>
      </c>
      <c r="Y48" s="1742">
        <v>17.224499999999999</v>
      </c>
      <c r="Z48" s="2129">
        <v>0</v>
      </c>
      <c r="AA48" s="2129">
        <v>0.13237674697302265</v>
      </c>
      <c r="AB48" s="2150">
        <v>0.13237674697302265</v>
      </c>
    </row>
    <row r="49" spans="2:28">
      <c r="B49" s="89">
        <v>65</v>
      </c>
      <c r="C49" s="1">
        <v>0</v>
      </c>
      <c r="D49" s="1">
        <v>16.053000000000001</v>
      </c>
      <c r="E49" s="1">
        <v>3.6680000000000001</v>
      </c>
      <c r="F49" s="1">
        <v>3.7749999999999999</v>
      </c>
      <c r="G49" s="1">
        <v>16.053000000000001</v>
      </c>
      <c r="H49" s="747">
        <v>0</v>
      </c>
      <c r="I49" s="747">
        <v>0.23515853734504452</v>
      </c>
      <c r="J49" s="2136">
        <v>0.23515853734504452</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2.1989999999999998</v>
      </c>
      <c r="Y49" s="746">
        <v>16.835999999999999</v>
      </c>
      <c r="Z49" s="967">
        <v>0</v>
      </c>
      <c r="AA49" s="967">
        <v>0.13525904618543447</v>
      </c>
      <c r="AB49" s="968">
        <v>0.13525904618543447</v>
      </c>
    </row>
    <row r="50" spans="2:28">
      <c r="B50" s="2134">
        <v>66</v>
      </c>
      <c r="C50" s="2126"/>
      <c r="D50" s="2126">
        <v>15.661</v>
      </c>
      <c r="E50" s="2126">
        <v>3.6739999999999999</v>
      </c>
      <c r="F50" s="2126">
        <v>3.778</v>
      </c>
      <c r="G50" s="2126">
        <v>15.661</v>
      </c>
      <c r="H50" s="2127">
        <v>0</v>
      </c>
      <c r="I50" s="2127">
        <v>0.24123619181406042</v>
      </c>
      <c r="J50" s="2135">
        <v>0.24123619181406042</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2.1909999999999998</v>
      </c>
      <c r="Y50" s="1742">
        <v>16.439</v>
      </c>
      <c r="Z50" s="2129">
        <v>0</v>
      </c>
      <c r="AA50" s="2129">
        <v>0.13815889860204095</v>
      </c>
      <c r="AB50" s="2150">
        <v>0.13815889860204095</v>
      </c>
    </row>
    <row r="51" spans="2:28">
      <c r="B51" s="89">
        <v>67</v>
      </c>
      <c r="C51" s="1"/>
      <c r="D51" s="1">
        <v>15.260999999999999</v>
      </c>
      <c r="E51" s="1">
        <v>3.6779999999999999</v>
      </c>
      <c r="F51" s="1">
        <v>3.778</v>
      </c>
      <c r="G51" s="1">
        <v>15.260999999999999</v>
      </c>
      <c r="H51" s="747">
        <v>0</v>
      </c>
      <c r="I51" s="747">
        <v>0.24755913767118801</v>
      </c>
      <c r="J51" s="2135">
        <v>0.24755913767118801</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2.1819999999999999</v>
      </c>
      <c r="Y51" s="746">
        <v>16.032</v>
      </c>
      <c r="Z51" s="2124">
        <v>0</v>
      </c>
      <c r="AA51" s="2124">
        <v>0.14121693121136022</v>
      </c>
      <c r="AB51" s="2151">
        <v>0.14121693121136022</v>
      </c>
    </row>
    <row r="52" spans="2:28">
      <c r="B52" s="2134">
        <v>68</v>
      </c>
      <c r="C52" s="2126"/>
      <c r="D52" s="2126">
        <v>14.851000000000001</v>
      </c>
      <c r="E52" s="2126">
        <v>3.68</v>
      </c>
      <c r="F52" s="2126">
        <v>3.7770000000000001</v>
      </c>
      <c r="G52" s="2126">
        <v>14.851000000000001</v>
      </c>
      <c r="H52" s="2127">
        <v>0</v>
      </c>
      <c r="I52" s="2127">
        <v>0.25432630799272776</v>
      </c>
      <c r="J52" s="2135">
        <v>0.25432630799272776</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2.1720000000000002</v>
      </c>
      <c r="Y52" s="1742">
        <v>15.6145</v>
      </c>
      <c r="Z52" s="2129">
        <v>0</v>
      </c>
      <c r="AA52" s="2129">
        <v>0.14447295983346242</v>
      </c>
      <c r="AB52" s="2150">
        <v>0.14447295983346242</v>
      </c>
    </row>
    <row r="53" spans="2:28">
      <c r="B53" s="89">
        <v>69</v>
      </c>
      <c r="C53" s="1"/>
      <c r="D53" s="1">
        <v>14.432</v>
      </c>
      <c r="E53" s="1">
        <v>3.681</v>
      </c>
      <c r="F53" s="1">
        <v>3.7730000000000001</v>
      </c>
      <c r="G53" s="1">
        <v>14.432</v>
      </c>
      <c r="H53" s="747">
        <v>0</v>
      </c>
      <c r="I53" s="747">
        <v>0.26143292682926828</v>
      </c>
      <c r="J53" s="2135">
        <v>0.26143292682926828</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2.161</v>
      </c>
      <c r="Y53" s="746">
        <v>15.186</v>
      </c>
      <c r="Z53" s="2124">
        <v>0</v>
      </c>
      <c r="AA53" s="2124">
        <v>0.14793729152002938</v>
      </c>
      <c r="AB53" s="2151">
        <v>0.14793729152002938</v>
      </c>
    </row>
    <row r="54" spans="2:28">
      <c r="B54" s="2134">
        <v>70</v>
      </c>
      <c r="C54" s="2126"/>
      <c r="D54" s="2126">
        <v>14.002000000000001</v>
      </c>
      <c r="E54" s="2126">
        <v>3.6789999999999998</v>
      </c>
      <c r="F54" s="2126">
        <v>3.7669999999999999</v>
      </c>
      <c r="G54" s="2126">
        <v>14.002000000000001</v>
      </c>
      <c r="H54" s="2127">
        <v>0</v>
      </c>
      <c r="I54" s="2127">
        <v>0.26903299528638763</v>
      </c>
      <c r="J54" s="2135">
        <v>0.26903299528638763</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2.1484999999999999</v>
      </c>
      <c r="Y54" s="1742">
        <v>14.746</v>
      </c>
      <c r="Z54" s="2129">
        <v>0</v>
      </c>
      <c r="AA54" s="2129">
        <v>0.15162430913447852</v>
      </c>
      <c r="AB54" s="2150">
        <v>0.15162430913447852</v>
      </c>
    </row>
    <row r="55" spans="2:28">
      <c r="B55" s="89">
        <v>71</v>
      </c>
      <c r="C55" s="1"/>
      <c r="D55" s="1">
        <v>13.561999999999999</v>
      </c>
      <c r="E55" s="1">
        <v>3.6749999999999998</v>
      </c>
      <c r="F55" s="1">
        <v>3.758</v>
      </c>
      <c r="G55" s="1">
        <v>13.561999999999999</v>
      </c>
      <c r="H55" s="747">
        <v>0</v>
      </c>
      <c r="I55" s="747">
        <v>0.277097773189795</v>
      </c>
      <c r="J55" s="2135">
        <v>0.277097773189795</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2.1339999999999999</v>
      </c>
      <c r="Y55" s="746">
        <v>14.294</v>
      </c>
      <c r="Z55" s="2124">
        <v>0</v>
      </c>
      <c r="AA55" s="2124">
        <v>0.15551947091540863</v>
      </c>
      <c r="AB55" s="2151">
        <v>0.15551947091540863</v>
      </c>
    </row>
    <row r="56" spans="2:28">
      <c r="B56" s="2134">
        <v>72</v>
      </c>
      <c r="C56" s="2126"/>
      <c r="D56" s="2126">
        <v>13.111000000000001</v>
      </c>
      <c r="E56" s="2126">
        <v>3.669</v>
      </c>
      <c r="F56" s="2126">
        <v>3.7469999999999999</v>
      </c>
      <c r="G56" s="2126">
        <v>13.111000000000001</v>
      </c>
      <c r="H56" s="2127">
        <v>0</v>
      </c>
      <c r="I56" s="2127">
        <v>0.28579055754709781</v>
      </c>
      <c r="J56" s="2135">
        <v>0.28579055754709781</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2.1189999999999998</v>
      </c>
      <c r="Y56" s="1742">
        <v>13.830500000000001</v>
      </c>
      <c r="Z56" s="2129">
        <v>0</v>
      </c>
      <c r="AA56" s="2129">
        <v>0.15976813100722587</v>
      </c>
      <c r="AB56" s="2150">
        <v>0.15976813100722587</v>
      </c>
    </row>
    <row r="57" spans="2:28">
      <c r="B57" s="89">
        <v>73</v>
      </c>
      <c r="C57" s="1"/>
      <c r="D57" s="1">
        <v>12.65</v>
      </c>
      <c r="E57" s="1">
        <v>3.6669999999999998</v>
      </c>
      <c r="F57" s="1">
        <v>3.7389999999999999</v>
      </c>
      <c r="G57" s="1">
        <v>12.65</v>
      </c>
      <c r="H57" s="747">
        <v>0</v>
      </c>
      <c r="I57" s="747">
        <v>0.29557312252964424</v>
      </c>
      <c r="J57" s="2135">
        <v>0.29557312252964424</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2.1055000000000001</v>
      </c>
      <c r="Y57" s="746">
        <v>13.356</v>
      </c>
      <c r="Z57" s="2124">
        <v>0</v>
      </c>
      <c r="AA57" s="2124">
        <v>0.16456938020949571</v>
      </c>
      <c r="AB57" s="2151">
        <v>0.16456938020949571</v>
      </c>
    </row>
    <row r="58" spans="2:28">
      <c r="B58" s="2134">
        <v>74</v>
      </c>
      <c r="C58" s="2126"/>
      <c r="D58" s="2126">
        <v>12.18</v>
      </c>
      <c r="E58" s="2126">
        <v>3.6619999999999999</v>
      </c>
      <c r="F58" s="2126">
        <v>3.7290000000000001</v>
      </c>
      <c r="G58" s="2126">
        <v>12.18</v>
      </c>
      <c r="H58" s="2127">
        <v>0</v>
      </c>
      <c r="I58" s="2127">
        <v>0.3061576354679803</v>
      </c>
      <c r="J58" s="2135">
        <v>0.3061576354679803</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2.0910000000000002</v>
      </c>
      <c r="Y58" s="1742">
        <v>12.870999999999999</v>
      </c>
      <c r="Z58" s="2129">
        <v>0</v>
      </c>
      <c r="AA58" s="2129">
        <v>0.16977989427137402</v>
      </c>
      <c r="AB58" s="2150">
        <v>0.16977989427137402</v>
      </c>
    </row>
    <row r="59" spans="2:28">
      <c r="B59" s="89">
        <v>75</v>
      </c>
      <c r="C59" s="1"/>
      <c r="D59" s="1">
        <v>11.701000000000001</v>
      </c>
      <c r="E59" s="1">
        <v>3.6549999999999998</v>
      </c>
      <c r="F59" s="1">
        <v>3.7160000000000002</v>
      </c>
      <c r="G59" s="1">
        <v>11.701000000000001</v>
      </c>
      <c r="H59" s="747">
        <v>0</v>
      </c>
      <c r="I59" s="747">
        <v>0.31757969404324415</v>
      </c>
      <c r="J59" s="2135">
        <v>0.31757969404324415</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2.0750000000000002</v>
      </c>
      <c r="Y59" s="746">
        <v>12.376000000000001</v>
      </c>
      <c r="Z59" s="2124">
        <v>0</v>
      </c>
      <c r="AA59" s="2124">
        <v>0.17541692540642018</v>
      </c>
      <c r="AB59" s="2151">
        <v>0.17541692540642018</v>
      </c>
    </row>
    <row r="60" spans="2:28">
      <c r="B60" s="2134">
        <v>76</v>
      </c>
      <c r="C60" s="2126"/>
      <c r="D60" s="2126">
        <v>11.215</v>
      </c>
      <c r="E60" s="2126">
        <v>3.6429999999999998</v>
      </c>
      <c r="F60" s="2126">
        <v>3.698</v>
      </c>
      <c r="G60" s="2126">
        <v>11.215</v>
      </c>
      <c r="H60" s="2127">
        <v>0</v>
      </c>
      <c r="I60" s="2127">
        <v>0.32973695942933573</v>
      </c>
      <c r="J60" s="2135">
        <v>0.32973695942933573</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2.056</v>
      </c>
      <c r="Y60" s="1742">
        <v>11.873000000000001</v>
      </c>
      <c r="Z60" s="2129">
        <v>0</v>
      </c>
      <c r="AA60" s="2129">
        <v>0.18138751251332719</v>
      </c>
      <c r="AB60" s="2150">
        <v>0.18138751251332719</v>
      </c>
    </row>
    <row r="61" spans="2:28">
      <c r="B61" s="89">
        <v>77</v>
      </c>
      <c r="C61" s="1"/>
      <c r="D61" s="1">
        <v>10.724</v>
      </c>
      <c r="E61" s="1">
        <v>3.625</v>
      </c>
      <c r="F61" s="1">
        <v>3.6749999999999998</v>
      </c>
      <c r="G61" s="1">
        <v>10.724</v>
      </c>
      <c r="H61" s="747">
        <v>0</v>
      </c>
      <c r="I61" s="747">
        <v>0.34268929503916445</v>
      </c>
      <c r="J61" s="2135">
        <v>0.34268929503916445</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2.0339999999999998</v>
      </c>
      <c r="Y61" s="746">
        <v>11.3635</v>
      </c>
      <c r="Z61" s="2124">
        <v>0</v>
      </c>
      <c r="AA61" s="2124">
        <v>0.18771555479276392</v>
      </c>
      <c r="AB61" s="2151">
        <v>0.18771555479276392</v>
      </c>
    </row>
    <row r="62" spans="2:28">
      <c r="B62" s="2134">
        <v>78</v>
      </c>
      <c r="C62" s="2126"/>
      <c r="D62" s="2126">
        <v>10.228999999999999</v>
      </c>
      <c r="E62" s="2126">
        <v>3.601</v>
      </c>
      <c r="F62" s="2126">
        <v>3.645</v>
      </c>
      <c r="G62" s="2126">
        <v>10.228999999999999</v>
      </c>
      <c r="H62" s="2127">
        <v>0</v>
      </c>
      <c r="I62" s="2127">
        <v>0.35633981816404342</v>
      </c>
      <c r="J62" s="2135">
        <v>0.35633981816404342</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2.008</v>
      </c>
      <c r="Y62" s="1742">
        <v>10.849499999999999</v>
      </c>
      <c r="Z62" s="2129">
        <v>0</v>
      </c>
      <c r="AA62" s="2129">
        <v>0.19434253331916207</v>
      </c>
      <c r="AB62" s="2150">
        <v>0.19434253331916207</v>
      </c>
    </row>
    <row r="63" spans="2:28">
      <c r="B63" s="89">
        <v>79</v>
      </c>
      <c r="C63" s="1"/>
      <c r="D63" s="1">
        <v>9.7330000000000005</v>
      </c>
      <c r="E63" s="1">
        <v>3.57</v>
      </c>
      <c r="F63" s="1">
        <v>3.6070000000000002</v>
      </c>
      <c r="G63" s="1">
        <v>9.7330000000000005</v>
      </c>
      <c r="H63" s="747">
        <v>0</v>
      </c>
      <c r="I63" s="747">
        <v>0.37059488338641733</v>
      </c>
      <c r="J63" s="2135">
        <v>0.37059488338641733</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1.9780000000000002</v>
      </c>
      <c r="Y63" s="746">
        <v>10.3325</v>
      </c>
      <c r="Z63" s="2124">
        <v>0</v>
      </c>
      <c r="AA63" s="2124">
        <v>0.20125975417034003</v>
      </c>
      <c r="AB63" s="2151">
        <v>0.20125975417034003</v>
      </c>
    </row>
    <row r="64" spans="2:28">
      <c r="B64" s="2134">
        <v>80</v>
      </c>
      <c r="C64" s="2126"/>
      <c r="D64" s="2126">
        <v>9.2379999999999995</v>
      </c>
      <c r="E64" s="2126">
        <v>3.5310000000000001</v>
      </c>
      <c r="F64" s="2126">
        <v>3.5619999999999998</v>
      </c>
      <c r="G64" s="2126">
        <v>9.2379999999999995</v>
      </c>
      <c r="H64" s="2127">
        <v>0</v>
      </c>
      <c r="I64" s="2127">
        <v>0.38558129465252217</v>
      </c>
      <c r="J64" s="2135">
        <v>0.38558129465252217</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1.9444999999999999</v>
      </c>
      <c r="Y64" s="1742">
        <v>9.8149999999999995</v>
      </c>
      <c r="Z64" s="2129">
        <v>0</v>
      </c>
      <c r="AA64" s="2129">
        <v>0.20852390367730034</v>
      </c>
      <c r="AB64" s="2150">
        <v>0.20852390367730034</v>
      </c>
    </row>
    <row r="65" spans="2:28">
      <c r="B65" s="89">
        <v>81</v>
      </c>
      <c r="C65" s="1"/>
      <c r="D65" s="1">
        <v>8.7469999999999999</v>
      </c>
      <c r="E65" s="1">
        <v>3.4820000000000002</v>
      </c>
      <c r="F65" s="1">
        <v>3.5070000000000001</v>
      </c>
      <c r="G65" s="1">
        <v>8.7469999999999999</v>
      </c>
      <c r="H65" s="747">
        <v>0</v>
      </c>
      <c r="I65" s="747">
        <v>0.40093746427346522</v>
      </c>
      <c r="J65" s="2135">
        <v>0.40093746427346522</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1.9055</v>
      </c>
      <c r="Y65" s="746">
        <v>9.3000000000000007</v>
      </c>
      <c r="Z65" s="2124">
        <v>0</v>
      </c>
      <c r="AA65" s="2124">
        <v>0.21589550570823368</v>
      </c>
      <c r="AB65" s="2151">
        <v>0.21589550570823368</v>
      </c>
    </row>
    <row r="66" spans="2:28">
      <c r="B66" s="2134">
        <v>82</v>
      </c>
      <c r="C66" s="2126"/>
      <c r="D66" s="2126">
        <v>8.2629999999999999</v>
      </c>
      <c r="E66" s="2126">
        <v>3.4089999999999998</v>
      </c>
      <c r="F66" s="2126">
        <v>3.4260000000000002</v>
      </c>
      <c r="G66" s="2126">
        <v>8.2629999999999999</v>
      </c>
      <c r="H66" s="2127">
        <v>0</v>
      </c>
      <c r="I66" s="2127">
        <v>0.41461938763161083</v>
      </c>
      <c r="J66" s="2135">
        <v>0.41461938763161083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1.8535000000000001</v>
      </c>
      <c r="Y66" s="1742">
        <v>8.7904999999999998</v>
      </c>
      <c r="Z66" s="2129">
        <v>0</v>
      </c>
      <c r="AA66" s="2129">
        <v>0.22238803680786379</v>
      </c>
      <c r="AB66" s="2150">
        <v>0.22238803680786379</v>
      </c>
    </row>
    <row r="67" spans="2:28">
      <c r="B67" s="89">
        <v>83</v>
      </c>
      <c r="C67" s="1"/>
      <c r="D67" s="1">
        <v>7.7880000000000003</v>
      </c>
      <c r="E67" s="1">
        <v>3.3220000000000001</v>
      </c>
      <c r="F67" s="1">
        <v>3.3330000000000002</v>
      </c>
      <c r="G67" s="1">
        <v>7.7880000000000003</v>
      </c>
      <c r="H67" s="747">
        <v>0</v>
      </c>
      <c r="I67" s="747">
        <v>0.42796610169491528</v>
      </c>
      <c r="J67" s="2135">
        <v>0.42796610169491528</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1.7955000000000001</v>
      </c>
      <c r="Y67" s="746">
        <v>8.2884999999999991</v>
      </c>
      <c r="Z67" s="2124">
        <v>0</v>
      </c>
      <c r="AA67" s="2124">
        <v>0.22866048855368132</v>
      </c>
      <c r="AB67" s="2151">
        <v>0.22866048855368132</v>
      </c>
    </row>
    <row r="68" spans="2:28">
      <c r="B68" s="2134">
        <v>84</v>
      </c>
      <c r="C68" s="2126"/>
      <c r="D68" s="2126">
        <v>7.327</v>
      </c>
      <c r="E68" s="2126">
        <v>3.2229999999999999</v>
      </c>
      <c r="F68" s="2126">
        <v>3.2280000000000002</v>
      </c>
      <c r="G68" s="2126">
        <v>7.327</v>
      </c>
      <c r="H68" s="2127">
        <v>0</v>
      </c>
      <c r="I68" s="2127">
        <v>0.44056230380783407</v>
      </c>
      <c r="J68" s="2135">
        <v>0.44056230380783407</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1.7315</v>
      </c>
      <c r="Y68" s="1742">
        <v>7.7990000000000004</v>
      </c>
      <c r="Z68" s="2129">
        <v>0</v>
      </c>
      <c r="AA68" s="2129">
        <v>0.23448741475000578</v>
      </c>
      <c r="AB68" s="2150">
        <v>0.23448741475000578</v>
      </c>
    </row>
    <row r="69" spans="2:28">
      <c r="B69" s="89">
        <v>85</v>
      </c>
      <c r="C69" s="1"/>
      <c r="D69" s="1">
        <v>6.883</v>
      </c>
      <c r="E69" s="1">
        <v>3.1139999999999999</v>
      </c>
      <c r="F69" s="1">
        <v>3.1139999999999999</v>
      </c>
      <c r="G69" s="1">
        <v>6.883</v>
      </c>
      <c r="H69" s="747">
        <v>0</v>
      </c>
      <c r="I69" s="747">
        <v>0.45241900334156615</v>
      </c>
      <c r="J69" s="2135">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2.992</v>
      </c>
      <c r="G70" s="2126">
        <v>6.4619999999999997</v>
      </c>
      <c r="H70" s="2127">
        <v>0</v>
      </c>
      <c r="I70" s="2127">
        <v>0.46301454658000618</v>
      </c>
      <c r="J70" s="2135">
        <v>0.46301454658000618</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1.589</v>
      </c>
      <c r="Y70" s="1742">
        <v>6.8734999999999999</v>
      </c>
      <c r="Z70" s="2129">
        <v>0</v>
      </c>
      <c r="AA70" s="2129">
        <v>0.24427323073681159</v>
      </c>
      <c r="AB70" s="2150">
        <v>0.24427323073681159</v>
      </c>
    </row>
    <row r="71" spans="2:28">
      <c r="B71" s="89">
        <v>87</v>
      </c>
      <c r="C71" s="1"/>
      <c r="D71" s="1">
        <v>6.069</v>
      </c>
      <c r="E71" s="1">
        <v>2.8730000000000002</v>
      </c>
      <c r="F71" s="1">
        <v>2.8650000000000002</v>
      </c>
      <c r="G71" s="1">
        <v>6.069</v>
      </c>
      <c r="H71" s="747">
        <v>0</v>
      </c>
      <c r="I71" s="747">
        <v>0.47207118141374199</v>
      </c>
      <c r="J71" s="2135">
        <v>0.47207118141374199</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1.5135000000000001</v>
      </c>
      <c r="Y71" s="746">
        <v>6.4474999999999998</v>
      </c>
      <c r="Z71" s="2124">
        <v>0</v>
      </c>
      <c r="AA71" s="2124">
        <v>0.24790198390933219</v>
      </c>
      <c r="AB71" s="2151">
        <v>0.24790198390933219</v>
      </c>
    </row>
    <row r="72" spans="2:28">
      <c r="B72" s="2134">
        <v>88</v>
      </c>
      <c r="C72" s="2126"/>
      <c r="D72" s="2126">
        <v>5.7119999999999997</v>
      </c>
      <c r="E72" s="2126">
        <v>2.7149999999999999</v>
      </c>
      <c r="F72" s="2126">
        <v>2.7050000000000001</v>
      </c>
      <c r="G72" s="2126">
        <v>5.7119999999999997</v>
      </c>
      <c r="H72" s="2127">
        <v>0</v>
      </c>
      <c r="I72" s="2127">
        <v>0.47356442577030816</v>
      </c>
      <c r="J72" s="2135">
        <v>0.47356442577030816</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1.4225000000000001</v>
      </c>
      <c r="Y72" s="1742">
        <v>6.0549999999999997</v>
      </c>
      <c r="Z72" s="2129">
        <v>0</v>
      </c>
      <c r="AA72" s="2129">
        <v>0.24772313192235321</v>
      </c>
      <c r="AB72" s="2150">
        <v>0.24772313192235321</v>
      </c>
    </row>
    <row r="73" spans="2:28">
      <c r="B73" s="89">
        <v>89</v>
      </c>
      <c r="C73" s="1"/>
      <c r="D73" s="1">
        <v>5.3979999999999997</v>
      </c>
      <c r="E73" s="1">
        <v>2.5489999999999999</v>
      </c>
      <c r="F73" s="1">
        <v>2.5379999999999998</v>
      </c>
      <c r="G73" s="1">
        <v>5.3979999999999997</v>
      </c>
      <c r="H73" s="747">
        <v>0</v>
      </c>
      <c r="I73" s="747">
        <v>0.47017413856984069</v>
      </c>
      <c r="J73" s="2135">
        <v>0.47017413856984069</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1.3274999999999999</v>
      </c>
      <c r="Y73" s="746">
        <v>5.7024999999999997</v>
      </c>
      <c r="Z73" s="2124">
        <v>0</v>
      </c>
      <c r="AA73" s="2124">
        <v>0.24482570754028909</v>
      </c>
      <c r="AB73" s="2151">
        <v>0.24482570754028909</v>
      </c>
    </row>
    <row r="74" spans="2:28">
      <c r="B74" s="2134">
        <v>90</v>
      </c>
      <c r="C74" s="2126"/>
      <c r="D74" s="2126">
        <v>5.1150000000000002</v>
      </c>
      <c r="E74" s="2126">
        <v>2.387</v>
      </c>
      <c r="F74" s="2126">
        <v>2.3759999999999999</v>
      </c>
      <c r="G74" s="2126">
        <v>5.1150000000000002</v>
      </c>
      <c r="H74" s="2127">
        <v>0</v>
      </c>
      <c r="I74" s="2127">
        <v>0.46451612903225803</v>
      </c>
      <c r="J74" s="2135">
        <v>0.46451612903225803</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1.2364999999999999</v>
      </c>
      <c r="Y74" s="1742">
        <v>5.3849999999999998</v>
      </c>
      <c r="Z74" s="2129">
        <v>0</v>
      </c>
      <c r="AA74" s="2129">
        <v>0.2408345455064031</v>
      </c>
      <c r="AB74" s="2150">
        <v>0.2408345455064031</v>
      </c>
    </row>
    <row r="75" spans="2:28">
      <c r="B75" s="89">
        <v>91</v>
      </c>
      <c r="C75" s="1"/>
      <c r="D75" s="1">
        <v>4.8499999999999996</v>
      </c>
      <c r="E75" s="1">
        <v>2.2040000000000002</v>
      </c>
      <c r="F75" s="1">
        <v>2.1920000000000002</v>
      </c>
      <c r="G75" s="1">
        <v>4.8499999999999996</v>
      </c>
      <c r="H75" s="747">
        <v>0</v>
      </c>
      <c r="I75" s="747">
        <v>0.45195876288659803</v>
      </c>
      <c r="J75" s="2135">
        <v>0.45195876288659803</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1.1360000000000001</v>
      </c>
      <c r="Y75" s="746">
        <v>5.0909999999999993</v>
      </c>
      <c r="Z75" s="2124">
        <v>0</v>
      </c>
      <c r="AA75" s="2124">
        <v>0.23348125691216623</v>
      </c>
      <c r="AB75" s="2151">
        <v>0.23348125691216623</v>
      </c>
    </row>
    <row r="76" spans="2:28">
      <c r="B76" s="2134">
        <v>92</v>
      </c>
      <c r="C76" s="2126"/>
      <c r="D76" s="2126">
        <v>4.6040000000000001</v>
      </c>
      <c r="E76" s="2126">
        <v>2.0350000000000001</v>
      </c>
      <c r="F76" s="2126">
        <v>2.024</v>
      </c>
      <c r="G76" s="2126">
        <v>4.6040000000000001</v>
      </c>
      <c r="H76" s="2127">
        <v>0</v>
      </c>
      <c r="I76" s="2127">
        <v>0.43961772371850566</v>
      </c>
      <c r="J76" s="2135">
        <v>0.43961772371850566</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1.0445</v>
      </c>
      <c r="Y76" s="1742">
        <v>4.8164999999999996</v>
      </c>
      <c r="Z76" s="2129">
        <v>0</v>
      </c>
      <c r="AA76" s="2129">
        <v>0.22627137925833812</v>
      </c>
      <c r="AB76" s="2150">
        <v>0.22627137925833812</v>
      </c>
    </row>
    <row r="77" spans="2:28">
      <c r="B77" s="89">
        <v>93</v>
      </c>
      <c r="C77" s="1"/>
      <c r="D77" s="1">
        <v>4.3760000000000003</v>
      </c>
      <c r="E77" s="1">
        <v>1.85</v>
      </c>
      <c r="F77" s="1">
        <v>1.839</v>
      </c>
      <c r="G77" s="1">
        <v>4.3760000000000003</v>
      </c>
      <c r="H77" s="747">
        <v>0</v>
      </c>
      <c r="I77" s="747">
        <v>0.42024680073126136</v>
      </c>
      <c r="J77" s="2135">
        <v>0.42024680073126136</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0.94599999999999995</v>
      </c>
      <c r="Y77" s="746">
        <v>4.5615000000000006</v>
      </c>
      <c r="Z77" s="2124">
        <v>0</v>
      </c>
      <c r="AA77" s="2124">
        <v>0.21570587350656178</v>
      </c>
      <c r="AB77" s="2151">
        <v>0.21570587350656178</v>
      </c>
    </row>
    <row r="78" spans="2:28">
      <c r="B78" s="2134">
        <v>94</v>
      </c>
      <c r="C78" s="2126"/>
      <c r="D78" s="2126">
        <v>4.1660000000000004</v>
      </c>
      <c r="E78" s="2126">
        <v>1.6830000000000001</v>
      </c>
      <c r="F78" s="2126">
        <v>1.6739999999999999</v>
      </c>
      <c r="G78" s="2126">
        <v>4.1660000000000004</v>
      </c>
      <c r="H78" s="2127">
        <v>0</v>
      </c>
      <c r="I78" s="2127">
        <v>0.40182429188670182</v>
      </c>
      <c r="J78" s="2135">
        <v>0.40182429188670182</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0.85799999999999998</v>
      </c>
      <c r="Y78" s="1742">
        <v>4.3254999999999999</v>
      </c>
      <c r="Z78" s="2129">
        <v>0</v>
      </c>
      <c r="AA78" s="2129">
        <v>0.20559442019084256</v>
      </c>
      <c r="AB78" s="2150">
        <v>0.20559442019084256</v>
      </c>
    </row>
    <row r="79" spans="2:28">
      <c r="B79" s="89">
        <v>95</v>
      </c>
      <c r="C79" s="1"/>
      <c r="D79" s="1">
        <v>3.9740000000000002</v>
      </c>
      <c r="E79" s="1">
        <v>1.5349999999999999</v>
      </c>
      <c r="F79" s="1">
        <v>1.528</v>
      </c>
      <c r="G79" s="1">
        <v>3.9740000000000002</v>
      </c>
      <c r="H79" s="747">
        <v>0</v>
      </c>
      <c r="I79" s="747">
        <v>0.38449924509310518</v>
      </c>
      <c r="J79" s="2135">
        <v>0.38449924509310518</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0.78100000000000003</v>
      </c>
      <c r="Y79" s="746">
        <v>4.1095000000000006</v>
      </c>
      <c r="Z79" s="2124">
        <v>0</v>
      </c>
      <c r="AA79" s="2124">
        <v>0.1962543339717587</v>
      </c>
      <c r="AB79" s="2151">
        <v>0.1962543339717587</v>
      </c>
    </row>
    <row r="80" spans="2:28">
      <c r="B80" s="2134">
        <v>96</v>
      </c>
      <c r="C80" s="2126"/>
      <c r="D80" s="2126">
        <v>3.798</v>
      </c>
      <c r="E80" s="2126">
        <v>1.371</v>
      </c>
      <c r="F80" s="2126">
        <v>1.3640000000000001</v>
      </c>
      <c r="G80" s="2126">
        <v>3.798</v>
      </c>
      <c r="H80" s="2127">
        <v>0</v>
      </c>
      <c r="I80" s="2127">
        <v>0.35913638757240657</v>
      </c>
      <c r="J80" s="2135">
        <v>0.35913638757240657</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0.69550000000000001</v>
      </c>
      <c r="Y80" s="1742">
        <v>3.911</v>
      </c>
      <c r="Z80" s="2129">
        <v>0</v>
      </c>
      <c r="AA80" s="2129">
        <v>0.18292306456155119</v>
      </c>
      <c r="AB80" s="2150">
        <v>0.18292306456155119</v>
      </c>
    </row>
    <row r="81" spans="2:28">
      <c r="B81" s="89">
        <v>97</v>
      </c>
      <c r="C81" s="1"/>
      <c r="D81" s="1">
        <v>3.6389999999999998</v>
      </c>
      <c r="E81" s="1">
        <v>1.216</v>
      </c>
      <c r="F81" s="1">
        <v>1.2110000000000001</v>
      </c>
      <c r="G81" s="1">
        <v>3.6389999999999998</v>
      </c>
      <c r="H81" s="747">
        <v>0</v>
      </c>
      <c r="I81" s="747">
        <v>0.33278373179444909</v>
      </c>
      <c r="J81" s="2135">
        <v>0.33278373179444909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0.61599999999999999</v>
      </c>
      <c r="Y81" s="746">
        <v>3.7314999999999996</v>
      </c>
      <c r="Z81" s="2124">
        <v>0</v>
      </c>
      <c r="AA81" s="2124">
        <v>0.16913768179680613</v>
      </c>
      <c r="AB81" s="2151">
        <v>0.16913768179680613</v>
      </c>
    </row>
    <row r="82" spans="2:28">
      <c r="B82" s="2134">
        <v>98</v>
      </c>
      <c r="C82" s="2126"/>
      <c r="D82" s="2126">
        <v>3.4950000000000001</v>
      </c>
      <c r="E82" s="2126">
        <v>1.0409999999999999</v>
      </c>
      <c r="F82" s="2126">
        <v>1.038</v>
      </c>
      <c r="G82" s="2126">
        <v>3.4950000000000001</v>
      </c>
      <c r="H82" s="2127">
        <v>0</v>
      </c>
      <c r="I82" s="2127">
        <v>0.29699570815450643</v>
      </c>
      <c r="J82" s="2135">
        <v>0.29699570815450643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0.52749999999999997</v>
      </c>
      <c r="Y82" s="1742">
        <v>3.569</v>
      </c>
      <c r="Z82" s="2129">
        <v>0</v>
      </c>
      <c r="AA82" s="2129">
        <v>0.15083109591090679</v>
      </c>
      <c r="AB82" s="2150">
        <v>0.15083109591090679</v>
      </c>
    </row>
    <row r="83" spans="2:28">
      <c r="B83" s="89">
        <v>99</v>
      </c>
      <c r="C83" s="1"/>
      <c r="D83" s="1">
        <v>3.3639999999999999</v>
      </c>
      <c r="E83" s="1">
        <v>0.84799999999999998</v>
      </c>
      <c r="F83" s="1">
        <v>0.84499999999999997</v>
      </c>
      <c r="G83" s="1">
        <v>3.3639999999999999</v>
      </c>
      <c r="H83" s="747">
        <v>0</v>
      </c>
      <c r="I83" s="747">
        <v>0.25118906064209273</v>
      </c>
      <c r="J83" s="2135">
        <v>0.25118906064209273</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0.42899999999999999</v>
      </c>
      <c r="Y83" s="746">
        <v>3.4219999999999997</v>
      </c>
      <c r="Z83" s="2124">
        <v>0</v>
      </c>
      <c r="AA83" s="2124">
        <v>0.12746234641300039</v>
      </c>
      <c r="AB83" s="2151">
        <v>0.12746234641300039</v>
      </c>
    </row>
    <row r="84" spans="2:28" ht="15" thickBot="1">
      <c r="B84" s="2137">
        <v>100</v>
      </c>
      <c r="C84" s="2138"/>
      <c r="D84" s="2138">
        <v>3.2450000000000001</v>
      </c>
      <c r="E84" s="2138">
        <v>0.67200000000000004</v>
      </c>
      <c r="F84" s="2138">
        <v>0.67</v>
      </c>
      <c r="G84" s="2138">
        <v>3.2450000000000001</v>
      </c>
      <c r="H84" s="2139">
        <v>0</v>
      </c>
      <c r="I84" s="2139">
        <v>0.20647149460708783</v>
      </c>
      <c r="J84" s="2135">
        <v>0.20647149460708783</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v>
      </c>
      <c r="Y84" s="2152">
        <v>3.29</v>
      </c>
      <c r="Z84" s="2153">
        <v>0</v>
      </c>
      <c r="AA84" s="2153">
        <v>0.10473499767835651</v>
      </c>
      <c r="AB84" s="2154">
        <v>0.10473499767835651</v>
      </c>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16" activePane="bottomLeft"/>
      <selection activeCell="B44" sqref="B44:AB44"/>
      <selection pane="bottomLeft" activeCell="B4" sqref="B4"/>
    </sheetView>
  </sheetViews>
  <sheetFormatPr baseColWidth="10" defaultColWidth="11.125" defaultRowHeight="14.25"/>
  <cols>
    <col min="1" max="1" width="21" hidden="1" customWidth="1"/>
    <col min="2" max="2" width="6.125" customWidth="1"/>
    <col min="3" max="3" width="10.125" customWidth="1"/>
    <col min="4" max="4" width="11" customWidth="1"/>
    <col min="5" max="6" width="9.125" customWidth="1"/>
    <col min="7" max="7" width="11" customWidth="1"/>
    <col min="8" max="9" width="9.625" customWidth="1"/>
    <col min="10" max="10" width="9.625" style="128" customWidth="1"/>
    <col min="11" max="11" width="6.125" customWidth="1"/>
    <col min="12" max="16" width="11" customWidth="1"/>
    <col min="17" max="18" width="9.625" customWidth="1"/>
    <col min="19" max="19" width="9.625" style="128" customWidth="1"/>
    <col min="20" max="20" width="6.125" customWidth="1"/>
    <col min="21" max="24" width="11.125" customWidth="1"/>
    <col min="25" max="25" width="11" customWidth="1"/>
    <col min="26" max="27" width="9.625" customWidth="1"/>
    <col min="28" max="28" width="9.625" style="128" customWidth="1"/>
    <col min="29" max="29" width="11.625" bestFit="1" customWidth="1"/>
  </cols>
  <sheetData>
    <row r="2" spans="1:28" s="127" customFormat="1" ht="72" customHeight="1">
      <c r="A2" s="127" t="s">
        <v>178</v>
      </c>
      <c r="B2" s="3960" t="s">
        <v>7</v>
      </c>
      <c r="C2" s="2131" t="s">
        <v>0</v>
      </c>
      <c r="D2" s="2131" t="s">
        <v>1</v>
      </c>
      <c r="E2" s="2131" t="s">
        <v>2</v>
      </c>
      <c r="F2" s="2131" t="s">
        <v>1706</v>
      </c>
      <c r="G2" s="2131" t="s">
        <v>1963</v>
      </c>
      <c r="H2" s="3956" t="s">
        <v>5</v>
      </c>
      <c r="I2" s="3956"/>
      <c r="J2" s="3957"/>
      <c r="K2" s="2141"/>
      <c r="L2" s="2142" t="s">
        <v>0</v>
      </c>
      <c r="M2" s="2142" t="s">
        <v>1</v>
      </c>
      <c r="N2" s="2142" t="s">
        <v>2</v>
      </c>
      <c r="O2" s="2142" t="s">
        <v>1706</v>
      </c>
      <c r="P2" s="2142" t="str">
        <f>+G2</f>
        <v>Anwartschafts-barwert
Altersrente</v>
      </c>
      <c r="Q2" s="3958" t="s">
        <v>6</v>
      </c>
      <c r="R2" s="3958"/>
      <c r="S2" s="3959"/>
      <c r="T2" s="2146"/>
      <c r="U2" s="2147" t="s">
        <v>0</v>
      </c>
      <c r="V2" s="2147" t="s">
        <v>1</v>
      </c>
      <c r="W2" s="2147" t="s">
        <v>2</v>
      </c>
      <c r="X2" s="2147" t="s">
        <v>1706</v>
      </c>
      <c r="Y2" s="2147" t="str">
        <f>+P2</f>
        <v>Anwartschafts-barwert
Altersrente</v>
      </c>
      <c r="Z2" s="3962" t="s">
        <v>6</v>
      </c>
      <c r="AA2" s="3962"/>
      <c r="AB2" s="3963"/>
    </row>
    <row r="3" spans="1:28" s="2" customFormat="1" ht="12.75">
      <c r="A3" s="60">
        <v>43112</v>
      </c>
      <c r="B3" s="3961"/>
      <c r="C3" s="2125" t="s">
        <v>179</v>
      </c>
      <c r="D3" s="2125" t="s">
        <v>180</v>
      </c>
      <c r="E3" s="2125" t="s">
        <v>181</v>
      </c>
      <c r="F3" s="2125"/>
      <c r="G3" s="2125"/>
      <c r="H3" s="1133" t="s">
        <v>8</v>
      </c>
      <c r="I3" s="1133" t="s">
        <v>9</v>
      </c>
      <c r="J3" s="2133" t="s">
        <v>10</v>
      </c>
      <c r="K3" s="2143" t="s">
        <v>7</v>
      </c>
      <c r="L3" s="1134" t="s">
        <v>182</v>
      </c>
      <c r="M3" s="1134" t="s">
        <v>183</v>
      </c>
      <c r="N3" s="1134" t="s">
        <v>26</v>
      </c>
      <c r="O3" s="1134"/>
      <c r="P3" s="1134"/>
      <c r="Q3" s="1134" t="s">
        <v>8</v>
      </c>
      <c r="R3" s="1134" t="s">
        <v>9</v>
      </c>
      <c r="S3" s="2144" t="s">
        <v>10</v>
      </c>
      <c r="T3" s="2163" t="s">
        <v>7</v>
      </c>
      <c r="U3" s="2164" t="s">
        <v>182</v>
      </c>
      <c r="V3" s="2164" t="s">
        <v>183</v>
      </c>
      <c r="W3" s="2164" t="s">
        <v>26</v>
      </c>
      <c r="X3" s="2164"/>
      <c r="Y3" s="2164"/>
      <c r="Z3" s="2164" t="s">
        <v>8</v>
      </c>
      <c r="AA3" s="2164" t="s">
        <v>9</v>
      </c>
      <c r="AB3" s="2165" t="s">
        <v>10</v>
      </c>
    </row>
    <row r="4" spans="1:28">
      <c r="B4" s="2134">
        <v>20</v>
      </c>
      <c r="C4" s="2126">
        <v>0.22700000000000001</v>
      </c>
      <c r="D4" s="2126">
        <v>5.6020000000000003</v>
      </c>
      <c r="E4" s="2126">
        <v>0.53</v>
      </c>
      <c r="F4" s="2126">
        <v>0.53</v>
      </c>
      <c r="G4" s="2126">
        <v>5.375</v>
      </c>
      <c r="H4" s="2127">
        <v>4.2232558139534887E-2</v>
      </c>
      <c r="I4" s="2127">
        <v>9.8604651162790699E-2</v>
      </c>
      <c r="J4" s="2135">
        <v>0.14083720930232557</v>
      </c>
      <c r="K4" s="2134">
        <v>20</v>
      </c>
      <c r="L4" s="2126">
        <v>0.24</v>
      </c>
      <c r="M4" s="2126">
        <v>6.375</v>
      </c>
      <c r="N4" s="2128">
        <v>0.13100000000000001</v>
      </c>
      <c r="O4" s="2126">
        <v>0.13100000000000001</v>
      </c>
      <c r="P4" s="2126">
        <v>6.1349999999999998</v>
      </c>
      <c r="Q4" s="2127">
        <v>3.9119804400977995E-2</v>
      </c>
      <c r="R4" s="2127">
        <v>2.1352893235533823E-2</v>
      </c>
      <c r="S4" s="2135">
        <v>6.0472697636511821E-2</v>
      </c>
      <c r="T4" s="2134">
        <v>20</v>
      </c>
      <c r="U4" s="1742">
        <v>0.23349999999999999</v>
      </c>
      <c r="V4" s="1742">
        <v>5.9885000000000002</v>
      </c>
      <c r="W4" s="1742">
        <v>0.33050000000000002</v>
      </c>
      <c r="X4" s="1742">
        <v>0.33050000000000002</v>
      </c>
      <c r="Y4" s="1742">
        <v>5.7549999999999999</v>
      </c>
      <c r="Z4" s="2129">
        <v>4.0676181270256441E-2</v>
      </c>
      <c r="AA4" s="2129">
        <v>5.9978772199162263E-2</v>
      </c>
      <c r="AB4" s="2150">
        <v>0.10065495346941869</v>
      </c>
    </row>
    <row r="5" spans="1:28">
      <c r="B5" s="89">
        <v>21</v>
      </c>
      <c r="C5" s="1">
        <v>0.26</v>
      </c>
      <c r="D5" s="1">
        <v>5.7729999999999997</v>
      </c>
      <c r="E5" s="1">
        <v>0.61599999999999999</v>
      </c>
      <c r="F5" s="1">
        <v>0.61599999999999999</v>
      </c>
      <c r="G5" s="1">
        <v>5.5129999999999999</v>
      </c>
      <c r="H5" s="747">
        <v>4.716125521494649E-2</v>
      </c>
      <c r="I5" s="747">
        <v>0.11173589697079631</v>
      </c>
      <c r="J5" s="2135">
        <v>0.1588971521857428</v>
      </c>
      <c r="K5" s="89">
        <v>21</v>
      </c>
      <c r="L5" s="1">
        <v>0.28799999999999998</v>
      </c>
      <c r="M5" s="1">
        <v>6.5659999999999998</v>
      </c>
      <c r="N5" s="1462">
        <v>0.158</v>
      </c>
      <c r="O5" s="1">
        <v>0.158</v>
      </c>
      <c r="P5" s="1">
        <v>6.2779999999999996</v>
      </c>
      <c r="Q5" s="747">
        <v>4.5874482319209937E-2</v>
      </c>
      <c r="R5" s="747">
        <v>2.5167250716788787E-2</v>
      </c>
      <c r="S5" s="2136">
        <v>7.1041733035998728E-2</v>
      </c>
      <c r="T5" s="89">
        <v>21</v>
      </c>
      <c r="U5" s="746">
        <v>0.27400000000000002</v>
      </c>
      <c r="V5" s="746">
        <v>6.1694999999999993</v>
      </c>
      <c r="W5" s="746">
        <v>0.38700000000000001</v>
      </c>
      <c r="X5" s="746">
        <v>0.38700000000000001</v>
      </c>
      <c r="Y5" s="746">
        <v>5.8955000000000002</v>
      </c>
      <c r="Z5" s="2124">
        <v>4.651786876707821E-2</v>
      </c>
      <c r="AA5" s="2124">
        <v>6.8451573843792551E-2</v>
      </c>
      <c r="AB5" s="2151">
        <v>0.11496944261087076</v>
      </c>
    </row>
    <row r="6" spans="1:28">
      <c r="B6" s="2134">
        <v>22</v>
      </c>
      <c r="C6" s="2126">
        <v>0.29599999999999999</v>
      </c>
      <c r="D6" s="2126">
        <v>5.9480000000000004</v>
      </c>
      <c r="E6" s="2126">
        <v>0.70799999999999996</v>
      </c>
      <c r="F6" s="2126">
        <v>0.70799999999999996</v>
      </c>
      <c r="G6" s="2126">
        <v>5.6520000000000001</v>
      </c>
      <c r="H6" s="2127">
        <v>5.2370842179759375E-2</v>
      </c>
      <c r="I6" s="2127">
        <v>0.12526539278131635</v>
      </c>
      <c r="J6" s="2135">
        <v>0.17763623496107572</v>
      </c>
      <c r="K6" s="2134">
        <v>22</v>
      </c>
      <c r="L6" s="2126">
        <v>0.33200000000000002</v>
      </c>
      <c r="M6" s="2126">
        <v>6.7619999999999996</v>
      </c>
      <c r="N6" s="2128">
        <v>0.184</v>
      </c>
      <c r="O6" s="2126">
        <v>0.184</v>
      </c>
      <c r="P6" s="2126">
        <v>6.43</v>
      </c>
      <c r="Q6" s="2127">
        <v>5.1632970451010889E-2</v>
      </c>
      <c r="R6" s="2127">
        <v>2.8615863141524107E-2</v>
      </c>
      <c r="S6" s="2135">
        <v>8.0248833592534999E-2</v>
      </c>
      <c r="T6" s="2134">
        <v>22</v>
      </c>
      <c r="U6" s="1742">
        <v>0.314</v>
      </c>
      <c r="V6" s="1742">
        <v>6.3550000000000004</v>
      </c>
      <c r="W6" s="1742">
        <v>0.44599999999999995</v>
      </c>
      <c r="X6" s="1742">
        <v>0.44599999999999995</v>
      </c>
      <c r="Y6" s="1742">
        <v>6.0410000000000004</v>
      </c>
      <c r="Z6" s="2129">
        <v>5.2001906315385135E-2</v>
      </c>
      <c r="AA6" s="2129">
        <v>7.6940627961420233E-2</v>
      </c>
      <c r="AB6" s="2150">
        <v>0.12894253427680535</v>
      </c>
    </row>
    <row r="7" spans="1:28">
      <c r="B7" s="89">
        <v>23</v>
      </c>
      <c r="C7" s="1">
        <v>0.33100000000000002</v>
      </c>
      <c r="D7" s="1">
        <v>6.1269999999999998</v>
      </c>
      <c r="E7" s="1">
        <v>0.80300000000000005</v>
      </c>
      <c r="F7" s="1">
        <v>0.80300000000000005</v>
      </c>
      <c r="G7" s="1">
        <v>5.7959999999999994</v>
      </c>
      <c r="H7" s="747">
        <v>5.7108350586611463E-2</v>
      </c>
      <c r="I7" s="747">
        <v>0.13854382332643206</v>
      </c>
      <c r="J7" s="2135">
        <v>0.19565217391304351</v>
      </c>
      <c r="K7" s="89">
        <v>23</v>
      </c>
      <c r="L7" s="1">
        <v>0.36899999999999999</v>
      </c>
      <c r="M7" s="1">
        <v>6.9630000000000001</v>
      </c>
      <c r="N7" s="1462">
        <v>0.20599999999999999</v>
      </c>
      <c r="O7" s="1">
        <v>0.20599999999999999</v>
      </c>
      <c r="P7" s="1">
        <v>6.5940000000000003</v>
      </c>
      <c r="Q7" s="747">
        <v>5.5959963603275702E-2</v>
      </c>
      <c r="R7" s="747">
        <v>3.1240521686381556E-2</v>
      </c>
      <c r="S7" s="2136">
        <v>8.7200485289657265E-2</v>
      </c>
      <c r="T7" s="89">
        <v>23</v>
      </c>
      <c r="U7" s="746">
        <v>0.35</v>
      </c>
      <c r="V7" s="746">
        <v>6.5449999999999999</v>
      </c>
      <c r="W7" s="746">
        <v>0.50450000000000006</v>
      </c>
      <c r="X7" s="746">
        <v>0.50450000000000006</v>
      </c>
      <c r="Y7" s="746">
        <v>6.1950000000000003</v>
      </c>
      <c r="Z7" s="2124">
        <v>5.6534157094943582E-2</v>
      </c>
      <c r="AA7" s="2124">
        <v>8.4892172506406807E-2</v>
      </c>
      <c r="AB7" s="2151">
        <v>0.14142632960135038</v>
      </c>
    </row>
    <row r="8" spans="1:28">
      <c r="B8" s="2134">
        <v>24</v>
      </c>
      <c r="C8" s="2126">
        <v>0.36299999999999999</v>
      </c>
      <c r="D8" s="2126">
        <v>6.31</v>
      </c>
      <c r="E8" s="2126">
        <v>0.89200000000000002</v>
      </c>
      <c r="F8" s="2126">
        <v>0.89200000000000002</v>
      </c>
      <c r="G8" s="2126">
        <v>5.9469999999999992</v>
      </c>
      <c r="H8" s="2127">
        <v>6.1039179418194055E-2</v>
      </c>
      <c r="I8" s="2127">
        <v>0.14999159239952919</v>
      </c>
      <c r="J8" s="2135">
        <v>0.21103077181772326</v>
      </c>
      <c r="K8" s="2134">
        <v>24</v>
      </c>
      <c r="L8" s="2126">
        <v>0.40200000000000002</v>
      </c>
      <c r="M8" s="2126">
        <v>7.17</v>
      </c>
      <c r="N8" s="2128">
        <v>0.22600000000000001</v>
      </c>
      <c r="O8" s="2126">
        <v>0.22600000000000001</v>
      </c>
      <c r="P8" s="2126">
        <v>6.7679999999999998</v>
      </c>
      <c r="Q8" s="2127">
        <v>5.9397163120567378E-2</v>
      </c>
      <c r="R8" s="2127">
        <v>3.3392434988179669E-2</v>
      </c>
      <c r="S8" s="2135">
        <v>9.278959810874704E-2</v>
      </c>
      <c r="T8" s="2134">
        <v>24</v>
      </c>
      <c r="U8" s="1742">
        <v>0.38250000000000001</v>
      </c>
      <c r="V8" s="1742">
        <v>6.74</v>
      </c>
      <c r="W8" s="1742">
        <v>0.55900000000000005</v>
      </c>
      <c r="X8" s="1742">
        <v>0.55900000000000005</v>
      </c>
      <c r="Y8" s="1742">
        <v>6.3574999999999999</v>
      </c>
      <c r="Z8" s="2129">
        <v>6.0218171269380713E-2</v>
      </c>
      <c r="AA8" s="2129">
        <v>9.1692013693854435E-2</v>
      </c>
      <c r="AB8" s="2150">
        <v>0.15191018496323516</v>
      </c>
    </row>
    <row r="9" spans="1:28">
      <c r="B9" s="89">
        <v>25</v>
      </c>
      <c r="C9" s="1">
        <v>0.39</v>
      </c>
      <c r="D9" s="1">
        <v>6.4989999999999997</v>
      </c>
      <c r="E9" s="1">
        <v>0.97399999999999998</v>
      </c>
      <c r="F9" s="1">
        <v>0.97399999999999998</v>
      </c>
      <c r="G9" s="1">
        <v>6.109</v>
      </c>
      <c r="H9" s="747">
        <v>6.3840235717793417E-2</v>
      </c>
      <c r="I9" s="747">
        <v>0.15943689638238664</v>
      </c>
      <c r="J9" s="2135">
        <v>0.22327713210018008</v>
      </c>
      <c r="K9" s="89">
        <v>25</v>
      </c>
      <c r="L9" s="1">
        <v>0.434</v>
      </c>
      <c r="M9" s="1">
        <v>7.3810000000000002</v>
      </c>
      <c r="N9" s="1462">
        <v>0.246</v>
      </c>
      <c r="O9" s="1">
        <v>0.246</v>
      </c>
      <c r="P9" s="1">
        <v>6.9470000000000001</v>
      </c>
      <c r="Q9" s="747">
        <v>6.2473009932344899E-2</v>
      </c>
      <c r="R9" s="747">
        <v>3.5410968763495032E-2</v>
      </c>
      <c r="S9" s="2136">
        <v>9.7883978695839924E-2</v>
      </c>
      <c r="T9" s="89">
        <v>25</v>
      </c>
      <c r="U9" s="746">
        <v>0.41200000000000003</v>
      </c>
      <c r="V9" s="746">
        <v>6.9399999999999995</v>
      </c>
      <c r="W9" s="746">
        <v>0.61</v>
      </c>
      <c r="X9" s="746">
        <v>0.61</v>
      </c>
      <c r="Y9" s="746">
        <v>6.5280000000000005</v>
      </c>
      <c r="Z9" s="2124">
        <v>6.3156622825069161E-2</v>
      </c>
      <c r="AA9" s="2124">
        <v>9.7423932572940838E-2</v>
      </c>
      <c r="AB9" s="2151">
        <v>0.16058055539801</v>
      </c>
    </row>
    <row r="10" spans="1:28">
      <c r="B10" s="2134">
        <v>26</v>
      </c>
      <c r="C10" s="2126">
        <v>0.41499999999999998</v>
      </c>
      <c r="D10" s="2126">
        <v>6.6909999999999998</v>
      </c>
      <c r="E10" s="2126">
        <v>1.052</v>
      </c>
      <c r="F10" s="2126">
        <v>1.052</v>
      </c>
      <c r="G10" s="2126">
        <v>6.2759999999999998</v>
      </c>
      <c r="H10" s="2127">
        <v>6.6124920331421283E-2</v>
      </c>
      <c r="I10" s="2127">
        <v>0.16762268961121735</v>
      </c>
      <c r="J10" s="2135">
        <v>0.23374760994263863</v>
      </c>
      <c r="K10" s="2134">
        <v>26</v>
      </c>
      <c r="L10" s="2126">
        <v>0.46500000000000002</v>
      </c>
      <c r="M10" s="2126">
        <v>7.5970000000000004</v>
      </c>
      <c r="N10" s="2128">
        <v>0.26600000000000001</v>
      </c>
      <c r="O10" s="2126">
        <v>0.26600000000000001</v>
      </c>
      <c r="P10" s="2126">
        <v>7.1320000000000006</v>
      </c>
      <c r="Q10" s="2127">
        <v>6.5199102636006728E-2</v>
      </c>
      <c r="R10" s="2127">
        <v>3.7296690970274819E-2</v>
      </c>
      <c r="S10" s="2135">
        <v>0.10249579360628155</v>
      </c>
      <c r="T10" s="2134">
        <v>26</v>
      </c>
      <c r="U10" s="1742">
        <v>0.44</v>
      </c>
      <c r="V10" s="1742">
        <v>7.1440000000000001</v>
      </c>
      <c r="W10" s="1742">
        <v>0.65900000000000003</v>
      </c>
      <c r="X10" s="1742">
        <v>0.65900000000000003</v>
      </c>
      <c r="Y10" s="1742">
        <v>6.7040000000000006</v>
      </c>
      <c r="Z10" s="2129">
        <v>6.5662011483714006E-2</v>
      </c>
      <c r="AA10" s="2129">
        <v>0.10245969029074609</v>
      </c>
      <c r="AB10" s="2150">
        <v>0.16812170177446009</v>
      </c>
    </row>
    <row r="11" spans="1:28">
      <c r="B11" s="89">
        <v>27</v>
      </c>
      <c r="C11" s="1">
        <v>0.436</v>
      </c>
      <c r="D11" s="1">
        <v>6.8890000000000002</v>
      </c>
      <c r="E11" s="1">
        <v>1.1279999999999999</v>
      </c>
      <c r="F11" s="1">
        <v>1.1279999999999999</v>
      </c>
      <c r="G11" s="1">
        <v>6.4530000000000003</v>
      </c>
      <c r="H11" s="747">
        <v>6.7565473423214006E-2</v>
      </c>
      <c r="I11" s="747">
        <v>0.17480241748024172</v>
      </c>
      <c r="J11" s="2135">
        <v>0.24236789090345573</v>
      </c>
      <c r="K11" s="89">
        <v>27</v>
      </c>
      <c r="L11" s="1">
        <v>0.49399999999999999</v>
      </c>
      <c r="M11" s="1">
        <v>7.8170000000000002</v>
      </c>
      <c r="N11" s="1462">
        <v>0.28599999999999998</v>
      </c>
      <c r="O11" s="1">
        <v>0.28599999999999998</v>
      </c>
      <c r="P11" s="1">
        <v>7.3230000000000004</v>
      </c>
      <c r="Q11" s="747">
        <v>6.7458691792981015E-2</v>
      </c>
      <c r="R11" s="747">
        <v>3.9055032090673215E-2</v>
      </c>
      <c r="S11" s="2136">
        <v>0.10651372388365424</v>
      </c>
      <c r="T11" s="89">
        <v>27</v>
      </c>
      <c r="U11" s="746">
        <v>0.46499999999999997</v>
      </c>
      <c r="V11" s="746">
        <v>7.3529999999999998</v>
      </c>
      <c r="W11" s="746">
        <v>0.70699999999999996</v>
      </c>
      <c r="X11" s="746">
        <v>0.70699999999999996</v>
      </c>
      <c r="Y11" s="746">
        <v>6.8879999999999999</v>
      </c>
      <c r="Z11" s="2124">
        <v>6.7512082608097518E-2</v>
      </c>
      <c r="AA11" s="2124">
        <v>0.10692872478545747</v>
      </c>
      <c r="AB11" s="2151">
        <v>0.174440807393555</v>
      </c>
    </row>
    <row r="12" spans="1:28">
      <c r="B12" s="2134">
        <v>28</v>
      </c>
      <c r="C12" s="2126">
        <v>0.45600000000000002</v>
      </c>
      <c r="D12" s="2126">
        <v>7.0910000000000002</v>
      </c>
      <c r="E12" s="2126">
        <v>1.2010000000000001</v>
      </c>
      <c r="F12" s="2126">
        <v>1.2010000000000001</v>
      </c>
      <c r="G12" s="2126">
        <v>6.6349999999999998</v>
      </c>
      <c r="H12" s="2127">
        <v>6.8726450640542586E-2</v>
      </c>
      <c r="I12" s="2127">
        <v>0.1810097965335343</v>
      </c>
      <c r="J12" s="2135">
        <v>0.24973624717407689</v>
      </c>
      <c r="K12" s="2134">
        <v>28</v>
      </c>
      <c r="L12" s="2126">
        <v>0.52200000000000002</v>
      </c>
      <c r="M12" s="2126">
        <v>8.0429999999999993</v>
      </c>
      <c r="N12" s="2128">
        <v>0.30599999999999999</v>
      </c>
      <c r="O12" s="2126">
        <v>0.30599999999999999</v>
      </c>
      <c r="P12" s="2126">
        <v>7.520999999999999</v>
      </c>
      <c r="Q12" s="2127">
        <v>6.9405664140406872E-2</v>
      </c>
      <c r="R12" s="2127">
        <v>4.0686078978859196E-2</v>
      </c>
      <c r="S12" s="2135">
        <v>0.11009174311926606</v>
      </c>
      <c r="T12" s="2134">
        <v>28</v>
      </c>
      <c r="U12" s="1742">
        <v>0.48899999999999999</v>
      </c>
      <c r="V12" s="1742">
        <v>7.5670000000000002</v>
      </c>
      <c r="W12" s="1742">
        <v>0.75350000000000006</v>
      </c>
      <c r="X12" s="1742">
        <v>0.75350000000000006</v>
      </c>
      <c r="Y12" s="1742">
        <v>7.0779999999999994</v>
      </c>
      <c r="Z12" s="2129">
        <v>6.9066057390474722E-2</v>
      </c>
      <c r="AA12" s="2129">
        <v>0.11084793775619675</v>
      </c>
      <c r="AB12" s="2150">
        <v>0.17991399514667147</v>
      </c>
    </row>
    <row r="13" spans="1:28">
      <c r="B13" s="89">
        <v>29</v>
      </c>
      <c r="C13" s="1">
        <v>0.47299999999999998</v>
      </c>
      <c r="D13" s="1">
        <v>7.298</v>
      </c>
      <c r="E13" s="1">
        <v>1.274</v>
      </c>
      <c r="F13" s="1">
        <v>1.274</v>
      </c>
      <c r="G13" s="1">
        <v>6.8250000000000002</v>
      </c>
      <c r="H13" s="747">
        <v>6.9304029304029305E-2</v>
      </c>
      <c r="I13" s="747">
        <v>0.18666666666666668</v>
      </c>
      <c r="J13" s="2135">
        <v>0.25597069597069599</v>
      </c>
      <c r="K13" s="89">
        <v>29</v>
      </c>
      <c r="L13" s="1">
        <v>0.54700000000000004</v>
      </c>
      <c r="M13" s="1">
        <v>8.2739999999999991</v>
      </c>
      <c r="N13" s="1462">
        <v>0.32600000000000001</v>
      </c>
      <c r="O13" s="1">
        <v>0.32600000000000001</v>
      </c>
      <c r="P13" s="1">
        <v>7.7269999999999994</v>
      </c>
      <c r="Q13" s="747">
        <v>7.0790733790604382E-2</v>
      </c>
      <c r="R13" s="747">
        <v>4.2189724343212116E-2</v>
      </c>
      <c r="S13" s="2136">
        <v>0.11298045813381649</v>
      </c>
      <c r="T13" s="89">
        <v>29</v>
      </c>
      <c r="U13" s="746">
        <v>0.51</v>
      </c>
      <c r="V13" s="746">
        <v>7.7859999999999996</v>
      </c>
      <c r="W13" s="746">
        <v>0.8</v>
      </c>
      <c r="X13" s="746">
        <v>0.8</v>
      </c>
      <c r="Y13" s="746">
        <v>7.2759999999999998</v>
      </c>
      <c r="Z13" s="2124">
        <v>7.004738154731685E-2</v>
      </c>
      <c r="AA13" s="2124">
        <v>0.11442819550493939</v>
      </c>
      <c r="AB13" s="2151">
        <v>0.18447557705225626</v>
      </c>
    </row>
    <row r="14" spans="1:28">
      <c r="B14" s="2134">
        <v>30</v>
      </c>
      <c r="C14" s="2126">
        <v>0.48899999999999999</v>
      </c>
      <c r="D14" s="2126">
        <v>7.5110000000000001</v>
      </c>
      <c r="E14" s="2126">
        <v>1.345</v>
      </c>
      <c r="F14" s="2126">
        <v>1.345</v>
      </c>
      <c r="G14" s="2126">
        <v>7.0220000000000002</v>
      </c>
      <c r="H14" s="2127">
        <v>6.9638279692395319E-2</v>
      </c>
      <c r="I14" s="2127">
        <v>0.19154087154656793</v>
      </c>
      <c r="J14" s="2135">
        <v>0.26117915123896324</v>
      </c>
      <c r="K14" s="2134">
        <v>30</v>
      </c>
      <c r="L14" s="2126">
        <v>0.57099999999999995</v>
      </c>
      <c r="M14" s="2126">
        <v>8.5090000000000003</v>
      </c>
      <c r="N14" s="2128">
        <v>0.34499999999999997</v>
      </c>
      <c r="O14" s="2126">
        <v>0.34499999999999997</v>
      </c>
      <c r="P14" s="2126">
        <v>7.9380000000000006</v>
      </c>
      <c r="Q14" s="2127">
        <v>7.193247669438145E-2</v>
      </c>
      <c r="R14" s="2127">
        <v>4.3461829176114887E-2</v>
      </c>
      <c r="S14" s="2135">
        <v>0.11539430587049634</v>
      </c>
      <c r="T14" s="2134">
        <v>30</v>
      </c>
      <c r="U14" s="1742">
        <v>0.53</v>
      </c>
      <c r="V14" s="1742">
        <v>8.01</v>
      </c>
      <c r="W14" s="1742">
        <v>0.84499999999999997</v>
      </c>
      <c r="X14" s="1742">
        <v>0.84499999999999997</v>
      </c>
      <c r="Y14" s="1742">
        <v>7.48</v>
      </c>
      <c r="Z14" s="2129">
        <v>7.0785378193388385E-2</v>
      </c>
      <c r="AA14" s="2129">
        <v>0.11750135036134141</v>
      </c>
      <c r="AB14" s="2150">
        <v>0.18828672855472978</v>
      </c>
    </row>
    <row r="15" spans="1:28">
      <c r="B15" s="89">
        <v>31</v>
      </c>
      <c r="C15" s="1">
        <v>0.503</v>
      </c>
      <c r="D15" s="1">
        <v>7.73</v>
      </c>
      <c r="E15" s="1">
        <v>1.4159999999999999</v>
      </c>
      <c r="F15" s="1">
        <v>1.4159999999999999</v>
      </c>
      <c r="G15" s="1">
        <v>7.2270000000000003</v>
      </c>
      <c r="H15" s="747">
        <v>6.9600110696001111E-2</v>
      </c>
      <c r="I15" s="747">
        <v>0.19593192195931919</v>
      </c>
      <c r="J15" s="2135">
        <v>0.26553203265532033</v>
      </c>
      <c r="K15" s="89">
        <v>31</v>
      </c>
      <c r="L15" s="1">
        <v>0.59099999999999997</v>
      </c>
      <c r="M15" s="1">
        <v>8.7509999999999994</v>
      </c>
      <c r="N15" s="1462">
        <v>0.36399999999999999</v>
      </c>
      <c r="O15" s="1">
        <v>0.36399999999999999</v>
      </c>
      <c r="P15" s="1">
        <v>8.16</v>
      </c>
      <c r="Q15" s="747">
        <v>7.2426470588235287E-2</v>
      </c>
      <c r="R15" s="747">
        <v>4.4607843137254903E-2</v>
      </c>
      <c r="S15" s="2136">
        <v>0.1170343137254902</v>
      </c>
      <c r="T15" s="89">
        <v>31</v>
      </c>
      <c r="U15" s="746">
        <v>0.54699999999999993</v>
      </c>
      <c r="V15" s="746">
        <v>8.2405000000000008</v>
      </c>
      <c r="W15" s="746">
        <v>0.8899999999999999</v>
      </c>
      <c r="X15" s="746">
        <v>0.8899999999999999</v>
      </c>
      <c r="Y15" s="746">
        <v>7.6935000000000002</v>
      </c>
      <c r="Z15" s="2124">
        <v>7.1013290642118199E-2</v>
      </c>
      <c r="AA15" s="2124">
        <v>0.12026988254828705</v>
      </c>
      <c r="AB15" s="2151">
        <v>0.19128317319040528</v>
      </c>
    </row>
    <row r="16" spans="1:28">
      <c r="B16" s="2134">
        <v>32</v>
      </c>
      <c r="C16" s="2126">
        <v>0.51700000000000002</v>
      </c>
      <c r="D16" s="2126">
        <v>7.9539999999999997</v>
      </c>
      <c r="E16" s="2126">
        <v>1.488</v>
      </c>
      <c r="F16" s="2126">
        <v>1.488</v>
      </c>
      <c r="G16" s="2126">
        <v>7.4369999999999994</v>
      </c>
      <c r="H16" s="2127">
        <v>6.9517278472502358E-2</v>
      </c>
      <c r="I16" s="2127">
        <v>0.200080677692618</v>
      </c>
      <c r="J16" s="2135">
        <v>0.26959795616512039</v>
      </c>
      <c r="K16" s="2134">
        <v>32</v>
      </c>
      <c r="L16" s="2126">
        <v>0.61</v>
      </c>
      <c r="M16" s="2126">
        <v>8.9969999999999999</v>
      </c>
      <c r="N16" s="2128">
        <v>0.38200000000000001</v>
      </c>
      <c r="O16" s="2126">
        <v>0.38200000000000001</v>
      </c>
      <c r="P16" s="2126">
        <v>8.3870000000000005</v>
      </c>
      <c r="Q16" s="2127">
        <v>7.2731608441635856E-2</v>
      </c>
      <c r="R16" s="2127">
        <v>4.5546679384762132E-2</v>
      </c>
      <c r="S16" s="2135">
        <v>0.11827828782639799</v>
      </c>
      <c r="T16" s="2134">
        <v>32</v>
      </c>
      <c r="U16" s="1742">
        <v>0.5635</v>
      </c>
      <c r="V16" s="1742">
        <v>8.4755000000000003</v>
      </c>
      <c r="W16" s="1742">
        <v>0.93500000000000005</v>
      </c>
      <c r="X16" s="1742">
        <v>0.93500000000000005</v>
      </c>
      <c r="Y16" s="1742">
        <v>7.9119999999999999</v>
      </c>
      <c r="Z16" s="2129">
        <v>7.1124443457069114E-2</v>
      </c>
      <c r="AA16" s="2129">
        <v>0.12281367853869007</v>
      </c>
      <c r="AB16" s="2150">
        <v>0.19393812199575919</v>
      </c>
    </row>
    <row r="17" spans="2:28">
      <c r="B17" s="89">
        <v>33</v>
      </c>
      <c r="C17" s="1">
        <v>0.52800000000000002</v>
      </c>
      <c r="D17" s="1">
        <v>8.1839999999999993</v>
      </c>
      <c r="E17" s="1">
        <v>1.5589999999999999</v>
      </c>
      <c r="F17" s="1">
        <v>1.5589999999999999</v>
      </c>
      <c r="G17" s="1">
        <v>7.6559999999999988</v>
      </c>
      <c r="H17" s="747">
        <v>6.8965517241379323E-2</v>
      </c>
      <c r="I17" s="747">
        <v>0.20363113897596657</v>
      </c>
      <c r="J17" s="2135">
        <v>0.27259665621734591</v>
      </c>
      <c r="K17" s="89">
        <v>33</v>
      </c>
      <c r="L17" s="1">
        <v>0.626</v>
      </c>
      <c r="M17" s="1">
        <v>9.25</v>
      </c>
      <c r="N17" s="1462">
        <v>0.4</v>
      </c>
      <c r="O17" s="1">
        <v>0.4</v>
      </c>
      <c r="P17" s="1">
        <v>8.6240000000000006</v>
      </c>
      <c r="Q17" s="747">
        <v>7.2588126159554733E-2</v>
      </c>
      <c r="R17" s="747">
        <v>4.6382189239332093E-2</v>
      </c>
      <c r="S17" s="2136">
        <v>0.11897031539888683</v>
      </c>
      <c r="T17" s="89">
        <v>33</v>
      </c>
      <c r="U17" s="746">
        <v>0.57699999999999996</v>
      </c>
      <c r="V17" s="746">
        <v>8.7169999999999987</v>
      </c>
      <c r="W17" s="746">
        <v>0.97950000000000004</v>
      </c>
      <c r="X17" s="746">
        <v>0.97950000000000004</v>
      </c>
      <c r="Y17" s="746">
        <v>8.14</v>
      </c>
      <c r="Z17" s="2124">
        <v>7.0776821700467035E-2</v>
      </c>
      <c r="AA17" s="2124">
        <v>0.12500666410764932</v>
      </c>
      <c r="AB17" s="2151">
        <v>0.19578348580811639</v>
      </c>
    </row>
    <row r="18" spans="2:28">
      <c r="B18" s="2134">
        <v>34</v>
      </c>
      <c r="C18" s="2126">
        <v>0.53800000000000003</v>
      </c>
      <c r="D18" s="2126">
        <v>8.4209999999999994</v>
      </c>
      <c r="E18" s="2126">
        <v>1.63</v>
      </c>
      <c r="F18" s="2126">
        <v>1.63</v>
      </c>
      <c r="G18" s="2126">
        <v>7.8829999999999991</v>
      </c>
      <c r="H18" s="2127">
        <v>6.8248128884942291E-2</v>
      </c>
      <c r="I18" s="2127">
        <v>0.20677407078523405</v>
      </c>
      <c r="J18" s="2135">
        <v>0.27502219967017633</v>
      </c>
      <c r="K18" s="2134">
        <v>34</v>
      </c>
      <c r="L18" s="2126">
        <v>0.63800000000000001</v>
      </c>
      <c r="M18" s="2126">
        <v>9.5079999999999991</v>
      </c>
      <c r="N18" s="2128">
        <v>0.41799999999999998</v>
      </c>
      <c r="O18" s="2126">
        <v>0.41799999999999998</v>
      </c>
      <c r="P18" s="2126">
        <v>8.8699999999999992</v>
      </c>
      <c r="Q18" s="2127">
        <v>7.1927846674182644E-2</v>
      </c>
      <c r="R18" s="2127">
        <v>4.7125140924464487E-2</v>
      </c>
      <c r="S18" s="2135">
        <v>0.11905298759864713</v>
      </c>
      <c r="T18" s="2134">
        <v>34</v>
      </c>
      <c r="U18" s="1742">
        <v>0.58800000000000008</v>
      </c>
      <c r="V18" s="1742">
        <v>8.9644999999999992</v>
      </c>
      <c r="W18" s="1742">
        <v>1.024</v>
      </c>
      <c r="X18" s="1742">
        <v>1.024</v>
      </c>
      <c r="Y18" s="1742">
        <v>8.3765000000000001</v>
      </c>
      <c r="Z18" s="2129">
        <v>7.0087987779562461E-2</v>
      </c>
      <c r="AA18" s="2129">
        <v>0.12694960585484927</v>
      </c>
      <c r="AB18" s="2150">
        <v>0.19703759363441173</v>
      </c>
    </row>
    <row r="19" spans="2:28">
      <c r="B19" s="89">
        <v>35</v>
      </c>
      <c r="C19" s="1">
        <v>0.54600000000000004</v>
      </c>
      <c r="D19" s="1">
        <v>8.6630000000000003</v>
      </c>
      <c r="E19" s="1">
        <v>1.702</v>
      </c>
      <c r="F19" s="1">
        <v>1.702</v>
      </c>
      <c r="G19" s="1">
        <v>8.1170000000000009</v>
      </c>
      <c r="H19" s="747">
        <v>6.7266231366268317E-2</v>
      </c>
      <c r="I19" s="747">
        <v>0.20968338055931993</v>
      </c>
      <c r="J19" s="2135">
        <v>0.27694961192558826</v>
      </c>
      <c r="K19" s="89">
        <v>35</v>
      </c>
      <c r="L19" s="1">
        <v>0.64700000000000002</v>
      </c>
      <c r="M19" s="1">
        <v>9.7710000000000008</v>
      </c>
      <c r="N19" s="1462">
        <v>0.435</v>
      </c>
      <c r="O19" s="1">
        <v>0.435</v>
      </c>
      <c r="P19" s="1">
        <v>9.1240000000000006</v>
      </c>
      <c r="Q19" s="747">
        <v>7.0911880754055232E-2</v>
      </c>
      <c r="R19" s="747">
        <v>4.7676457693993861E-2</v>
      </c>
      <c r="S19" s="2136">
        <v>0.11858833844804909</v>
      </c>
      <c r="T19" s="89">
        <v>35</v>
      </c>
      <c r="U19" s="746">
        <v>0.59650000000000003</v>
      </c>
      <c r="V19" s="746">
        <v>9.2170000000000005</v>
      </c>
      <c r="W19" s="746">
        <v>1.0685</v>
      </c>
      <c r="X19" s="746">
        <v>1.0685</v>
      </c>
      <c r="Y19" s="746">
        <v>8.6204999999999998</v>
      </c>
      <c r="Z19" s="2124">
        <v>6.9089056060161774E-2</v>
      </c>
      <c r="AA19" s="2124">
        <v>0.12867991912665688</v>
      </c>
      <c r="AB19" s="2151">
        <v>0.19776897518681869</v>
      </c>
    </row>
    <row r="20" spans="2:28">
      <c r="B20" s="2134">
        <v>36</v>
      </c>
      <c r="C20" s="2126">
        <v>0.55100000000000005</v>
      </c>
      <c r="D20" s="2126">
        <v>8.9109999999999996</v>
      </c>
      <c r="E20" s="2126">
        <v>1.774</v>
      </c>
      <c r="F20" s="2126">
        <v>1.774</v>
      </c>
      <c r="G20" s="2126">
        <v>8.36</v>
      </c>
      <c r="H20" s="2127">
        <v>6.5909090909090917E-2</v>
      </c>
      <c r="I20" s="2127">
        <v>0.21220095693779906</v>
      </c>
      <c r="J20" s="2135">
        <v>0.27811004784688997</v>
      </c>
      <c r="K20" s="2134">
        <v>36</v>
      </c>
      <c r="L20" s="2126">
        <v>0.65200000000000002</v>
      </c>
      <c r="M20" s="2126">
        <v>10.039999999999999</v>
      </c>
      <c r="N20" s="2128">
        <v>0.45100000000000001</v>
      </c>
      <c r="O20" s="2126">
        <v>0.45100000000000001</v>
      </c>
      <c r="P20" s="2126">
        <v>9.3879999999999999</v>
      </c>
      <c r="Q20" s="2127">
        <v>6.9450362164465276E-2</v>
      </c>
      <c r="R20" s="2127">
        <v>4.804005112910098E-2</v>
      </c>
      <c r="S20" s="2135">
        <v>0.11749041329356626</v>
      </c>
      <c r="T20" s="2134">
        <v>36</v>
      </c>
      <c r="U20" s="1742">
        <v>0.60150000000000003</v>
      </c>
      <c r="V20" s="1742">
        <v>9.4755000000000003</v>
      </c>
      <c r="W20" s="1742">
        <v>1.1125</v>
      </c>
      <c r="X20" s="1742">
        <v>1.1125</v>
      </c>
      <c r="Y20" s="1742">
        <v>8.8739999999999988</v>
      </c>
      <c r="Z20" s="2129">
        <v>6.767972653677809E-2</v>
      </c>
      <c r="AA20" s="2129">
        <v>0.13012050403345002</v>
      </c>
      <c r="AB20" s="2150">
        <v>0.19780023057022811</v>
      </c>
    </row>
    <row r="21" spans="2:28">
      <c r="B21" s="89">
        <v>37</v>
      </c>
      <c r="C21" s="1">
        <v>0.55100000000000005</v>
      </c>
      <c r="D21" s="1">
        <v>9.1630000000000003</v>
      </c>
      <c r="E21" s="1">
        <v>1.8460000000000001</v>
      </c>
      <c r="F21" s="1">
        <v>1.8460000000000001</v>
      </c>
      <c r="G21" s="1">
        <v>8.6120000000000001</v>
      </c>
      <c r="H21" s="747">
        <v>6.3980492336274966E-2</v>
      </c>
      <c r="I21" s="747">
        <v>0.21435206688341849</v>
      </c>
      <c r="J21" s="2135">
        <v>0.27833255921969347</v>
      </c>
      <c r="K21" s="89">
        <v>37</v>
      </c>
      <c r="L21" s="1">
        <v>0.65100000000000002</v>
      </c>
      <c r="M21" s="1">
        <v>10.313000000000001</v>
      </c>
      <c r="N21" s="1462">
        <v>0.46700000000000003</v>
      </c>
      <c r="O21" s="1">
        <v>0.46700000000000003</v>
      </c>
      <c r="P21" s="1">
        <v>9.6620000000000008</v>
      </c>
      <c r="Q21" s="747">
        <v>6.7377354584972057E-2</v>
      </c>
      <c r="R21" s="747">
        <v>4.8333678327468432E-2</v>
      </c>
      <c r="S21" s="2136">
        <v>0.11571103291244049</v>
      </c>
      <c r="T21" s="89">
        <v>37</v>
      </c>
      <c r="U21" s="746">
        <v>0.60099999999999998</v>
      </c>
      <c r="V21" s="746">
        <v>9.7379999999999995</v>
      </c>
      <c r="W21" s="746">
        <v>1.1565000000000001</v>
      </c>
      <c r="X21" s="746">
        <v>1.1565000000000001</v>
      </c>
      <c r="Y21" s="746">
        <v>9.1370000000000005</v>
      </c>
      <c r="Z21" s="2124">
        <v>6.5678923460623512E-2</v>
      </c>
      <c r="AA21" s="2124">
        <v>0.13134287260544347</v>
      </c>
      <c r="AB21" s="2151">
        <v>0.19702179606606698</v>
      </c>
    </row>
    <row r="22" spans="2:28">
      <c r="B22" s="2134">
        <v>38</v>
      </c>
      <c r="C22" s="2126">
        <v>0.54500000000000004</v>
      </c>
      <c r="D22" s="2126">
        <v>9.42</v>
      </c>
      <c r="E22" s="2126">
        <v>1.919</v>
      </c>
      <c r="F22" s="2126">
        <v>1.919</v>
      </c>
      <c r="G22" s="2126">
        <v>8.875</v>
      </c>
      <c r="H22" s="2127">
        <v>6.1408450704225355E-2</v>
      </c>
      <c r="I22" s="2127">
        <v>0.21622535211267607</v>
      </c>
      <c r="J22" s="2135">
        <v>0.27763380281690142</v>
      </c>
      <c r="K22" s="2134">
        <v>38</v>
      </c>
      <c r="L22" s="2126">
        <v>0.64400000000000002</v>
      </c>
      <c r="M22" s="2126">
        <v>10.590999999999999</v>
      </c>
      <c r="N22" s="2128">
        <v>0.48199999999999998</v>
      </c>
      <c r="O22" s="2126">
        <v>0.48199999999999998</v>
      </c>
      <c r="P22" s="2126">
        <v>9.9469999999999992</v>
      </c>
      <c r="Q22" s="2127">
        <v>6.4743138634764261E-2</v>
      </c>
      <c r="R22" s="2127">
        <v>4.8456821152106165E-2</v>
      </c>
      <c r="S22" s="2135">
        <v>0.11319995978687042</v>
      </c>
      <c r="T22" s="2134">
        <v>38</v>
      </c>
      <c r="U22" s="1742">
        <v>0.59450000000000003</v>
      </c>
      <c r="V22" s="1742">
        <v>10.0055</v>
      </c>
      <c r="W22" s="1742">
        <v>1.2004999999999999</v>
      </c>
      <c r="X22" s="1742">
        <v>1.2004999999999999</v>
      </c>
      <c r="Y22" s="1742">
        <v>9.4109999999999996</v>
      </c>
      <c r="Z22" s="2129">
        <v>6.3075794669494811E-2</v>
      </c>
      <c r="AA22" s="2129">
        <v>0.13234108663239111</v>
      </c>
      <c r="AB22" s="2150">
        <v>0.19541688130188592</v>
      </c>
    </row>
    <row r="23" spans="2:28">
      <c r="B23" s="89">
        <v>39</v>
      </c>
      <c r="C23" s="1">
        <v>0.53500000000000003</v>
      </c>
      <c r="D23" s="1">
        <v>9.6820000000000004</v>
      </c>
      <c r="E23" s="1">
        <v>1.9910000000000001</v>
      </c>
      <c r="F23" s="1">
        <v>1.9910000000000001</v>
      </c>
      <c r="G23" s="1">
        <v>9.1470000000000002</v>
      </c>
      <c r="H23" s="747">
        <v>5.8489122116540941E-2</v>
      </c>
      <c r="I23" s="747">
        <v>0.21766699464305236</v>
      </c>
      <c r="J23" s="2135">
        <v>0.27615611675959328</v>
      </c>
      <c r="K23" s="89">
        <v>39</v>
      </c>
      <c r="L23" s="1">
        <v>0.63200000000000001</v>
      </c>
      <c r="M23" s="1">
        <v>10.874000000000001</v>
      </c>
      <c r="N23" s="1462">
        <v>0.496</v>
      </c>
      <c r="O23" s="1">
        <v>0.496</v>
      </c>
      <c r="P23" s="1">
        <v>10.242000000000001</v>
      </c>
      <c r="Q23" s="747">
        <v>6.1706697910564337E-2</v>
      </c>
      <c r="R23" s="747">
        <v>4.8428041398164416E-2</v>
      </c>
      <c r="S23" s="2136">
        <v>0.11013473930872875</v>
      </c>
      <c r="T23" s="89">
        <v>39</v>
      </c>
      <c r="U23" s="746">
        <v>0.58350000000000002</v>
      </c>
      <c r="V23" s="746">
        <v>10.278</v>
      </c>
      <c r="W23" s="746">
        <v>1.2435</v>
      </c>
      <c r="X23" s="746">
        <v>1.2435</v>
      </c>
      <c r="Y23" s="746">
        <v>9.6945000000000014</v>
      </c>
      <c r="Z23" s="2124">
        <v>6.0097910013552636E-2</v>
      </c>
      <c r="AA23" s="2124">
        <v>0.13304751802060838</v>
      </c>
      <c r="AB23" s="2151">
        <v>0.19314542803416102</v>
      </c>
    </row>
    <row r="24" spans="2:28">
      <c r="B24" s="2134">
        <v>40</v>
      </c>
      <c r="C24" s="2126">
        <v>0.52100000000000002</v>
      </c>
      <c r="D24" s="2126">
        <v>9.9499999999999993</v>
      </c>
      <c r="E24" s="2126">
        <v>2.0640000000000001</v>
      </c>
      <c r="F24" s="2126">
        <v>2.0640000000000001</v>
      </c>
      <c r="G24" s="2126">
        <v>9.4289999999999985</v>
      </c>
      <c r="H24" s="2127">
        <v>5.5255064163750145E-2</v>
      </c>
      <c r="I24" s="2127">
        <v>0.21889914094813875</v>
      </c>
      <c r="J24" s="2135">
        <v>0.27415420511188893</v>
      </c>
      <c r="K24" s="2134">
        <v>40</v>
      </c>
      <c r="L24" s="2126">
        <v>0.61499999999999999</v>
      </c>
      <c r="M24" s="2126">
        <v>11.163</v>
      </c>
      <c r="N24" s="2128">
        <v>0.51</v>
      </c>
      <c r="O24" s="2126">
        <v>0.51</v>
      </c>
      <c r="P24" s="2126">
        <v>10.548</v>
      </c>
      <c r="Q24" s="2127">
        <v>5.8304891922639365E-2</v>
      </c>
      <c r="R24" s="2127">
        <v>4.8350398179749718E-2</v>
      </c>
      <c r="S24" s="2135">
        <v>0.10665529010238908</v>
      </c>
      <c r="T24" s="2134">
        <v>40</v>
      </c>
      <c r="U24" s="1742">
        <v>0.56800000000000006</v>
      </c>
      <c r="V24" s="1742">
        <v>10.5565</v>
      </c>
      <c r="W24" s="1742">
        <v>1.2869999999999999</v>
      </c>
      <c r="X24" s="1742">
        <v>1.2869999999999999</v>
      </c>
      <c r="Y24" s="1742">
        <v>9.9884999999999984</v>
      </c>
      <c r="Z24" s="2129">
        <v>5.6779978043194755E-2</v>
      </c>
      <c r="AA24" s="2129">
        <v>0.13362476956394423</v>
      </c>
      <c r="AB24" s="2150">
        <v>0.19040474760713899</v>
      </c>
    </row>
    <row r="25" spans="2:28">
      <c r="B25" s="89">
        <v>41</v>
      </c>
      <c r="C25" s="1">
        <v>0.505</v>
      </c>
      <c r="D25" s="1">
        <v>10.226000000000001</v>
      </c>
      <c r="E25" s="1">
        <v>2.1389999999999998</v>
      </c>
      <c r="F25" s="1">
        <v>2.1389999999999998</v>
      </c>
      <c r="G25" s="1">
        <v>9.7210000000000001</v>
      </c>
      <c r="H25" s="747">
        <v>5.1949387923053182E-2</v>
      </c>
      <c r="I25" s="747">
        <v>0.22003909062853613</v>
      </c>
      <c r="J25" s="2135">
        <v>0.27198847855158931</v>
      </c>
      <c r="K25" s="89">
        <v>41</v>
      </c>
      <c r="L25" s="1">
        <v>0.59499999999999997</v>
      </c>
      <c r="M25" s="1">
        <v>11.46</v>
      </c>
      <c r="N25" s="1462">
        <v>0.52300000000000002</v>
      </c>
      <c r="O25" s="1">
        <v>0.52300000000000002</v>
      </c>
      <c r="P25" s="1">
        <v>10.865</v>
      </c>
      <c r="Q25" s="747">
        <v>5.4763000460193278E-2</v>
      </c>
      <c r="R25" s="747">
        <v>4.8136217211228717E-2</v>
      </c>
      <c r="S25" s="2136">
        <v>0.10289921767142199</v>
      </c>
      <c r="T25" s="89">
        <v>41</v>
      </c>
      <c r="U25" s="746">
        <v>0.55000000000000004</v>
      </c>
      <c r="V25" s="746">
        <v>10.843</v>
      </c>
      <c r="W25" s="746">
        <v>1.331</v>
      </c>
      <c r="X25" s="746">
        <v>1.331</v>
      </c>
      <c r="Y25" s="746">
        <v>10.292999999999999</v>
      </c>
      <c r="Z25" s="2124">
        <v>5.3356194191623227E-2</v>
      </c>
      <c r="AA25" s="2124">
        <v>0.13408765391988242</v>
      </c>
      <c r="AB25" s="2151">
        <v>0.18744384811150566</v>
      </c>
    </row>
    <row r="26" spans="2:28">
      <c r="B26" s="2134">
        <v>42</v>
      </c>
      <c r="C26" s="2126">
        <v>0.48899999999999999</v>
      </c>
      <c r="D26" s="2126">
        <v>10.512</v>
      </c>
      <c r="E26" s="2126">
        <v>2.214</v>
      </c>
      <c r="F26" s="2126">
        <v>2.214</v>
      </c>
      <c r="G26" s="2126">
        <v>10.023</v>
      </c>
      <c r="H26" s="2127">
        <v>4.8787788087398982E-2</v>
      </c>
      <c r="I26" s="2127">
        <v>0.22089194851840765</v>
      </c>
      <c r="J26" s="2135">
        <v>0.26967973660580663</v>
      </c>
      <c r="K26" s="2134">
        <v>42</v>
      </c>
      <c r="L26" s="2126">
        <v>0.57199999999999995</v>
      </c>
      <c r="M26" s="2126">
        <v>11.766</v>
      </c>
      <c r="N26" s="2128">
        <v>0.53700000000000003</v>
      </c>
      <c r="O26" s="2126">
        <v>0.53700000000000003</v>
      </c>
      <c r="P26" s="2126">
        <v>11.194000000000001</v>
      </c>
      <c r="Q26" s="2127">
        <v>5.1098802930141136E-2</v>
      </c>
      <c r="R26" s="2127">
        <v>4.7972127925674471E-2</v>
      </c>
      <c r="S26" s="2135">
        <v>9.9070930855815614E-2</v>
      </c>
      <c r="T26" s="2134">
        <v>42</v>
      </c>
      <c r="U26" s="1742">
        <v>0.53049999999999997</v>
      </c>
      <c r="V26" s="1742">
        <v>11.138999999999999</v>
      </c>
      <c r="W26" s="1742">
        <v>1.3754999999999999</v>
      </c>
      <c r="X26" s="1742">
        <v>1.3754999999999999</v>
      </c>
      <c r="Y26" s="1742">
        <v>10.608499999999999</v>
      </c>
      <c r="Z26" s="2129">
        <v>4.9943295508770059E-2</v>
      </c>
      <c r="AA26" s="2129">
        <v>0.13443203822204106</v>
      </c>
      <c r="AB26" s="2150">
        <v>0.18437533373081111</v>
      </c>
    </row>
    <row r="27" spans="2:28">
      <c r="B27" s="89">
        <v>43</v>
      </c>
      <c r="C27" s="1">
        <v>0.47199999999999998</v>
      </c>
      <c r="D27" s="1">
        <v>10.808</v>
      </c>
      <c r="E27" s="1">
        <v>2.2909999999999999</v>
      </c>
      <c r="F27" s="1">
        <v>2.2909999999999999</v>
      </c>
      <c r="G27" s="1">
        <v>10.336</v>
      </c>
      <c r="H27" s="747">
        <v>4.5665634674922594E-2</v>
      </c>
      <c r="I27" s="747">
        <v>0.22165247678018574</v>
      </c>
      <c r="J27" s="2135">
        <v>0.26731811145510831</v>
      </c>
      <c r="K27" s="89">
        <v>43</v>
      </c>
      <c r="L27" s="1">
        <v>0.54700000000000004</v>
      </c>
      <c r="M27" s="1">
        <v>12.081</v>
      </c>
      <c r="N27" s="1462">
        <v>0.55000000000000004</v>
      </c>
      <c r="O27" s="1">
        <v>0.55000000000000004</v>
      </c>
      <c r="P27" s="1">
        <v>11.533999999999999</v>
      </c>
      <c r="Q27" s="747">
        <v>4.7425004335009548E-2</v>
      </c>
      <c r="R27" s="747">
        <v>4.7685104907230803E-2</v>
      </c>
      <c r="S27" s="2136">
        <v>9.5110109242240351E-2</v>
      </c>
      <c r="T27" s="89">
        <v>43</v>
      </c>
      <c r="U27" s="746">
        <v>0.50950000000000006</v>
      </c>
      <c r="V27" s="746">
        <v>11.4445</v>
      </c>
      <c r="W27" s="746">
        <v>1.4205000000000001</v>
      </c>
      <c r="X27" s="746">
        <v>1.4205000000000001</v>
      </c>
      <c r="Y27" s="746">
        <v>10.934999999999999</v>
      </c>
      <c r="Z27" s="2124">
        <v>4.6545319504966071E-2</v>
      </c>
      <c r="AA27" s="2124">
        <v>0.13466879084370828</v>
      </c>
      <c r="AB27" s="2151">
        <v>0.18121411034867432</v>
      </c>
    </row>
    <row r="28" spans="2:28">
      <c r="B28" s="2134">
        <v>44</v>
      </c>
      <c r="C28" s="2126">
        <v>0.45400000000000001</v>
      </c>
      <c r="D28" s="2126">
        <v>11.115</v>
      </c>
      <c r="E28" s="2126">
        <v>2.3690000000000002</v>
      </c>
      <c r="F28" s="2126">
        <v>2.3690000000000002</v>
      </c>
      <c r="G28" s="2126">
        <v>10.661</v>
      </c>
      <c r="H28" s="2127">
        <v>4.2585123346777977E-2</v>
      </c>
      <c r="I28" s="2127">
        <v>0.22221180001876001</v>
      </c>
      <c r="J28" s="2135">
        <v>0.26479692336553801</v>
      </c>
      <c r="K28" s="2134">
        <v>44</v>
      </c>
      <c r="L28" s="2126">
        <v>0.52100000000000002</v>
      </c>
      <c r="M28" s="2126">
        <v>12.407</v>
      </c>
      <c r="N28" s="2128">
        <v>0.56299999999999994</v>
      </c>
      <c r="O28" s="2126">
        <v>0.56299999999999994</v>
      </c>
      <c r="P28" s="2126">
        <v>11.885999999999999</v>
      </c>
      <c r="Q28" s="2127">
        <v>4.3833080935554436E-2</v>
      </c>
      <c r="R28" s="2127">
        <v>4.7366649840148073E-2</v>
      </c>
      <c r="S28" s="2135">
        <v>9.1199730775702509E-2</v>
      </c>
      <c r="T28" s="2134">
        <v>44</v>
      </c>
      <c r="U28" s="1742">
        <v>0.48750000000000004</v>
      </c>
      <c r="V28" s="1742">
        <v>11.760999999999999</v>
      </c>
      <c r="W28" s="1742">
        <v>1.4660000000000002</v>
      </c>
      <c r="X28" s="1742">
        <v>1.4660000000000002</v>
      </c>
      <c r="Y28" s="1742">
        <v>11.273499999999999</v>
      </c>
      <c r="Z28" s="2129">
        <v>4.3209102141166203E-2</v>
      </c>
      <c r="AA28" s="2129">
        <v>0.13478922492945405</v>
      </c>
      <c r="AB28" s="2150">
        <v>0.17799832707062024</v>
      </c>
    </row>
    <row r="29" spans="2:28">
      <c r="B29" s="89">
        <v>45</v>
      </c>
      <c r="C29" s="1">
        <v>0.436</v>
      </c>
      <c r="D29" s="1">
        <v>11.433</v>
      </c>
      <c r="E29" s="1">
        <v>2.448</v>
      </c>
      <c r="F29" s="1">
        <v>2.448</v>
      </c>
      <c r="G29" s="1">
        <v>10.997</v>
      </c>
      <c r="H29" s="747">
        <v>3.9647176502682548E-2</v>
      </c>
      <c r="I29" s="747">
        <v>0.22260616531781394</v>
      </c>
      <c r="J29" s="2135">
        <v>0.26225334182049648</v>
      </c>
      <c r="K29" s="89">
        <v>45</v>
      </c>
      <c r="L29" s="1">
        <v>0.49399999999999999</v>
      </c>
      <c r="M29" s="1">
        <v>12.744</v>
      </c>
      <c r="N29" s="1462">
        <v>0.57599999999999996</v>
      </c>
      <c r="O29" s="1">
        <v>0.57599999999999996</v>
      </c>
      <c r="P29" s="1">
        <v>12.25</v>
      </c>
      <c r="Q29" s="747">
        <v>4.03265306122449E-2</v>
      </c>
      <c r="R29" s="747">
        <v>4.7020408163265304E-2</v>
      </c>
      <c r="S29" s="2136">
        <v>8.7346938775510197E-2</v>
      </c>
      <c r="T29" s="89">
        <v>45</v>
      </c>
      <c r="U29" s="746">
        <v>0.46499999999999997</v>
      </c>
      <c r="V29" s="746">
        <v>12.0885</v>
      </c>
      <c r="W29" s="746">
        <v>1.512</v>
      </c>
      <c r="X29" s="746">
        <v>1.512</v>
      </c>
      <c r="Y29" s="746">
        <v>11.6235</v>
      </c>
      <c r="Z29" s="2124">
        <v>3.9986853557463724E-2</v>
      </c>
      <c r="AA29" s="2124">
        <v>0.13481328674053961</v>
      </c>
      <c r="AB29" s="2151">
        <v>0.17480014029800334</v>
      </c>
    </row>
    <row r="30" spans="2:28">
      <c r="B30" s="2134">
        <v>46</v>
      </c>
      <c r="C30" s="2126">
        <v>0.41699999999999998</v>
      </c>
      <c r="D30" s="2126">
        <v>11.762</v>
      </c>
      <c r="E30" s="2126">
        <v>2.5259999999999998</v>
      </c>
      <c r="F30" s="2126">
        <v>2.5259999999999998</v>
      </c>
      <c r="G30" s="2126">
        <v>11.345000000000001</v>
      </c>
      <c r="H30" s="2127">
        <v>3.6756280299691489E-2</v>
      </c>
      <c r="I30" s="2127">
        <v>0.22265315116791534</v>
      </c>
      <c r="J30" s="2135">
        <v>0.25940943146760681</v>
      </c>
      <c r="K30" s="2134">
        <v>46</v>
      </c>
      <c r="L30" s="2126">
        <v>0.46500000000000002</v>
      </c>
      <c r="M30" s="2126">
        <v>13.092000000000001</v>
      </c>
      <c r="N30" s="2128">
        <v>0.58899999999999997</v>
      </c>
      <c r="O30" s="2126">
        <v>0.58899999999999997</v>
      </c>
      <c r="P30" s="2126">
        <v>12.627000000000001</v>
      </c>
      <c r="Q30" s="2127">
        <v>3.682584937039677E-2</v>
      </c>
      <c r="R30" s="2127">
        <v>4.6646075869169239E-2</v>
      </c>
      <c r="S30" s="2135">
        <v>8.3471925239566008E-2</v>
      </c>
      <c r="T30" s="2134">
        <v>46</v>
      </c>
      <c r="U30" s="1742">
        <v>0.441</v>
      </c>
      <c r="V30" s="1742">
        <v>12.427</v>
      </c>
      <c r="W30" s="1742">
        <v>1.5574999999999999</v>
      </c>
      <c r="X30" s="1742">
        <v>1.5574999999999999</v>
      </c>
      <c r="Y30" s="1742">
        <v>11.986000000000001</v>
      </c>
      <c r="Z30" s="2129">
        <v>3.6791064835044129E-2</v>
      </c>
      <c r="AA30" s="2129">
        <v>0.13464961351854229</v>
      </c>
      <c r="AB30" s="2150">
        <v>0.1714406783535864</v>
      </c>
    </row>
    <row r="31" spans="2:28">
      <c r="B31" s="89">
        <v>47</v>
      </c>
      <c r="C31" s="1">
        <v>0.39500000000000002</v>
      </c>
      <c r="D31" s="1">
        <v>12.103</v>
      </c>
      <c r="E31" s="1">
        <v>2.6040000000000001</v>
      </c>
      <c r="F31" s="1">
        <v>2.6040000000000001</v>
      </c>
      <c r="G31" s="1">
        <v>11.708</v>
      </c>
      <c r="H31" s="747">
        <v>3.3737615305773828E-2</v>
      </c>
      <c r="I31" s="747">
        <v>0.22241202596515203</v>
      </c>
      <c r="J31" s="2135">
        <v>0.25614964127092588</v>
      </c>
      <c r="K31" s="89">
        <v>47</v>
      </c>
      <c r="L31" s="1">
        <v>0.435</v>
      </c>
      <c r="M31" s="1">
        <v>13.452</v>
      </c>
      <c r="N31" s="1462">
        <v>0.60099999999999998</v>
      </c>
      <c r="O31" s="1">
        <v>0.60099999999999998</v>
      </c>
      <c r="P31" s="1">
        <v>13.016999999999999</v>
      </c>
      <c r="Q31" s="747">
        <v>3.3417838211569489E-2</v>
      </c>
      <c r="R31" s="747">
        <v>4.6170392563570715E-2</v>
      </c>
      <c r="S31" s="2136">
        <v>7.9588230775140212E-2</v>
      </c>
      <c r="T31" s="89">
        <v>47</v>
      </c>
      <c r="U31" s="746">
        <v>0.41500000000000004</v>
      </c>
      <c r="V31" s="746">
        <v>12.7775</v>
      </c>
      <c r="W31" s="746">
        <v>1.6025</v>
      </c>
      <c r="X31" s="746">
        <v>1.6025</v>
      </c>
      <c r="Y31" s="746">
        <v>12.362500000000001</v>
      </c>
      <c r="Z31" s="2124">
        <v>3.3577726758671655E-2</v>
      </c>
      <c r="AA31" s="2124">
        <v>0.13429120926436136</v>
      </c>
      <c r="AB31" s="2151">
        <v>0.16786893602303304</v>
      </c>
    </row>
    <row r="32" spans="2:28">
      <c r="B32" s="2134">
        <v>48</v>
      </c>
      <c r="C32" s="2126">
        <v>0.371</v>
      </c>
      <c r="D32" s="2126">
        <v>12.455</v>
      </c>
      <c r="E32" s="2126">
        <v>2.6819999999999999</v>
      </c>
      <c r="F32" s="2126">
        <v>2.6819999999999999</v>
      </c>
      <c r="G32" s="2126">
        <v>12.084</v>
      </c>
      <c r="H32" s="2127">
        <v>3.0701754385964914E-2</v>
      </c>
      <c r="I32" s="2127">
        <v>0.22194637537239326</v>
      </c>
      <c r="J32" s="2135">
        <v>0.25264812975835815</v>
      </c>
      <c r="K32" s="2134">
        <v>48</v>
      </c>
      <c r="L32" s="2126">
        <v>0.40300000000000002</v>
      </c>
      <c r="M32" s="2126">
        <v>13.823</v>
      </c>
      <c r="N32" s="2128">
        <v>0.61299999999999999</v>
      </c>
      <c r="O32" s="2126">
        <v>0.61299999999999999</v>
      </c>
      <c r="P32" s="2126">
        <v>13.42</v>
      </c>
      <c r="Q32" s="2127">
        <v>3.0029806259314458E-2</v>
      </c>
      <c r="R32" s="2127">
        <v>4.5678092399403875E-2</v>
      </c>
      <c r="S32" s="2135">
        <v>7.5707898658718326E-2</v>
      </c>
      <c r="T32" s="2134">
        <v>48</v>
      </c>
      <c r="U32" s="1742">
        <v>0.38700000000000001</v>
      </c>
      <c r="V32" s="1742">
        <v>13.138999999999999</v>
      </c>
      <c r="W32" s="1742">
        <v>1.6475</v>
      </c>
      <c r="X32" s="1742">
        <v>1.6475</v>
      </c>
      <c r="Y32" s="1742">
        <v>12.751999999999999</v>
      </c>
      <c r="Z32" s="2129">
        <v>3.0365780322639688E-2</v>
      </c>
      <c r="AA32" s="2129">
        <v>0.13381223388589858</v>
      </c>
      <c r="AB32" s="2150">
        <v>0.16417801420853823</v>
      </c>
    </row>
    <row r="33" spans="2:28">
      <c r="B33" s="89">
        <v>49</v>
      </c>
      <c r="C33" s="1">
        <v>0.34399999999999997</v>
      </c>
      <c r="D33" s="1">
        <v>12.82</v>
      </c>
      <c r="E33" s="1">
        <v>2.758</v>
      </c>
      <c r="F33" s="1">
        <v>2.758</v>
      </c>
      <c r="G33" s="1">
        <v>12.476000000000001</v>
      </c>
      <c r="H33" s="747">
        <v>2.7572940044886179E-2</v>
      </c>
      <c r="I33" s="747">
        <v>0.22106444373196535</v>
      </c>
      <c r="J33" s="2135">
        <v>0.24863738377685152</v>
      </c>
      <c r="K33" s="89">
        <v>49</v>
      </c>
      <c r="L33" s="1">
        <v>0.36899999999999999</v>
      </c>
      <c r="M33" s="1">
        <v>14.207000000000001</v>
      </c>
      <c r="N33" s="1462">
        <v>0.624</v>
      </c>
      <c r="O33" s="1">
        <v>0.624</v>
      </c>
      <c r="P33" s="1">
        <v>13.838000000000001</v>
      </c>
      <c r="Q33" s="747">
        <v>2.6665703136291369E-2</v>
      </c>
      <c r="R33" s="747">
        <v>4.5093221563809793E-2</v>
      </c>
      <c r="S33" s="2136">
        <v>7.1758924700101159E-2</v>
      </c>
      <c r="T33" s="89">
        <v>49</v>
      </c>
      <c r="U33" s="746">
        <v>0.35649999999999998</v>
      </c>
      <c r="V33" s="746">
        <v>13.513500000000001</v>
      </c>
      <c r="W33" s="746">
        <v>1.6910000000000001</v>
      </c>
      <c r="X33" s="746">
        <v>1.6910000000000001</v>
      </c>
      <c r="Y33" s="746">
        <v>13.157</v>
      </c>
      <c r="Z33" s="2124">
        <v>2.7119321590588774E-2</v>
      </c>
      <c r="AA33" s="2124">
        <v>0.13307883264788756</v>
      </c>
      <c r="AB33" s="2151">
        <v>0.16019815423847633</v>
      </c>
    </row>
    <row r="34" spans="2:28">
      <c r="B34" s="2134">
        <v>50</v>
      </c>
      <c r="C34" s="2126">
        <v>0.314</v>
      </c>
      <c r="D34" s="2126">
        <v>13.196999999999999</v>
      </c>
      <c r="E34" s="2126">
        <v>2.8330000000000002</v>
      </c>
      <c r="F34" s="2126">
        <v>2.8330000000000002</v>
      </c>
      <c r="G34" s="2126">
        <v>12.882999999999999</v>
      </c>
      <c r="H34" s="2127">
        <v>2.4373204998835676E-2</v>
      </c>
      <c r="I34" s="2127">
        <v>0.21990219669331681</v>
      </c>
      <c r="J34" s="2135">
        <v>0.24427540169215251</v>
      </c>
      <c r="K34" s="2134">
        <v>50</v>
      </c>
      <c r="L34" s="2126">
        <v>0.33300000000000002</v>
      </c>
      <c r="M34" s="2126">
        <v>14.603999999999999</v>
      </c>
      <c r="N34" s="2128">
        <v>0.63400000000000001</v>
      </c>
      <c r="O34" s="2126">
        <v>0.63400000000000001</v>
      </c>
      <c r="P34" s="2126">
        <v>14.270999999999999</v>
      </c>
      <c r="Q34" s="2127">
        <v>2.3334034055076731E-2</v>
      </c>
      <c r="R34" s="2127">
        <v>4.4425758531287232E-2</v>
      </c>
      <c r="S34" s="2135">
        <v>6.7759792586363971E-2</v>
      </c>
      <c r="T34" s="2134">
        <v>50</v>
      </c>
      <c r="U34" s="1742">
        <v>0.32350000000000001</v>
      </c>
      <c r="V34" s="1742">
        <v>13.900499999999999</v>
      </c>
      <c r="W34" s="1742">
        <v>1.7335</v>
      </c>
      <c r="X34" s="1742">
        <v>1.7335</v>
      </c>
      <c r="Y34" s="1742">
        <v>13.576999999999998</v>
      </c>
      <c r="Z34" s="2129">
        <v>2.3853619526956204E-2</v>
      </c>
      <c r="AA34" s="2129">
        <v>0.13216397761230203</v>
      </c>
      <c r="AB34" s="2150">
        <v>0.15601759713925822</v>
      </c>
    </row>
    <row r="35" spans="2:28">
      <c r="B35" s="89">
        <v>51</v>
      </c>
      <c r="C35" s="1">
        <v>0.28100000000000003</v>
      </c>
      <c r="D35" s="1">
        <v>13.587999999999999</v>
      </c>
      <c r="E35" s="1">
        <v>2.907</v>
      </c>
      <c r="F35" s="1">
        <v>2.907</v>
      </c>
      <c r="G35" s="1">
        <v>13.306999999999999</v>
      </c>
      <c r="H35" s="747">
        <v>2.1116705493349368E-2</v>
      </c>
      <c r="I35" s="747">
        <v>0.21845645149169612</v>
      </c>
      <c r="J35" s="2135">
        <v>0.2395731569850455</v>
      </c>
      <c r="K35" s="89">
        <v>51</v>
      </c>
      <c r="L35" s="1">
        <v>0.29499999999999998</v>
      </c>
      <c r="M35" s="1">
        <v>15.013</v>
      </c>
      <c r="N35" s="1462">
        <v>0.64400000000000002</v>
      </c>
      <c r="O35" s="1">
        <v>0.64400000000000002</v>
      </c>
      <c r="P35" s="1">
        <v>14.718</v>
      </c>
      <c r="Q35" s="747">
        <v>2.0043484169044706E-2</v>
      </c>
      <c r="R35" s="747">
        <v>4.3755945101236579E-2</v>
      </c>
      <c r="S35" s="2136">
        <v>6.3799429270281288E-2</v>
      </c>
      <c r="T35" s="89">
        <v>51</v>
      </c>
      <c r="U35" s="746">
        <v>0.28800000000000003</v>
      </c>
      <c r="V35" s="746">
        <v>14.3005</v>
      </c>
      <c r="W35" s="746">
        <v>1.7755000000000001</v>
      </c>
      <c r="X35" s="746">
        <v>1.7755000000000001</v>
      </c>
      <c r="Y35" s="746">
        <v>14.012499999999999</v>
      </c>
      <c r="Z35" s="2124">
        <v>2.0580094831197035E-2</v>
      </c>
      <c r="AA35" s="2124">
        <v>0.13110619829646636</v>
      </c>
      <c r="AB35" s="2151">
        <v>0.15168629312766341</v>
      </c>
    </row>
    <row r="36" spans="2:28">
      <c r="B36" s="2134">
        <v>52</v>
      </c>
      <c r="C36" s="2126">
        <v>0.246</v>
      </c>
      <c r="D36" s="2126">
        <v>13.993</v>
      </c>
      <c r="E36" s="2126">
        <v>2.9790000000000001</v>
      </c>
      <c r="F36" s="2126">
        <v>2.9790000000000001</v>
      </c>
      <c r="G36" s="2126">
        <v>13.747</v>
      </c>
      <c r="H36" s="2127">
        <v>1.7894813413835746E-2</v>
      </c>
      <c r="I36" s="2127">
        <v>0.21670182585291337</v>
      </c>
      <c r="J36" s="2135">
        <v>0.23459663926674912</v>
      </c>
      <c r="K36" s="2134">
        <v>52</v>
      </c>
      <c r="L36" s="2126">
        <v>0.254</v>
      </c>
      <c r="M36" s="2126">
        <v>15.436</v>
      </c>
      <c r="N36" s="2128">
        <v>0.65200000000000002</v>
      </c>
      <c r="O36" s="2126">
        <v>0.65200000000000002</v>
      </c>
      <c r="P36" s="2126">
        <v>15.182</v>
      </c>
      <c r="Q36" s="2127">
        <v>1.6730338558819655E-2</v>
      </c>
      <c r="R36" s="2127">
        <v>4.2945593465946515E-2</v>
      </c>
      <c r="S36" s="2135">
        <v>5.9675932024766169E-2</v>
      </c>
      <c r="T36" s="2134">
        <v>52</v>
      </c>
      <c r="U36" s="1742">
        <v>0.25</v>
      </c>
      <c r="V36" s="1742">
        <v>14.714500000000001</v>
      </c>
      <c r="W36" s="1742">
        <v>1.8155000000000001</v>
      </c>
      <c r="X36" s="1742">
        <v>1.8155000000000001</v>
      </c>
      <c r="Y36" s="1742">
        <v>14.464500000000001</v>
      </c>
      <c r="Z36" s="2129">
        <v>1.73125759863277E-2</v>
      </c>
      <c r="AA36" s="2129">
        <v>0.12982370965942994</v>
      </c>
      <c r="AB36" s="2150">
        <v>0.14713628564575765</v>
      </c>
    </row>
    <row r="37" spans="2:28">
      <c r="B37" s="89">
        <v>53</v>
      </c>
      <c r="C37" s="1">
        <v>0.20799999999999999</v>
      </c>
      <c r="D37" s="1">
        <v>14.414999999999999</v>
      </c>
      <c r="E37" s="1">
        <v>3.05</v>
      </c>
      <c r="F37" s="1">
        <v>3.05</v>
      </c>
      <c r="G37" s="1">
        <v>14.206999999999999</v>
      </c>
      <c r="H37" s="747">
        <v>1.4640670092208067E-2</v>
      </c>
      <c r="I37" s="747">
        <v>0.21468290279439714</v>
      </c>
      <c r="J37" s="2135">
        <v>0.22932357288660521</v>
      </c>
      <c r="K37" s="89">
        <v>53</v>
      </c>
      <c r="L37" s="1">
        <v>0.21299999999999999</v>
      </c>
      <c r="M37" s="1">
        <v>15.874000000000001</v>
      </c>
      <c r="N37" s="1462">
        <v>0.66</v>
      </c>
      <c r="O37" s="1">
        <v>0.66</v>
      </c>
      <c r="P37" s="1">
        <v>15.661000000000001</v>
      </c>
      <c r="Q37" s="747">
        <v>1.3600664069982758E-2</v>
      </c>
      <c r="R37" s="747">
        <v>4.2142902752059251E-2</v>
      </c>
      <c r="S37" s="2136">
        <v>5.5743566822042012E-2</v>
      </c>
      <c r="T37" s="89">
        <v>53</v>
      </c>
      <c r="U37" s="746">
        <v>0.21049999999999999</v>
      </c>
      <c r="V37" s="746">
        <v>15.144500000000001</v>
      </c>
      <c r="W37" s="746">
        <v>1.855</v>
      </c>
      <c r="X37" s="746">
        <v>1.855</v>
      </c>
      <c r="Y37" s="746">
        <v>14.934000000000001</v>
      </c>
      <c r="Z37" s="2124">
        <v>1.4120667081095412E-2</v>
      </c>
      <c r="AA37" s="2124">
        <v>0.1284129027732282</v>
      </c>
      <c r="AB37" s="2151">
        <v>0.14253356985432361</v>
      </c>
    </row>
    <row r="38" spans="2:28">
      <c r="B38" s="2134">
        <v>54</v>
      </c>
      <c r="C38" s="2126">
        <v>0.16900000000000001</v>
      </c>
      <c r="D38" s="2126">
        <v>14.853</v>
      </c>
      <c r="E38" s="2126">
        <v>3.12</v>
      </c>
      <c r="F38" s="2126">
        <v>3.12</v>
      </c>
      <c r="G38" s="2126">
        <v>14.683999999999999</v>
      </c>
      <c r="H38" s="2127">
        <v>1.1509125578861346E-2</v>
      </c>
      <c r="I38" s="2127">
        <v>0.21247616453282486</v>
      </c>
      <c r="J38" s="2135">
        <v>0.22398529011168622</v>
      </c>
      <c r="K38" s="2134">
        <v>54</v>
      </c>
      <c r="L38" s="2126">
        <v>0.17100000000000001</v>
      </c>
      <c r="M38" s="2126">
        <v>16.327999999999999</v>
      </c>
      <c r="N38" s="2128">
        <v>0.66700000000000004</v>
      </c>
      <c r="O38" s="2126">
        <v>0.66700000000000004</v>
      </c>
      <c r="P38" s="2126">
        <v>16.157</v>
      </c>
      <c r="Q38" s="2127">
        <v>1.058364795444699E-2</v>
      </c>
      <c r="R38" s="2127">
        <v>4.1282416290152876E-2</v>
      </c>
      <c r="S38" s="2135">
        <v>5.1866064244599865E-2</v>
      </c>
      <c r="T38" s="2134">
        <v>54</v>
      </c>
      <c r="U38" s="1742">
        <v>0.17</v>
      </c>
      <c r="V38" s="1742">
        <v>15.590499999999999</v>
      </c>
      <c r="W38" s="1742">
        <v>1.8935</v>
      </c>
      <c r="X38" s="1742">
        <v>1.8935</v>
      </c>
      <c r="Y38" s="1742">
        <v>15.420500000000001</v>
      </c>
      <c r="Z38" s="2129">
        <v>1.1046386766654169E-2</v>
      </c>
      <c r="AA38" s="2129">
        <v>0.12687929041148888</v>
      </c>
      <c r="AB38" s="2150">
        <v>0.13792567717814305</v>
      </c>
    </row>
    <row r="39" spans="2:28">
      <c r="B39" s="89">
        <v>55</v>
      </c>
      <c r="C39" s="1">
        <v>0.13</v>
      </c>
      <c r="D39" s="1">
        <v>15.308999999999999</v>
      </c>
      <c r="E39" s="1">
        <v>3.19</v>
      </c>
      <c r="F39" s="1">
        <v>3.19</v>
      </c>
      <c r="G39" s="1">
        <v>15.178999999999998</v>
      </c>
      <c r="H39" s="747">
        <v>8.564464062191187E-3</v>
      </c>
      <c r="I39" s="747">
        <v>0.21015877198761448</v>
      </c>
      <c r="J39" s="2135">
        <v>0.21872323604980567</v>
      </c>
      <c r="K39" s="89">
        <v>55</v>
      </c>
      <c r="L39" s="1">
        <v>0.129</v>
      </c>
      <c r="M39" s="1">
        <v>16.798999999999999</v>
      </c>
      <c r="N39" s="1462">
        <v>0.67400000000000004</v>
      </c>
      <c r="O39" s="1">
        <v>0.67400000000000004</v>
      </c>
      <c r="P39" s="1">
        <v>16.669999999999998</v>
      </c>
      <c r="Q39" s="747">
        <v>7.7384523095380938E-3</v>
      </c>
      <c r="R39" s="747">
        <v>4.0431913617276549E-2</v>
      </c>
      <c r="S39" s="2136">
        <v>4.8170365926814646E-2</v>
      </c>
      <c r="T39" s="89">
        <v>55</v>
      </c>
      <c r="U39" s="746">
        <v>0.1295</v>
      </c>
      <c r="V39" s="746">
        <v>16.053999999999998</v>
      </c>
      <c r="W39" s="746">
        <v>1.9319999999999999</v>
      </c>
      <c r="X39" s="746">
        <v>1.9319999999999999</v>
      </c>
      <c r="Y39" s="746">
        <v>15.924499999999998</v>
      </c>
      <c r="Z39" s="2124">
        <v>8.15145818586464E-3</v>
      </c>
      <c r="AA39" s="2124">
        <v>0.12529534280244553</v>
      </c>
      <c r="AB39" s="2151">
        <v>0.13344680098831016</v>
      </c>
    </row>
    <row r="40" spans="2:28">
      <c r="B40" s="2134">
        <v>56</v>
      </c>
      <c r="C40" s="2126">
        <v>9.0999999999999998E-2</v>
      </c>
      <c r="D40" s="2126">
        <v>15.784000000000001</v>
      </c>
      <c r="E40" s="2126">
        <v>3.26</v>
      </c>
      <c r="F40" s="2126">
        <v>3.26</v>
      </c>
      <c r="G40" s="2126">
        <v>15.693000000000001</v>
      </c>
      <c r="H40" s="2127">
        <v>5.7987637800293122E-3</v>
      </c>
      <c r="I40" s="2127">
        <v>0.20773593321863248</v>
      </c>
      <c r="J40" s="2135">
        <v>0.21353469699866179</v>
      </c>
      <c r="K40" s="2134">
        <v>56</v>
      </c>
      <c r="L40" s="2126">
        <v>8.7999999999999995E-2</v>
      </c>
      <c r="M40" s="2126">
        <v>17.288</v>
      </c>
      <c r="N40" s="2128">
        <v>0.68</v>
      </c>
      <c r="O40" s="2126">
        <v>0.68</v>
      </c>
      <c r="P40" s="2126">
        <v>17.2</v>
      </c>
      <c r="Q40" s="2127">
        <v>5.1162790697674414E-3</v>
      </c>
      <c r="R40" s="2127">
        <v>3.9534883720930239E-2</v>
      </c>
      <c r="S40" s="2135">
        <v>4.4651162790697682E-2</v>
      </c>
      <c r="T40" s="2134">
        <v>56</v>
      </c>
      <c r="U40" s="1742">
        <v>8.9499999999999996E-2</v>
      </c>
      <c r="V40" s="1742">
        <v>16.536000000000001</v>
      </c>
      <c r="W40" s="1742">
        <v>1.97</v>
      </c>
      <c r="X40" s="1742">
        <v>1.97</v>
      </c>
      <c r="Y40" s="1742">
        <v>16.4465</v>
      </c>
      <c r="Z40" s="2129">
        <v>5.4575214248983768E-3</v>
      </c>
      <c r="AA40" s="2129">
        <v>0.12363540846978135</v>
      </c>
      <c r="AB40" s="2150">
        <v>0.12909292989467974</v>
      </c>
    </row>
    <row r="41" spans="2:28">
      <c r="B41" s="89">
        <v>57</v>
      </c>
      <c r="C41" s="1">
        <v>5.5E-2</v>
      </c>
      <c r="D41" s="1">
        <v>16.279</v>
      </c>
      <c r="E41" s="1">
        <v>3.3319999999999999</v>
      </c>
      <c r="F41" s="1">
        <v>3.3319999999999999</v>
      </c>
      <c r="G41" s="1">
        <v>16.224</v>
      </c>
      <c r="H41" s="747">
        <v>3.3900394477317554E-3</v>
      </c>
      <c r="I41" s="747">
        <v>0.20537475345167652</v>
      </c>
      <c r="J41" s="2135">
        <v>0.20876479289940827</v>
      </c>
      <c r="K41" s="89">
        <v>57</v>
      </c>
      <c r="L41" s="1">
        <v>5.2999999999999999E-2</v>
      </c>
      <c r="M41" s="1">
        <v>17.798999999999999</v>
      </c>
      <c r="N41" s="1462">
        <v>0.68600000000000005</v>
      </c>
      <c r="O41" s="1">
        <v>0.68600000000000005</v>
      </c>
      <c r="P41" s="1">
        <v>17.745999999999999</v>
      </c>
      <c r="Q41" s="747">
        <v>2.9865885269919983E-3</v>
      </c>
      <c r="R41" s="747">
        <v>3.8656598670122853E-2</v>
      </c>
      <c r="S41" s="2136">
        <v>4.164318719711485E-2</v>
      </c>
      <c r="T41" s="89">
        <v>57</v>
      </c>
      <c r="U41" s="746">
        <v>5.3999999999999999E-2</v>
      </c>
      <c r="V41" s="746">
        <v>17.039000000000001</v>
      </c>
      <c r="W41" s="746">
        <v>2.0089999999999999</v>
      </c>
      <c r="X41" s="746">
        <v>2.0089999999999999</v>
      </c>
      <c r="Y41" s="746">
        <v>16.984999999999999</v>
      </c>
      <c r="Z41" s="2124">
        <v>3.1883139873618771E-3</v>
      </c>
      <c r="AA41" s="2124">
        <v>0.12201567606089969</v>
      </c>
      <c r="AB41" s="2151">
        <v>0.12520399004826155</v>
      </c>
    </row>
    <row r="42" spans="2:28">
      <c r="B42" s="2134">
        <v>58</v>
      </c>
      <c r="C42" s="2126">
        <v>2.5999999999999999E-2</v>
      </c>
      <c r="D42" s="2126">
        <v>16.797000000000001</v>
      </c>
      <c r="E42" s="2126">
        <v>3.407</v>
      </c>
      <c r="F42" s="2126">
        <v>3.407</v>
      </c>
      <c r="G42" s="2126">
        <v>16.771000000000001</v>
      </c>
      <c r="H42" s="2127">
        <v>1.5502951523463119E-3</v>
      </c>
      <c r="I42" s="2127">
        <v>0.20314829169399559</v>
      </c>
      <c r="J42" s="2135">
        <v>0.2046985868463419</v>
      </c>
      <c r="K42" s="2134">
        <v>58</v>
      </c>
      <c r="L42" s="2126">
        <v>2.4E-2</v>
      </c>
      <c r="M42" s="2126">
        <v>18.332999999999998</v>
      </c>
      <c r="N42" s="2128">
        <v>0.69299999999999995</v>
      </c>
      <c r="O42" s="2126">
        <v>0.69299999999999995</v>
      </c>
      <c r="P42" s="2126">
        <v>18.308999999999997</v>
      </c>
      <c r="Q42" s="2127">
        <v>1.3108307389808292E-3</v>
      </c>
      <c r="R42" s="2127">
        <v>3.7850237588071441E-2</v>
      </c>
      <c r="S42" s="2135">
        <v>3.9161068327052267E-2</v>
      </c>
      <c r="T42" s="2134">
        <v>58</v>
      </c>
      <c r="U42" s="1742">
        <v>2.5000000000000001E-2</v>
      </c>
      <c r="V42" s="1742">
        <v>17.564999999999998</v>
      </c>
      <c r="W42" s="1742">
        <v>2.0499999999999998</v>
      </c>
      <c r="X42" s="1742">
        <v>2.0499999999999998</v>
      </c>
      <c r="Y42" s="1742">
        <v>17.54</v>
      </c>
      <c r="Z42" s="2129">
        <v>1.4305629456635707E-3</v>
      </c>
      <c r="AA42" s="2129">
        <v>0.12049926464103351</v>
      </c>
      <c r="AB42" s="2150">
        <v>0.12192982758669708</v>
      </c>
    </row>
    <row r="43" spans="2:28">
      <c r="B43" s="89">
        <v>59</v>
      </c>
      <c r="C43" s="1">
        <v>6.0000000000000001E-3</v>
      </c>
      <c r="D43" s="1">
        <v>17.341000000000001</v>
      </c>
      <c r="E43" s="1">
        <v>3.4860000000000002</v>
      </c>
      <c r="F43" s="1">
        <v>3.4860000000000002</v>
      </c>
      <c r="G43" s="1">
        <v>17.335000000000001</v>
      </c>
      <c r="H43" s="747">
        <v>3.4612056533025667E-4</v>
      </c>
      <c r="I43" s="747">
        <v>0.20109604845687915</v>
      </c>
      <c r="J43" s="2135">
        <v>0.20144216902220941</v>
      </c>
      <c r="K43" s="89">
        <v>59</v>
      </c>
      <c r="L43" s="1">
        <v>6.0000000000000001E-3</v>
      </c>
      <c r="M43" s="1">
        <v>18.896000000000001</v>
      </c>
      <c r="N43" s="1462">
        <v>0.7</v>
      </c>
      <c r="O43" s="1">
        <v>0.7</v>
      </c>
      <c r="P43" s="1">
        <v>18.89</v>
      </c>
      <c r="Q43" s="747">
        <v>3.1762837480148225E-4</v>
      </c>
      <c r="R43" s="747">
        <v>3.7056643726839596E-2</v>
      </c>
      <c r="S43" s="2136">
        <v>3.7374272101641078E-2</v>
      </c>
      <c r="T43" s="89">
        <v>59</v>
      </c>
      <c r="U43" s="746">
        <v>6.0000000000000001E-3</v>
      </c>
      <c r="V43" s="746">
        <v>18.118500000000001</v>
      </c>
      <c r="W43" s="746">
        <v>2.093</v>
      </c>
      <c r="X43" s="746">
        <v>2.093</v>
      </c>
      <c r="Y43" s="746">
        <v>18.112500000000001</v>
      </c>
      <c r="Z43" s="2124">
        <v>3.3187447006586949E-4</v>
      </c>
      <c r="AA43" s="2124">
        <v>0.11907634609185937</v>
      </c>
      <c r="AB43" s="2151">
        <v>0.11940822056192524</v>
      </c>
    </row>
    <row r="44" spans="2:28">
      <c r="B44" s="2155">
        <v>60</v>
      </c>
      <c r="C44" s="2156">
        <v>0</v>
      </c>
      <c r="D44" s="2156">
        <v>17.913</v>
      </c>
      <c r="E44" s="2156">
        <v>3.569</v>
      </c>
      <c r="F44" s="2156">
        <v>3.569</v>
      </c>
      <c r="G44" s="2156">
        <v>17.913</v>
      </c>
      <c r="H44" s="2157">
        <v>0</v>
      </c>
      <c r="I44" s="2157">
        <v>0.19924077485624964</v>
      </c>
      <c r="J44" s="2158">
        <v>0.19924077485624964</v>
      </c>
      <c r="K44" s="2155">
        <v>60</v>
      </c>
      <c r="L44" s="2156">
        <v>0</v>
      </c>
      <c r="M44" s="2156">
        <v>19.489000000000001</v>
      </c>
      <c r="N44" s="2159">
        <v>0.70699999999999996</v>
      </c>
      <c r="O44" s="2156">
        <v>0.70699999999999996</v>
      </c>
      <c r="P44" s="2156">
        <v>19.489000000000001</v>
      </c>
      <c r="Q44" s="2157">
        <v>0</v>
      </c>
      <c r="R44" s="2157">
        <v>3.6276874134126939E-2</v>
      </c>
      <c r="S44" s="2158">
        <v>3.6276874134126939E-2</v>
      </c>
      <c r="T44" s="2155">
        <v>60</v>
      </c>
      <c r="U44" s="2160">
        <v>0</v>
      </c>
      <c r="V44" s="2160">
        <v>18.701000000000001</v>
      </c>
      <c r="W44" s="2160">
        <v>2.1379999999999999</v>
      </c>
      <c r="X44" s="2160">
        <v>2.1379999999999999</v>
      </c>
      <c r="Y44" s="2160">
        <v>18.701000000000001</v>
      </c>
      <c r="Z44" s="2161">
        <v>0</v>
      </c>
      <c r="AA44" s="2161">
        <v>0.11775882449518829</v>
      </c>
      <c r="AB44" s="2162">
        <v>0.11775882449518829</v>
      </c>
    </row>
    <row r="45" spans="2:28">
      <c r="B45" s="89">
        <v>61</v>
      </c>
      <c r="C45" s="1">
        <v>0</v>
      </c>
      <c r="D45" s="1">
        <v>17.553000000000001</v>
      </c>
      <c r="E45" s="1">
        <v>3.5979999999999999</v>
      </c>
      <c r="F45" s="1">
        <v>3.5979999999999999</v>
      </c>
      <c r="G45" s="1">
        <v>17.553000000000001</v>
      </c>
      <c r="H45" s="747">
        <v>0</v>
      </c>
      <c r="I45" s="747">
        <v>0.20497920583376059</v>
      </c>
      <c r="J45" s="2135">
        <v>0.20497920583376059</v>
      </c>
      <c r="K45" s="89">
        <v>61</v>
      </c>
      <c r="L45" s="1">
        <v>0</v>
      </c>
      <c r="M45" s="1">
        <v>19.131</v>
      </c>
      <c r="N45" s="1462">
        <v>0.69199999999999995</v>
      </c>
      <c r="O45" s="1">
        <v>0.69199999999999995</v>
      </c>
      <c r="P45" s="1">
        <v>19.131</v>
      </c>
      <c r="Q45" s="747">
        <v>0</v>
      </c>
      <c r="R45" s="747">
        <v>3.6171658564633315E-2</v>
      </c>
      <c r="S45" s="2136">
        <v>3.6171658564633315E-2</v>
      </c>
      <c r="T45" s="89">
        <v>61</v>
      </c>
      <c r="U45" s="746">
        <v>0</v>
      </c>
      <c r="V45" s="746">
        <v>18.341999999999999</v>
      </c>
      <c r="W45" s="746">
        <v>2.145</v>
      </c>
      <c r="X45" s="746">
        <v>2.145</v>
      </c>
      <c r="Y45" s="746">
        <v>18.341999999999999</v>
      </c>
      <c r="Z45" s="2124">
        <v>0</v>
      </c>
      <c r="AA45" s="2124">
        <v>0.12057543219919695</v>
      </c>
      <c r="AB45" s="2151">
        <v>0.12057543219919695</v>
      </c>
    </row>
    <row r="46" spans="2:28">
      <c r="B46" s="2134">
        <v>62</v>
      </c>
      <c r="C46" s="2126">
        <v>0</v>
      </c>
      <c r="D46" s="2126">
        <v>17.187000000000001</v>
      </c>
      <c r="E46" s="2126">
        <v>3.6219999999999999</v>
      </c>
      <c r="F46" s="2126">
        <v>3.6219999999999999</v>
      </c>
      <c r="G46" s="2126">
        <v>17.187000000000001</v>
      </c>
      <c r="H46" s="2127">
        <v>0</v>
      </c>
      <c r="I46" s="2127">
        <v>0.21074067609239538</v>
      </c>
      <c r="J46" s="2135">
        <v>0.21074067609239538</v>
      </c>
      <c r="K46" s="2134">
        <v>62</v>
      </c>
      <c r="L46" s="2126">
        <v>0</v>
      </c>
      <c r="M46" s="2126">
        <v>18.765999999999998</v>
      </c>
      <c r="N46" s="2128">
        <v>0.67600000000000005</v>
      </c>
      <c r="O46" s="2126">
        <v>0.67600000000000005</v>
      </c>
      <c r="P46" s="2126">
        <v>18.765999999999998</v>
      </c>
      <c r="Q46" s="2127">
        <v>0</v>
      </c>
      <c r="R46" s="2127">
        <v>3.6022594053074716E-2</v>
      </c>
      <c r="S46" s="2135">
        <v>3.6022594053074716E-2</v>
      </c>
      <c r="T46" s="2134">
        <v>62</v>
      </c>
      <c r="U46" s="1742">
        <v>0</v>
      </c>
      <c r="V46" s="1742">
        <v>17.976500000000001</v>
      </c>
      <c r="W46" s="1742">
        <v>2.149</v>
      </c>
      <c r="X46" s="1742">
        <v>2.149</v>
      </c>
      <c r="Y46" s="1742">
        <v>17.976500000000001</v>
      </c>
      <c r="Z46" s="2129">
        <v>0</v>
      </c>
      <c r="AA46" s="2129">
        <v>0.12338163507273506</v>
      </c>
      <c r="AB46" s="2150">
        <v>0.12338163507273506</v>
      </c>
    </row>
    <row r="47" spans="2:28">
      <c r="B47" s="89">
        <v>63</v>
      </c>
      <c r="C47" s="1">
        <v>0</v>
      </c>
      <c r="D47" s="1">
        <v>16.815000000000001</v>
      </c>
      <c r="E47" s="1">
        <v>3.6419999999999999</v>
      </c>
      <c r="F47" s="1">
        <v>3.6419999999999999</v>
      </c>
      <c r="G47" s="1">
        <v>16.815000000000001</v>
      </c>
      <c r="H47" s="747">
        <v>0</v>
      </c>
      <c r="I47" s="747">
        <v>0.21659232827832289</v>
      </c>
      <c r="J47" s="2135">
        <v>0.21659232827832289</v>
      </c>
      <c r="K47" s="89">
        <v>63</v>
      </c>
      <c r="L47" s="1">
        <v>0</v>
      </c>
      <c r="M47" s="1">
        <v>18.393000000000001</v>
      </c>
      <c r="N47" s="1462">
        <v>0.65900000000000003</v>
      </c>
      <c r="O47" s="1">
        <v>0.65900000000000003</v>
      </c>
      <c r="P47" s="1">
        <v>18.393000000000001</v>
      </c>
      <c r="Q47" s="747">
        <v>0</v>
      </c>
      <c r="R47" s="747">
        <v>3.5828847931278204E-2</v>
      </c>
      <c r="S47" s="2136">
        <v>3.5828847931278204E-2</v>
      </c>
      <c r="T47" s="89">
        <v>63</v>
      </c>
      <c r="U47" s="746">
        <v>0</v>
      </c>
      <c r="V47" s="746">
        <v>17.603999999999999</v>
      </c>
      <c r="W47" s="746">
        <v>2.1505000000000001</v>
      </c>
      <c r="X47" s="746">
        <v>2.1505000000000001</v>
      </c>
      <c r="Y47" s="746">
        <v>17.603999999999999</v>
      </c>
      <c r="Z47" s="2124">
        <v>0</v>
      </c>
      <c r="AA47" s="2124">
        <v>0.12621058810480054</v>
      </c>
      <c r="AB47" s="2151">
        <v>0.12621058810480054</v>
      </c>
    </row>
    <row r="48" spans="2:28">
      <c r="B48" s="2134">
        <v>64</v>
      </c>
      <c r="C48" s="2126">
        <v>0</v>
      </c>
      <c r="D48" s="2126">
        <v>16.437999999999999</v>
      </c>
      <c r="E48" s="2126">
        <v>3.6579999999999999</v>
      </c>
      <c r="F48" s="2126">
        <v>3.6579999999999999</v>
      </c>
      <c r="G48" s="2126">
        <v>16.437999999999999</v>
      </c>
      <c r="H48" s="2127">
        <v>0</v>
      </c>
      <c r="I48" s="2127">
        <v>0.22253315488502251</v>
      </c>
      <c r="J48" s="2135">
        <v>0.22253315488502251</v>
      </c>
      <c r="K48" s="2134">
        <v>64</v>
      </c>
      <c r="L48" s="2126">
        <v>0</v>
      </c>
      <c r="M48" s="2126">
        <v>18.010999999999999</v>
      </c>
      <c r="N48" s="2128">
        <v>0.64100000000000001</v>
      </c>
      <c r="O48" s="2126">
        <v>0.64100000000000001</v>
      </c>
      <c r="P48" s="2126">
        <v>18.010999999999999</v>
      </c>
      <c r="Q48" s="2127">
        <v>0</v>
      </c>
      <c r="R48" s="2127">
        <v>3.5589362056521016E-2</v>
      </c>
      <c r="S48" s="2135">
        <v>3.5589362056521016E-2</v>
      </c>
      <c r="T48" s="2134">
        <v>64</v>
      </c>
      <c r="U48" s="1742">
        <v>0</v>
      </c>
      <c r="V48" s="1742">
        <v>17.224499999999999</v>
      </c>
      <c r="W48" s="1742">
        <v>2.1494999999999997</v>
      </c>
      <c r="X48" s="1742">
        <v>2.1494999999999997</v>
      </c>
      <c r="Y48" s="1742">
        <v>17.224499999999999</v>
      </c>
      <c r="Z48" s="2129">
        <v>0</v>
      </c>
      <c r="AA48" s="2129">
        <v>0.12906125847077177</v>
      </c>
      <c r="AB48" s="2150">
        <v>0.12906125847077177</v>
      </c>
    </row>
    <row r="49" spans="2:28">
      <c r="B49" s="89">
        <v>65</v>
      </c>
      <c r="C49" s="1">
        <v>0</v>
      </c>
      <c r="D49" s="1">
        <v>16.053000000000001</v>
      </c>
      <c r="E49" s="1">
        <v>3.6680000000000001</v>
      </c>
      <c r="F49" s="1">
        <v>3.6680000000000001</v>
      </c>
      <c r="G49" s="1">
        <v>16.053000000000001</v>
      </c>
      <c r="H49" s="747">
        <v>0</v>
      </c>
      <c r="I49" s="747">
        <v>0.2284931165514234</v>
      </c>
      <c r="J49" s="2136">
        <v>0.2284931165514234</v>
      </c>
      <c r="K49" s="89">
        <v>65</v>
      </c>
      <c r="L49" s="1">
        <v>0</v>
      </c>
      <c r="M49" s="1">
        <v>17.619</v>
      </c>
      <c r="N49" s="1462">
        <v>0.623</v>
      </c>
      <c r="O49" s="1">
        <v>0.623</v>
      </c>
      <c r="P49" s="1">
        <v>17.619</v>
      </c>
      <c r="Q49" s="747">
        <v>0</v>
      </c>
      <c r="R49" s="747">
        <v>3.5359555025824392E-2</v>
      </c>
      <c r="S49" s="2136">
        <v>3.5359555025824392E-2</v>
      </c>
      <c r="T49" s="89">
        <v>65</v>
      </c>
      <c r="U49" s="746">
        <v>0</v>
      </c>
      <c r="V49" s="746">
        <v>16.835999999999999</v>
      </c>
      <c r="W49" s="746">
        <v>2.1455000000000002</v>
      </c>
      <c r="X49" s="746">
        <v>2.1455000000000002</v>
      </c>
      <c r="Y49" s="746">
        <v>16.835999999999999</v>
      </c>
      <c r="Z49" s="967">
        <v>0</v>
      </c>
      <c r="AA49" s="967">
        <v>0.13192633578862389</v>
      </c>
      <c r="AB49" s="968">
        <v>0.13192633578862389</v>
      </c>
    </row>
    <row r="50" spans="2:28">
      <c r="B50" s="2134">
        <v>66</v>
      </c>
      <c r="C50" s="2126"/>
      <c r="D50" s="2126">
        <v>15.661</v>
      </c>
      <c r="E50" s="2126">
        <v>3.6739999999999999</v>
      </c>
      <c r="F50" s="2126">
        <v>3.6739999999999999</v>
      </c>
      <c r="G50" s="2126">
        <v>15.661</v>
      </c>
      <c r="H50" s="2127">
        <v>0</v>
      </c>
      <c r="I50" s="2127">
        <v>0.23459549198646318</v>
      </c>
      <c r="J50" s="2135">
        <v>0.23459549198646318</v>
      </c>
      <c r="K50" s="2134">
        <v>66</v>
      </c>
      <c r="L50" s="2126">
        <v>0</v>
      </c>
      <c r="M50" s="2126">
        <v>17.216999999999999</v>
      </c>
      <c r="N50" s="2128">
        <v>0.60399999999999998</v>
      </c>
      <c r="O50" s="2126">
        <v>0.60399999999999998</v>
      </c>
      <c r="P50" s="2126">
        <v>17.216999999999999</v>
      </c>
      <c r="Q50" s="2127">
        <v>0</v>
      </c>
      <c r="R50" s="2127">
        <v>3.5081605390021489E-2</v>
      </c>
      <c r="S50" s="2135">
        <v>3.5081605390021489E-2</v>
      </c>
      <c r="T50" s="2134">
        <v>66</v>
      </c>
      <c r="U50" s="1742">
        <v>0</v>
      </c>
      <c r="V50" s="1742">
        <v>16.439</v>
      </c>
      <c r="W50" s="1742">
        <v>2.1389999999999998</v>
      </c>
      <c r="X50" s="1742">
        <v>2.1389999999999998</v>
      </c>
      <c r="Y50" s="1742">
        <v>16.439</v>
      </c>
      <c r="Z50" s="2129">
        <v>0</v>
      </c>
      <c r="AA50" s="2129">
        <v>0.13483854868824233</v>
      </c>
      <c r="AB50" s="2150">
        <v>0.13483854868824233</v>
      </c>
    </row>
    <row r="51" spans="2:28">
      <c r="B51" s="89">
        <v>67</v>
      </c>
      <c r="C51" s="1"/>
      <c r="D51" s="1">
        <v>15.260999999999999</v>
      </c>
      <c r="E51" s="1">
        <v>3.6779999999999999</v>
      </c>
      <c r="F51" s="1">
        <v>3.6779999999999999</v>
      </c>
      <c r="G51" s="1">
        <v>15.260999999999999</v>
      </c>
      <c r="H51" s="747">
        <v>0</v>
      </c>
      <c r="I51" s="747">
        <v>0.24100648712404169</v>
      </c>
      <c r="J51" s="2135">
        <v>0.24100648712404169</v>
      </c>
      <c r="K51" s="89">
        <v>67</v>
      </c>
      <c r="L51" s="1">
        <v>0</v>
      </c>
      <c r="M51" s="1">
        <v>16.803000000000001</v>
      </c>
      <c r="N51" s="1462">
        <v>0.58599999999999997</v>
      </c>
      <c r="O51" s="1">
        <v>0.58599999999999997</v>
      </c>
      <c r="P51" s="1">
        <v>16.803000000000001</v>
      </c>
      <c r="Q51" s="747">
        <v>0</v>
      </c>
      <c r="R51" s="747">
        <v>3.4874724751532464E-2</v>
      </c>
      <c r="S51" s="2136">
        <v>3.4874724751532464E-2</v>
      </c>
      <c r="T51" s="89">
        <v>67</v>
      </c>
      <c r="U51" s="746">
        <v>0</v>
      </c>
      <c r="V51" s="746">
        <v>16.032</v>
      </c>
      <c r="W51" s="746">
        <v>2.1320000000000001</v>
      </c>
      <c r="X51" s="746">
        <v>2.1320000000000001</v>
      </c>
      <c r="Y51" s="746">
        <v>16.032</v>
      </c>
      <c r="Z51" s="2124">
        <v>0</v>
      </c>
      <c r="AA51" s="2124">
        <v>0.13794060593778706</v>
      </c>
      <c r="AB51" s="2151">
        <v>0.13794060593778706</v>
      </c>
    </row>
    <row r="52" spans="2:28">
      <c r="B52" s="2134">
        <v>68</v>
      </c>
      <c r="C52" s="2126"/>
      <c r="D52" s="2126">
        <v>14.851000000000001</v>
      </c>
      <c r="E52" s="2126">
        <v>3.68</v>
      </c>
      <c r="F52" s="2126">
        <v>3.68</v>
      </c>
      <c r="G52" s="2126">
        <v>14.851000000000001</v>
      </c>
      <c r="H52" s="2127">
        <v>0</v>
      </c>
      <c r="I52" s="2127">
        <v>0.24779476129553565</v>
      </c>
      <c r="J52" s="2135">
        <v>0.24779476129553565</v>
      </c>
      <c r="K52" s="2134">
        <v>68</v>
      </c>
      <c r="L52" s="2126">
        <v>0</v>
      </c>
      <c r="M52" s="2126">
        <v>16.378</v>
      </c>
      <c r="N52" s="2128">
        <v>0.56699999999999995</v>
      </c>
      <c r="O52" s="2126">
        <v>0.56699999999999995</v>
      </c>
      <c r="P52" s="2126">
        <v>16.378</v>
      </c>
      <c r="Q52" s="2127">
        <v>0</v>
      </c>
      <c r="R52" s="2127">
        <v>3.4619611674197089E-2</v>
      </c>
      <c r="S52" s="2135">
        <v>3.4619611674197089E-2</v>
      </c>
      <c r="T52" s="2134">
        <v>68</v>
      </c>
      <c r="U52" s="1742">
        <v>0</v>
      </c>
      <c r="V52" s="1742">
        <v>15.6145</v>
      </c>
      <c r="W52" s="1742">
        <v>2.1234999999999999</v>
      </c>
      <c r="X52" s="1742">
        <v>2.1234999999999999</v>
      </c>
      <c r="Y52" s="1742">
        <v>15.6145</v>
      </c>
      <c r="Z52" s="2129">
        <v>0</v>
      </c>
      <c r="AA52" s="2129">
        <v>0.14120718648486638</v>
      </c>
      <c r="AB52" s="2150">
        <v>0.14120718648486638</v>
      </c>
    </row>
    <row r="53" spans="2:28">
      <c r="B53" s="89">
        <v>69</v>
      </c>
      <c r="C53" s="1"/>
      <c r="D53" s="1">
        <v>14.432</v>
      </c>
      <c r="E53" s="1">
        <v>3.681</v>
      </c>
      <c r="F53" s="1">
        <v>3.681</v>
      </c>
      <c r="G53" s="1">
        <v>14.432</v>
      </c>
      <c r="H53" s="747">
        <v>0</v>
      </c>
      <c r="I53" s="747">
        <v>0.25505820399113083</v>
      </c>
      <c r="J53" s="2135">
        <v>0.25505820399113083</v>
      </c>
      <c r="K53" s="89">
        <v>69</v>
      </c>
      <c r="L53" s="1">
        <v>0</v>
      </c>
      <c r="M53" s="1">
        <v>15.94</v>
      </c>
      <c r="N53" s="1462">
        <v>0.54900000000000004</v>
      </c>
      <c r="O53" s="1">
        <v>0.54900000000000004</v>
      </c>
      <c r="P53" s="1">
        <v>15.94</v>
      </c>
      <c r="Q53" s="747">
        <v>0</v>
      </c>
      <c r="R53" s="747">
        <v>3.4441656210790469E-2</v>
      </c>
      <c r="S53" s="2136">
        <v>3.4441656210790469E-2</v>
      </c>
      <c r="T53" s="89">
        <v>69</v>
      </c>
      <c r="U53" s="746">
        <v>0</v>
      </c>
      <c r="V53" s="746">
        <v>15.186</v>
      </c>
      <c r="W53" s="746">
        <v>2.1150000000000002</v>
      </c>
      <c r="X53" s="746">
        <v>2.1150000000000002</v>
      </c>
      <c r="Y53" s="746">
        <v>15.186</v>
      </c>
      <c r="Z53" s="2124">
        <v>0</v>
      </c>
      <c r="AA53" s="2124">
        <v>0.14474993010096066</v>
      </c>
      <c r="AB53" s="2151">
        <v>0.14474993010096066</v>
      </c>
    </row>
    <row r="54" spans="2:28">
      <c r="B54" s="2134">
        <v>70</v>
      </c>
      <c r="C54" s="2126"/>
      <c r="D54" s="2126">
        <v>14.002000000000001</v>
      </c>
      <c r="E54" s="2126">
        <v>3.6789999999999998</v>
      </c>
      <c r="F54" s="2126">
        <v>3.6789999999999998</v>
      </c>
      <c r="G54" s="2126">
        <v>14.002000000000001</v>
      </c>
      <c r="H54" s="2127">
        <v>0</v>
      </c>
      <c r="I54" s="2127">
        <v>0.26274817883159546</v>
      </c>
      <c r="J54" s="2135">
        <v>0.26274817883159546</v>
      </c>
      <c r="K54" s="2134">
        <v>70</v>
      </c>
      <c r="L54" s="2126">
        <v>0</v>
      </c>
      <c r="M54" s="2126">
        <v>15.49</v>
      </c>
      <c r="N54" s="2128">
        <v>0.53</v>
      </c>
      <c r="O54" s="2126">
        <v>0.53</v>
      </c>
      <c r="P54" s="2126">
        <v>15.49</v>
      </c>
      <c r="Q54" s="2127">
        <v>0</v>
      </c>
      <c r="R54" s="2127">
        <v>3.4215622982569402E-2</v>
      </c>
      <c r="S54" s="2135">
        <v>3.4215622982569402E-2</v>
      </c>
      <c r="T54" s="2134">
        <v>70</v>
      </c>
      <c r="U54" s="1742">
        <v>0</v>
      </c>
      <c r="V54" s="1742">
        <v>14.746</v>
      </c>
      <c r="W54" s="1742">
        <v>2.1044999999999998</v>
      </c>
      <c r="X54" s="1742">
        <v>2.1044999999999998</v>
      </c>
      <c r="Y54" s="1742">
        <v>14.746</v>
      </c>
      <c r="Z54" s="2129">
        <v>0</v>
      </c>
      <c r="AA54" s="2129">
        <v>0.14848190090708244</v>
      </c>
      <c r="AB54" s="2150">
        <v>0.14848190090708244</v>
      </c>
    </row>
    <row r="55" spans="2:28">
      <c r="B55" s="89">
        <v>71</v>
      </c>
      <c r="C55" s="1"/>
      <c r="D55" s="1">
        <v>13.561999999999999</v>
      </c>
      <c r="E55" s="1">
        <v>3.6749999999999998</v>
      </c>
      <c r="F55" s="1">
        <v>3.6749999999999998</v>
      </c>
      <c r="G55" s="1">
        <v>13.561999999999999</v>
      </c>
      <c r="H55" s="747">
        <v>0</v>
      </c>
      <c r="I55" s="747">
        <v>0.27097773189795016</v>
      </c>
      <c r="J55" s="2135">
        <v>0.27097773189795016</v>
      </c>
      <c r="K55" s="89">
        <v>71</v>
      </c>
      <c r="L55" s="1">
        <v>0</v>
      </c>
      <c r="M55" s="1">
        <v>15.026</v>
      </c>
      <c r="N55" s="1462">
        <v>0.51</v>
      </c>
      <c r="O55" s="1">
        <v>0.51</v>
      </c>
      <c r="P55" s="1">
        <v>15.026</v>
      </c>
      <c r="Q55" s="747">
        <v>0</v>
      </c>
      <c r="R55" s="747">
        <v>3.3941168641022229E-2</v>
      </c>
      <c r="S55" s="2136">
        <v>3.3941168641022229E-2</v>
      </c>
      <c r="T55" s="89">
        <v>71</v>
      </c>
      <c r="U55" s="746">
        <v>0</v>
      </c>
      <c r="V55" s="746">
        <v>14.294</v>
      </c>
      <c r="W55" s="746">
        <v>2.0924999999999998</v>
      </c>
      <c r="X55" s="746">
        <v>2.0924999999999998</v>
      </c>
      <c r="Y55" s="746">
        <v>14.294</v>
      </c>
      <c r="Z55" s="2124">
        <v>0</v>
      </c>
      <c r="AA55" s="2124">
        <v>0.15245945026948621</v>
      </c>
      <c r="AB55" s="2151">
        <v>0.15245945026948621</v>
      </c>
    </row>
    <row r="56" spans="2:28">
      <c r="B56" s="2134">
        <v>72</v>
      </c>
      <c r="C56" s="2126"/>
      <c r="D56" s="2126">
        <v>13.111000000000001</v>
      </c>
      <c r="E56" s="2126">
        <v>3.669</v>
      </c>
      <c r="F56" s="2126">
        <v>3.669</v>
      </c>
      <c r="G56" s="2126">
        <v>13.111000000000001</v>
      </c>
      <c r="H56" s="2127">
        <v>0</v>
      </c>
      <c r="I56" s="2127">
        <v>0.27984135458775072</v>
      </c>
      <c r="J56" s="2135">
        <v>0.27984135458775072</v>
      </c>
      <c r="K56" s="2134">
        <v>72</v>
      </c>
      <c r="L56" s="2126">
        <v>0</v>
      </c>
      <c r="M56" s="2126">
        <v>14.55</v>
      </c>
      <c r="N56" s="2128">
        <v>0.49099999999999999</v>
      </c>
      <c r="O56" s="2126">
        <v>0.49099999999999999</v>
      </c>
      <c r="P56" s="2126">
        <v>14.55</v>
      </c>
      <c r="Q56" s="2127">
        <v>0</v>
      </c>
      <c r="R56" s="2127">
        <v>3.3745704467353949E-2</v>
      </c>
      <c r="S56" s="2135">
        <v>3.3745704467353949E-2</v>
      </c>
      <c r="T56" s="2134">
        <v>72</v>
      </c>
      <c r="U56" s="1742">
        <v>0</v>
      </c>
      <c r="V56" s="1742">
        <v>13.830500000000001</v>
      </c>
      <c r="W56" s="1742">
        <v>2.08</v>
      </c>
      <c r="X56" s="1742">
        <v>2.08</v>
      </c>
      <c r="Y56" s="1742">
        <v>13.830500000000001</v>
      </c>
      <c r="Z56" s="2129">
        <v>0</v>
      </c>
      <c r="AA56" s="2129">
        <v>0.15679352952755232</v>
      </c>
      <c r="AB56" s="2150">
        <v>0.15679352952755232</v>
      </c>
    </row>
    <row r="57" spans="2:28">
      <c r="B57" s="89">
        <v>73</v>
      </c>
      <c r="C57" s="1"/>
      <c r="D57" s="1">
        <v>12.65</v>
      </c>
      <c r="E57" s="1">
        <v>3.6669999999999998</v>
      </c>
      <c r="F57" s="1">
        <v>3.6669999999999998</v>
      </c>
      <c r="G57" s="1">
        <v>12.65</v>
      </c>
      <c r="H57" s="747">
        <v>0</v>
      </c>
      <c r="I57" s="747">
        <v>0.28988142292490116</v>
      </c>
      <c r="J57" s="2135">
        <v>0.28988142292490116</v>
      </c>
      <c r="K57" s="89">
        <v>73</v>
      </c>
      <c r="L57" s="1">
        <v>0</v>
      </c>
      <c r="M57" s="1">
        <v>14.061999999999999</v>
      </c>
      <c r="N57" s="1462">
        <v>0.47199999999999998</v>
      </c>
      <c r="O57" s="1">
        <v>0.47199999999999998</v>
      </c>
      <c r="P57" s="1">
        <v>14.061999999999999</v>
      </c>
      <c r="Q57" s="747">
        <v>0</v>
      </c>
      <c r="R57" s="747">
        <v>3.3565637889347175E-2</v>
      </c>
      <c r="S57" s="2136">
        <v>3.3565637889347175E-2</v>
      </c>
      <c r="T57" s="89">
        <v>73</v>
      </c>
      <c r="U57" s="746">
        <v>0</v>
      </c>
      <c r="V57" s="746">
        <v>13.356</v>
      </c>
      <c r="W57" s="746">
        <v>2.0694999999999997</v>
      </c>
      <c r="X57" s="746">
        <v>2.0694999999999997</v>
      </c>
      <c r="Y57" s="746">
        <v>13.356</v>
      </c>
      <c r="Z57" s="2124">
        <v>0</v>
      </c>
      <c r="AA57" s="2124">
        <v>0.16172353040712417</v>
      </c>
      <c r="AB57" s="2151">
        <v>0.16172353040712417</v>
      </c>
    </row>
    <row r="58" spans="2:28">
      <c r="B58" s="2134">
        <v>74</v>
      </c>
      <c r="C58" s="2126"/>
      <c r="D58" s="2126">
        <v>12.18</v>
      </c>
      <c r="E58" s="2126">
        <v>3.6619999999999999</v>
      </c>
      <c r="F58" s="2126">
        <v>3.6619999999999999</v>
      </c>
      <c r="G58" s="2126">
        <v>12.18</v>
      </c>
      <c r="H58" s="2127">
        <v>0</v>
      </c>
      <c r="I58" s="2127">
        <v>0.30065681444991788</v>
      </c>
      <c r="J58" s="2135">
        <v>0.30065681444991788</v>
      </c>
      <c r="K58" s="2134">
        <v>74</v>
      </c>
      <c r="L58" s="2126">
        <v>0</v>
      </c>
      <c r="M58" s="2126">
        <v>13.561999999999999</v>
      </c>
      <c r="N58" s="2128">
        <v>0.45300000000000001</v>
      </c>
      <c r="O58" s="2126">
        <v>0.45300000000000001</v>
      </c>
      <c r="P58" s="2126">
        <v>13.561999999999999</v>
      </c>
      <c r="Q58" s="2127">
        <v>0</v>
      </c>
      <c r="R58" s="2127">
        <v>3.3402153074767738E-2</v>
      </c>
      <c r="S58" s="2135">
        <v>3.3402153074767738E-2</v>
      </c>
      <c r="T58" s="2134">
        <v>74</v>
      </c>
      <c r="U58" s="1742">
        <v>0</v>
      </c>
      <c r="V58" s="1742">
        <v>12.870999999999999</v>
      </c>
      <c r="W58" s="1742">
        <v>2.0575000000000001</v>
      </c>
      <c r="X58" s="1742">
        <v>2.0575000000000001</v>
      </c>
      <c r="Y58" s="1742">
        <v>12.870999999999999</v>
      </c>
      <c r="Z58" s="2129">
        <v>0</v>
      </c>
      <c r="AA58" s="2129">
        <v>0.16702948376234281</v>
      </c>
      <c r="AB58" s="2150">
        <v>0.16702948376234281</v>
      </c>
    </row>
    <row r="59" spans="2:28">
      <c r="B59" s="89">
        <v>75</v>
      </c>
      <c r="C59" s="1"/>
      <c r="D59" s="1">
        <v>11.701000000000001</v>
      </c>
      <c r="E59" s="1">
        <v>3.6549999999999998</v>
      </c>
      <c r="F59" s="1">
        <v>3.6549999999999998</v>
      </c>
      <c r="G59" s="1">
        <v>11.701000000000001</v>
      </c>
      <c r="H59" s="747">
        <v>0</v>
      </c>
      <c r="I59" s="747">
        <v>0.31236646440475169</v>
      </c>
      <c r="J59" s="2135">
        <v>0.31236646440475169</v>
      </c>
      <c r="K59" s="89">
        <v>75</v>
      </c>
      <c r="L59" s="1">
        <v>0</v>
      </c>
      <c r="M59" s="1">
        <v>13.051</v>
      </c>
      <c r="N59" s="1462">
        <v>0.434</v>
      </c>
      <c r="O59" s="1">
        <v>0.434</v>
      </c>
      <c r="P59" s="1">
        <v>13.051</v>
      </c>
      <c r="Q59" s="747">
        <v>0</v>
      </c>
      <c r="R59" s="747">
        <v>3.3254156769596199E-2</v>
      </c>
      <c r="S59" s="2136">
        <v>3.3254156769596199E-2</v>
      </c>
      <c r="T59" s="89">
        <v>75</v>
      </c>
      <c r="U59" s="746">
        <v>0</v>
      </c>
      <c r="V59" s="746">
        <v>12.376000000000001</v>
      </c>
      <c r="W59" s="746">
        <v>2.0444999999999998</v>
      </c>
      <c r="X59" s="746">
        <v>2.0444999999999998</v>
      </c>
      <c r="Y59" s="746">
        <v>12.376000000000001</v>
      </c>
      <c r="Z59" s="2124">
        <v>0</v>
      </c>
      <c r="AA59" s="2124">
        <v>0.17281031058717394</v>
      </c>
      <c r="AB59" s="2151">
        <v>0.17281031058717394</v>
      </c>
    </row>
    <row r="60" spans="2:28">
      <c r="B60" s="2134">
        <v>76</v>
      </c>
      <c r="C60" s="2126"/>
      <c r="D60" s="2126">
        <v>11.215</v>
      </c>
      <c r="E60" s="2126">
        <v>3.6429999999999998</v>
      </c>
      <c r="F60" s="2126">
        <v>3.6429999999999998</v>
      </c>
      <c r="G60" s="2126">
        <v>11.215</v>
      </c>
      <c r="H60" s="2127">
        <v>0</v>
      </c>
      <c r="I60" s="2127">
        <v>0.32483281319661167</v>
      </c>
      <c r="J60" s="2135">
        <v>0.32483281319661167</v>
      </c>
      <c r="K60" s="2134">
        <v>76</v>
      </c>
      <c r="L60" s="2126">
        <v>0</v>
      </c>
      <c r="M60" s="2126">
        <v>12.531000000000001</v>
      </c>
      <c r="N60" s="2128">
        <v>0.41399999999999998</v>
      </c>
      <c r="O60" s="2126">
        <v>0.41399999999999998</v>
      </c>
      <c r="P60" s="2126">
        <v>12.531000000000001</v>
      </c>
      <c r="Q60" s="2127">
        <v>0</v>
      </c>
      <c r="R60" s="2127">
        <v>3.3038065597318644E-2</v>
      </c>
      <c r="S60" s="2135">
        <v>3.3038065597318644E-2</v>
      </c>
      <c r="T60" s="2134">
        <v>76</v>
      </c>
      <c r="U60" s="1742">
        <v>0</v>
      </c>
      <c r="V60" s="1742">
        <v>11.873000000000001</v>
      </c>
      <c r="W60" s="1742">
        <v>2.0284999999999997</v>
      </c>
      <c r="X60" s="1742">
        <v>2.0284999999999997</v>
      </c>
      <c r="Y60" s="1742">
        <v>11.873000000000001</v>
      </c>
      <c r="Z60" s="2129">
        <v>0</v>
      </c>
      <c r="AA60" s="2129">
        <v>0.17893543939696516</v>
      </c>
      <c r="AB60" s="2150">
        <v>0.17893543939696516</v>
      </c>
    </row>
    <row r="61" spans="2:28">
      <c r="B61" s="89">
        <v>77</v>
      </c>
      <c r="C61" s="1"/>
      <c r="D61" s="1">
        <v>10.724</v>
      </c>
      <c r="E61" s="1">
        <v>3.625</v>
      </c>
      <c r="F61" s="1">
        <v>3.625</v>
      </c>
      <c r="G61" s="1">
        <v>10.724</v>
      </c>
      <c r="H61" s="747">
        <v>0</v>
      </c>
      <c r="I61" s="747">
        <v>0.33802685565087653</v>
      </c>
      <c r="J61" s="2135">
        <v>0.33802685565087653</v>
      </c>
      <c r="K61" s="89">
        <v>77</v>
      </c>
      <c r="L61" s="1">
        <v>0</v>
      </c>
      <c r="M61" s="1">
        <v>12.003</v>
      </c>
      <c r="N61" s="1462">
        <v>0.39300000000000002</v>
      </c>
      <c r="O61" s="1">
        <v>0.39300000000000002</v>
      </c>
      <c r="P61" s="1">
        <v>12.003</v>
      </c>
      <c r="Q61" s="747">
        <v>0</v>
      </c>
      <c r="R61" s="747">
        <v>3.2741814546363407E-2</v>
      </c>
      <c r="S61" s="2136">
        <v>3.2741814546363407E-2</v>
      </c>
      <c r="T61" s="89">
        <v>77</v>
      </c>
      <c r="U61" s="746">
        <v>0</v>
      </c>
      <c r="V61" s="746">
        <v>11.3635</v>
      </c>
      <c r="W61" s="746">
        <v>2.0089999999999999</v>
      </c>
      <c r="X61" s="746">
        <v>2.0089999999999999</v>
      </c>
      <c r="Y61" s="746">
        <v>11.3635</v>
      </c>
      <c r="Z61" s="2124">
        <v>0</v>
      </c>
      <c r="AA61" s="2124">
        <v>0.18538433509861996</v>
      </c>
      <c r="AB61" s="2151">
        <v>0.18538433509861996</v>
      </c>
    </row>
    <row r="62" spans="2:28">
      <c r="B62" s="2134">
        <v>78</v>
      </c>
      <c r="C62" s="2126"/>
      <c r="D62" s="2126">
        <v>10.228999999999999</v>
      </c>
      <c r="E62" s="2126">
        <v>3.601</v>
      </c>
      <c r="F62" s="2126">
        <v>3.601</v>
      </c>
      <c r="G62" s="2126">
        <v>10.228999999999999</v>
      </c>
      <c r="H62" s="2127">
        <v>0</v>
      </c>
      <c r="I62" s="2127">
        <v>0.35203832241665856</v>
      </c>
      <c r="J62" s="2135">
        <v>0.35203832241665856</v>
      </c>
      <c r="K62" s="2134">
        <v>78</v>
      </c>
      <c r="L62" s="2126">
        <v>0</v>
      </c>
      <c r="M62" s="2126">
        <v>11.47</v>
      </c>
      <c r="N62" s="2128">
        <v>0.371</v>
      </c>
      <c r="O62" s="2126">
        <v>0.371</v>
      </c>
      <c r="P62" s="2126">
        <v>11.47</v>
      </c>
      <c r="Q62" s="2127">
        <v>0</v>
      </c>
      <c r="R62" s="2127">
        <v>3.2345248474280733E-2</v>
      </c>
      <c r="S62" s="2135">
        <v>3.2345248474280733E-2</v>
      </c>
      <c r="T62" s="2134">
        <v>78</v>
      </c>
      <c r="U62" s="1742">
        <v>0</v>
      </c>
      <c r="V62" s="1742">
        <v>10.849499999999999</v>
      </c>
      <c r="W62" s="1742">
        <v>1.986</v>
      </c>
      <c r="X62" s="1742">
        <v>1.986</v>
      </c>
      <c r="Y62" s="1742">
        <v>10.849499999999999</v>
      </c>
      <c r="Z62" s="2129">
        <v>0</v>
      </c>
      <c r="AA62" s="2129">
        <v>0.19219178544546964</v>
      </c>
      <c r="AB62" s="2150">
        <v>0.19219178544546964</v>
      </c>
    </row>
    <row r="63" spans="2:28">
      <c r="B63" s="89">
        <v>79</v>
      </c>
      <c r="C63" s="1"/>
      <c r="D63" s="1">
        <v>9.7330000000000005</v>
      </c>
      <c r="E63" s="1">
        <v>3.57</v>
      </c>
      <c r="F63" s="1">
        <v>3.57</v>
      </c>
      <c r="G63" s="1">
        <v>9.7330000000000005</v>
      </c>
      <c r="H63" s="747">
        <v>0</v>
      </c>
      <c r="I63" s="747">
        <v>0.36679338333504569</v>
      </c>
      <c r="J63" s="2135">
        <v>0.36679338333504569</v>
      </c>
      <c r="K63" s="89">
        <v>79</v>
      </c>
      <c r="L63" s="1">
        <v>0</v>
      </c>
      <c r="M63" s="1">
        <v>10.932</v>
      </c>
      <c r="N63" s="1462">
        <v>0.34899999999999998</v>
      </c>
      <c r="O63" s="1">
        <v>0.34899999999999998</v>
      </c>
      <c r="P63" s="1">
        <v>10.932</v>
      </c>
      <c r="Q63" s="747">
        <v>0</v>
      </c>
      <c r="R63" s="747">
        <v>3.1924624954262709E-2</v>
      </c>
      <c r="S63" s="2136">
        <v>3.1924624954262709E-2</v>
      </c>
      <c r="T63" s="89">
        <v>79</v>
      </c>
      <c r="U63" s="746">
        <v>0</v>
      </c>
      <c r="V63" s="746">
        <v>10.3325</v>
      </c>
      <c r="W63" s="746">
        <v>1.9594999999999998</v>
      </c>
      <c r="X63" s="746">
        <v>1.9594999999999998</v>
      </c>
      <c r="Y63" s="746">
        <v>10.3325</v>
      </c>
      <c r="Z63" s="2124">
        <v>0</v>
      </c>
      <c r="AA63" s="2124">
        <v>0.19935900414465418</v>
      </c>
      <c r="AB63" s="2151">
        <v>0.19935900414465418</v>
      </c>
    </row>
    <row r="64" spans="2:28">
      <c r="B64" s="2134">
        <v>80</v>
      </c>
      <c r="C64" s="2126"/>
      <c r="D64" s="2126">
        <v>9.2379999999999995</v>
      </c>
      <c r="E64" s="2126">
        <v>3.5310000000000001</v>
      </c>
      <c r="F64" s="2126">
        <v>3.5310000000000001</v>
      </c>
      <c r="G64" s="2126">
        <v>9.2379999999999995</v>
      </c>
      <c r="H64" s="2127">
        <v>0</v>
      </c>
      <c r="I64" s="2127">
        <v>0.38222558995453565</v>
      </c>
      <c r="J64" s="2135">
        <v>0.38222558995453565</v>
      </c>
      <c r="K64" s="2134">
        <v>80</v>
      </c>
      <c r="L64" s="2126">
        <v>0</v>
      </c>
      <c r="M64" s="2126">
        <v>10.391999999999999</v>
      </c>
      <c r="N64" s="2128">
        <v>0.32700000000000001</v>
      </c>
      <c r="O64" s="2126">
        <v>0.32700000000000001</v>
      </c>
      <c r="P64" s="2126">
        <v>10.391999999999999</v>
      </c>
      <c r="Q64" s="2127">
        <v>0</v>
      </c>
      <c r="R64" s="2127">
        <v>3.1466512702078522E-2</v>
      </c>
      <c r="S64" s="2135">
        <v>3.1466512702078522E-2</v>
      </c>
      <c r="T64" s="2134">
        <v>80</v>
      </c>
      <c r="U64" s="1742">
        <v>0</v>
      </c>
      <c r="V64" s="1742">
        <v>9.8149999999999995</v>
      </c>
      <c r="W64" s="1742">
        <v>1.929</v>
      </c>
      <c r="X64" s="1742">
        <v>1.929</v>
      </c>
      <c r="Y64" s="1742">
        <v>9.8149999999999995</v>
      </c>
      <c r="Z64" s="2129">
        <v>0</v>
      </c>
      <c r="AA64" s="2129">
        <v>0.20684605132830708</v>
      </c>
      <c r="AB64" s="2150">
        <v>0.20684605132830708</v>
      </c>
    </row>
    <row r="65" spans="2:28">
      <c r="B65" s="89">
        <v>81</v>
      </c>
      <c r="C65" s="1"/>
      <c r="D65" s="1">
        <v>8.7469999999999999</v>
      </c>
      <c r="E65" s="1">
        <v>3.4820000000000002</v>
      </c>
      <c r="F65" s="1">
        <v>3.4820000000000002</v>
      </c>
      <c r="G65" s="1">
        <v>8.7469999999999999</v>
      </c>
      <c r="H65" s="747">
        <v>0</v>
      </c>
      <c r="I65" s="747">
        <v>0.39807934148851037</v>
      </c>
      <c r="J65" s="2135">
        <v>0.39807934148851037</v>
      </c>
      <c r="K65" s="89">
        <v>81</v>
      </c>
      <c r="L65" s="1">
        <v>0</v>
      </c>
      <c r="M65" s="1">
        <v>9.8529999999999998</v>
      </c>
      <c r="N65" s="1462">
        <v>0.30399999999999999</v>
      </c>
      <c r="O65" s="1">
        <v>0.30399999999999999</v>
      </c>
      <c r="P65" s="1">
        <v>9.8529999999999998</v>
      </c>
      <c r="Q65" s="747">
        <v>0</v>
      </c>
      <c r="R65" s="747">
        <v>3.0853547143002133E-2</v>
      </c>
      <c r="S65" s="2136">
        <v>3.0853547143002133E-2</v>
      </c>
      <c r="T65" s="89">
        <v>81</v>
      </c>
      <c r="U65" s="746">
        <v>0</v>
      </c>
      <c r="V65" s="746">
        <v>9.3000000000000007</v>
      </c>
      <c r="W65" s="746">
        <v>1.893</v>
      </c>
      <c r="X65" s="746">
        <v>1.893</v>
      </c>
      <c r="Y65" s="746">
        <v>9.3000000000000007</v>
      </c>
      <c r="Z65" s="2124">
        <v>0</v>
      </c>
      <c r="AA65" s="2124">
        <v>0.21446644431575626</v>
      </c>
      <c r="AB65" s="2151">
        <v>0.21446644431575626</v>
      </c>
    </row>
    <row r="66" spans="2:28">
      <c r="B66" s="2134">
        <v>82</v>
      </c>
      <c r="C66" s="2126"/>
      <c r="D66" s="2126">
        <v>8.2629999999999999</v>
      </c>
      <c r="E66" s="2126">
        <v>3.4089999999999998</v>
      </c>
      <c r="F66" s="2126">
        <v>3.4089999999999998</v>
      </c>
      <c r="G66" s="2126">
        <v>8.2629999999999999</v>
      </c>
      <c r="H66" s="2127">
        <v>0</v>
      </c>
      <c r="I66" s="2127">
        <v>0.41256202347815563</v>
      </c>
      <c r="J66" s="2135">
        <v>0.41256202347815563</v>
      </c>
      <c r="K66" s="2134">
        <v>82</v>
      </c>
      <c r="L66" s="2126">
        <v>0</v>
      </c>
      <c r="M66" s="2126">
        <v>9.3179999999999996</v>
      </c>
      <c r="N66" s="2128">
        <v>0.28100000000000003</v>
      </c>
      <c r="O66" s="2126">
        <v>0.28100000000000003</v>
      </c>
      <c r="P66" s="2126">
        <v>9.3179999999999996</v>
      </c>
      <c r="Q66" s="2127">
        <v>0</v>
      </c>
      <c r="R66" s="2127">
        <v>3.0156685984116766E-2</v>
      </c>
      <c r="S66" s="2135">
        <v>3.0156685984116766E-2</v>
      </c>
      <c r="T66" s="2134">
        <v>82</v>
      </c>
      <c r="U66" s="1742">
        <v>0</v>
      </c>
      <c r="V66" s="1742">
        <v>8.7904999999999998</v>
      </c>
      <c r="W66" s="1742">
        <v>1.845</v>
      </c>
      <c r="X66" s="1742">
        <v>1.845</v>
      </c>
      <c r="Y66" s="1742">
        <v>8.7904999999999998</v>
      </c>
      <c r="Z66" s="2129">
        <v>0</v>
      </c>
      <c r="AA66" s="2129">
        <v>0.22135935473113619</v>
      </c>
      <c r="AB66" s="2150">
        <v>0.22135935473113619</v>
      </c>
    </row>
    <row r="67" spans="2:28">
      <c r="B67" s="89">
        <v>83</v>
      </c>
      <c r="C67" s="1"/>
      <c r="D67" s="1">
        <v>7.7880000000000003</v>
      </c>
      <c r="E67" s="1">
        <v>3.3220000000000001</v>
      </c>
      <c r="F67" s="1">
        <v>3.3220000000000001</v>
      </c>
      <c r="G67" s="1">
        <v>7.7880000000000003</v>
      </c>
      <c r="H67" s="747">
        <v>0</v>
      </c>
      <c r="I67" s="747">
        <v>0.42655367231638419</v>
      </c>
      <c r="J67" s="2135">
        <v>0.42655367231638419</v>
      </c>
      <c r="K67" s="89">
        <v>83</v>
      </c>
      <c r="L67" s="1">
        <v>0</v>
      </c>
      <c r="M67" s="1">
        <v>8.7889999999999997</v>
      </c>
      <c r="N67" s="1462">
        <v>0.25800000000000001</v>
      </c>
      <c r="O67" s="1">
        <v>0.25800000000000001</v>
      </c>
      <c r="P67" s="1">
        <v>8.7889999999999997</v>
      </c>
      <c r="Q67" s="747">
        <v>0</v>
      </c>
      <c r="R67" s="747">
        <v>2.9354875412447381E-2</v>
      </c>
      <c r="S67" s="2136">
        <v>2.9354875412447381E-2</v>
      </c>
      <c r="T67" s="89">
        <v>83</v>
      </c>
      <c r="U67" s="746">
        <v>0</v>
      </c>
      <c r="V67" s="746">
        <v>8.2884999999999991</v>
      </c>
      <c r="W67" s="746">
        <v>1.79</v>
      </c>
      <c r="X67" s="746">
        <v>1.79</v>
      </c>
      <c r="Y67" s="746">
        <v>8.2884999999999991</v>
      </c>
      <c r="Z67" s="2124">
        <v>0</v>
      </c>
      <c r="AA67" s="2124">
        <v>0.22795427386441577</v>
      </c>
      <c r="AB67" s="2151">
        <v>0.22795427386441577</v>
      </c>
    </row>
    <row r="68" spans="2:28">
      <c r="B68" s="2134">
        <v>84</v>
      </c>
      <c r="C68" s="2126"/>
      <c r="D68" s="2126">
        <v>7.327</v>
      </c>
      <c r="E68" s="2126">
        <v>3.2229999999999999</v>
      </c>
      <c r="F68" s="2126">
        <v>3.2229999999999999</v>
      </c>
      <c r="G68" s="2126">
        <v>7.327</v>
      </c>
      <c r="H68" s="2127">
        <v>0</v>
      </c>
      <c r="I68" s="2127">
        <v>0.43987989627405483</v>
      </c>
      <c r="J68" s="2135">
        <v>0.43987989627405483</v>
      </c>
      <c r="K68" s="2134">
        <v>84</v>
      </c>
      <c r="L68" s="2126">
        <v>0</v>
      </c>
      <c r="M68" s="2126">
        <v>8.2710000000000008</v>
      </c>
      <c r="N68" s="2128">
        <v>0.23499999999999999</v>
      </c>
      <c r="O68" s="2126">
        <v>0.23499999999999999</v>
      </c>
      <c r="P68" s="2126">
        <v>8.2710000000000008</v>
      </c>
      <c r="Q68" s="2127">
        <v>0</v>
      </c>
      <c r="R68" s="2127">
        <v>2.8412525692177483E-2</v>
      </c>
      <c r="S68" s="2135">
        <v>2.8412525692177483E-2</v>
      </c>
      <c r="T68" s="2134">
        <v>84</v>
      </c>
      <c r="U68" s="1742">
        <v>0</v>
      </c>
      <c r="V68" s="1742">
        <v>7.7990000000000004</v>
      </c>
      <c r="W68" s="1742">
        <v>1.7289999999999999</v>
      </c>
      <c r="X68" s="1742">
        <v>1.7289999999999999</v>
      </c>
      <c r="Y68" s="1742">
        <v>7.7990000000000004</v>
      </c>
      <c r="Z68" s="2129">
        <v>0</v>
      </c>
      <c r="AA68" s="2129">
        <v>0.23414621098311617</v>
      </c>
      <c r="AB68" s="2150">
        <v>0.23414621098311617</v>
      </c>
    </row>
    <row r="69" spans="2:28">
      <c r="B69" s="89">
        <v>85</v>
      </c>
      <c r="C69" s="1"/>
      <c r="D69" s="1">
        <v>6.883</v>
      </c>
      <c r="E69" s="1">
        <v>3.1139999999999999</v>
      </c>
      <c r="F69" s="1">
        <v>3.1139999999999999</v>
      </c>
      <c r="G69" s="1">
        <v>6.883</v>
      </c>
      <c r="H69" s="747">
        <v>0</v>
      </c>
      <c r="I69" s="747">
        <v>0.45241900334156615</v>
      </c>
      <c r="J69" s="2135">
        <v>0.45241900334156615</v>
      </c>
      <c r="K69" s="89">
        <v>85</v>
      </c>
      <c r="L69" s="1">
        <v>0</v>
      </c>
      <c r="M69" s="1">
        <v>7.7679999999999998</v>
      </c>
      <c r="N69" s="1462">
        <v>0.21</v>
      </c>
      <c r="O69" s="1">
        <v>0.21</v>
      </c>
      <c r="P69" s="1">
        <v>7.7679999999999998</v>
      </c>
      <c r="Q69" s="747">
        <v>0</v>
      </c>
      <c r="R69" s="747">
        <v>2.7033985581874358E-2</v>
      </c>
      <c r="S69" s="2136">
        <v>2.7033985581874358E-2</v>
      </c>
      <c r="T69" s="89">
        <v>85</v>
      </c>
      <c r="U69" s="746">
        <v>0</v>
      </c>
      <c r="V69" s="746">
        <v>7.3254999999999999</v>
      </c>
      <c r="W69" s="746">
        <v>1.6619999999999999</v>
      </c>
      <c r="X69" s="746">
        <v>1.6619999999999999</v>
      </c>
      <c r="Y69" s="746">
        <v>7.3254999999999999</v>
      </c>
      <c r="Z69" s="2124">
        <v>0</v>
      </c>
      <c r="AA69" s="2124">
        <v>0.23972649446172026</v>
      </c>
      <c r="AB69" s="2151">
        <v>0.23972649446172026</v>
      </c>
    </row>
    <row r="70" spans="2:28">
      <c r="B70" s="2134">
        <v>86</v>
      </c>
      <c r="C70" s="2126"/>
      <c r="D70" s="2126">
        <v>6.4619999999999997</v>
      </c>
      <c r="E70" s="2126">
        <v>2.9969999999999999</v>
      </c>
      <c r="F70" s="2126">
        <v>2.9969999999999999</v>
      </c>
      <c r="G70" s="2126">
        <v>6.4619999999999997</v>
      </c>
      <c r="H70" s="2127">
        <v>0</v>
      </c>
      <c r="I70" s="2127">
        <v>0.46378830083565459</v>
      </c>
      <c r="J70" s="2135">
        <v>0.46378830083565459</v>
      </c>
      <c r="K70" s="2134">
        <v>86</v>
      </c>
      <c r="L70" s="2126">
        <v>0</v>
      </c>
      <c r="M70" s="2126">
        <v>7.2850000000000001</v>
      </c>
      <c r="N70" s="2128">
        <v>0.186</v>
      </c>
      <c r="O70" s="2126">
        <v>0.186</v>
      </c>
      <c r="P70" s="2126">
        <v>7.2850000000000001</v>
      </c>
      <c r="Q70" s="2127">
        <v>0</v>
      </c>
      <c r="R70" s="2127">
        <v>2.553191489361702E-2</v>
      </c>
      <c r="S70" s="2135">
        <v>2.553191489361702E-2</v>
      </c>
      <c r="T70" s="2134">
        <v>86</v>
      </c>
      <c r="U70" s="1742">
        <v>0</v>
      </c>
      <c r="V70" s="1742">
        <v>6.8734999999999999</v>
      </c>
      <c r="W70" s="1742">
        <v>1.5914999999999999</v>
      </c>
      <c r="X70" s="1742">
        <v>1.5914999999999999</v>
      </c>
      <c r="Y70" s="1742">
        <v>6.8734999999999999</v>
      </c>
      <c r="Z70" s="2129">
        <v>0</v>
      </c>
      <c r="AA70" s="2129">
        <v>0.2446601078646358</v>
      </c>
      <c r="AB70" s="2150">
        <v>0.2446601078646358</v>
      </c>
    </row>
    <row r="71" spans="2:28">
      <c r="B71" s="89">
        <v>87</v>
      </c>
      <c r="C71" s="1"/>
      <c r="D71" s="1">
        <v>6.069</v>
      </c>
      <c r="E71" s="1">
        <v>2.8730000000000002</v>
      </c>
      <c r="F71" s="1">
        <v>2.8730000000000002</v>
      </c>
      <c r="G71" s="1">
        <v>6.069</v>
      </c>
      <c r="H71" s="747">
        <v>0</v>
      </c>
      <c r="I71" s="747">
        <v>0.47338935574229696</v>
      </c>
      <c r="J71" s="2135">
        <v>0.47338935574229696</v>
      </c>
      <c r="K71" s="89">
        <v>87</v>
      </c>
      <c r="L71" s="1">
        <v>0</v>
      </c>
      <c r="M71" s="1">
        <v>6.8259999999999996</v>
      </c>
      <c r="N71" s="1462">
        <v>0.16200000000000001</v>
      </c>
      <c r="O71" s="1">
        <v>0.16200000000000001</v>
      </c>
      <c r="P71" s="1">
        <v>6.8259999999999996</v>
      </c>
      <c r="Q71" s="747">
        <v>0</v>
      </c>
      <c r="R71" s="747">
        <v>2.3732786404922358E-2</v>
      </c>
      <c r="S71" s="2136">
        <v>2.3732786404922358E-2</v>
      </c>
      <c r="T71" s="89">
        <v>87</v>
      </c>
      <c r="U71" s="746">
        <v>0</v>
      </c>
      <c r="V71" s="746">
        <v>6.4474999999999998</v>
      </c>
      <c r="W71" s="746">
        <v>1.5175000000000001</v>
      </c>
      <c r="X71" s="746">
        <v>1.5175000000000001</v>
      </c>
      <c r="Y71" s="746">
        <v>6.4474999999999998</v>
      </c>
      <c r="Z71" s="2124">
        <v>0</v>
      </c>
      <c r="AA71" s="2124">
        <v>0.24856107107360967</v>
      </c>
      <c r="AB71" s="2151">
        <v>0.24856107107360967</v>
      </c>
    </row>
    <row r="72" spans="2:28">
      <c r="B72" s="2134">
        <v>88</v>
      </c>
      <c r="C72" s="2126"/>
      <c r="D72" s="2126">
        <v>5.7119999999999997</v>
      </c>
      <c r="E72" s="2126">
        <v>2.7149999999999999</v>
      </c>
      <c r="F72" s="2126">
        <v>2.7149999999999999</v>
      </c>
      <c r="G72" s="2126">
        <v>5.7119999999999997</v>
      </c>
      <c r="H72" s="2127">
        <v>0</v>
      </c>
      <c r="I72" s="2127">
        <v>0.47531512605042014</v>
      </c>
      <c r="J72" s="2135">
        <v>0.47531512605042014</v>
      </c>
      <c r="K72" s="2134">
        <v>88</v>
      </c>
      <c r="L72" s="2126">
        <v>0</v>
      </c>
      <c r="M72" s="2126">
        <v>6.3979999999999997</v>
      </c>
      <c r="N72" s="2128">
        <v>0.14000000000000001</v>
      </c>
      <c r="O72" s="2126">
        <v>0.14000000000000001</v>
      </c>
      <c r="P72" s="2126">
        <v>6.3979999999999997</v>
      </c>
      <c r="Q72" s="2127">
        <v>0</v>
      </c>
      <c r="R72" s="2127">
        <v>2.1881838074398252E-2</v>
      </c>
      <c r="S72" s="2135">
        <v>2.1881838074398252E-2</v>
      </c>
      <c r="T72" s="2134">
        <v>88</v>
      </c>
      <c r="U72" s="1742">
        <v>0</v>
      </c>
      <c r="V72" s="1742">
        <v>6.0549999999999997</v>
      </c>
      <c r="W72" s="1742">
        <v>1.4275</v>
      </c>
      <c r="X72" s="1742">
        <v>1.4275</v>
      </c>
      <c r="Y72" s="1742">
        <v>6.0549999999999997</v>
      </c>
      <c r="Z72" s="2129">
        <v>0</v>
      </c>
      <c r="AA72" s="2129">
        <v>0.2485984820624092</v>
      </c>
      <c r="AB72" s="2150">
        <v>0.2485984820624092</v>
      </c>
    </row>
    <row r="73" spans="2:28">
      <c r="B73" s="89">
        <v>89</v>
      </c>
      <c r="C73" s="1"/>
      <c r="D73" s="1">
        <v>5.3979999999999997</v>
      </c>
      <c r="E73" s="1">
        <v>2.5489999999999999</v>
      </c>
      <c r="F73" s="1">
        <v>2.5489999999999999</v>
      </c>
      <c r="G73" s="1">
        <v>5.3979999999999997</v>
      </c>
      <c r="H73" s="747">
        <v>0</v>
      </c>
      <c r="I73" s="747">
        <v>0.4722119303445721</v>
      </c>
      <c r="J73" s="2135">
        <v>0.4722119303445721</v>
      </c>
      <c r="K73" s="89">
        <v>89</v>
      </c>
      <c r="L73" s="1">
        <v>0</v>
      </c>
      <c r="M73" s="1">
        <v>6.0069999999999997</v>
      </c>
      <c r="N73" s="1462">
        <v>0.11700000000000001</v>
      </c>
      <c r="O73" s="1">
        <v>0.11700000000000001</v>
      </c>
      <c r="P73" s="1">
        <v>6.0069999999999997</v>
      </c>
      <c r="Q73" s="747">
        <v>0</v>
      </c>
      <c r="R73" s="747">
        <v>1.9477276510737475E-2</v>
      </c>
      <c r="S73" s="2136">
        <v>1.9477276510737475E-2</v>
      </c>
      <c r="T73" s="89">
        <v>89</v>
      </c>
      <c r="U73" s="746">
        <v>0</v>
      </c>
      <c r="V73" s="746">
        <v>5.7024999999999997</v>
      </c>
      <c r="W73" s="746">
        <v>1.333</v>
      </c>
      <c r="X73" s="746">
        <v>1.333</v>
      </c>
      <c r="Y73" s="746">
        <v>5.7024999999999997</v>
      </c>
      <c r="Z73" s="2124">
        <v>0</v>
      </c>
      <c r="AA73" s="2124">
        <v>0.2458446034276548</v>
      </c>
      <c r="AB73" s="2151">
        <v>0.2458446034276548</v>
      </c>
    </row>
    <row r="74" spans="2:28">
      <c r="B74" s="2134">
        <v>90</v>
      </c>
      <c r="C74" s="2126"/>
      <c r="D74" s="2126">
        <v>5.1150000000000002</v>
      </c>
      <c r="E74" s="2126">
        <v>2.387</v>
      </c>
      <c r="F74" s="2126">
        <v>2.387</v>
      </c>
      <c r="G74" s="2126">
        <v>5.1150000000000002</v>
      </c>
      <c r="H74" s="2127">
        <v>0</v>
      </c>
      <c r="I74" s="2127">
        <v>0.46666666666666667</v>
      </c>
      <c r="J74" s="2135">
        <v>0.46666666666666667</v>
      </c>
      <c r="K74" s="2134">
        <v>90</v>
      </c>
      <c r="L74" s="2126">
        <v>0</v>
      </c>
      <c r="M74" s="2126">
        <v>5.6550000000000002</v>
      </c>
      <c r="N74" s="2128">
        <v>9.7000000000000003E-2</v>
      </c>
      <c r="O74" s="2126">
        <v>9.7000000000000003E-2</v>
      </c>
      <c r="P74" s="2126">
        <v>5.6550000000000002</v>
      </c>
      <c r="Q74" s="2127">
        <v>0</v>
      </c>
      <c r="R74" s="2127">
        <v>1.7152961980548186E-2</v>
      </c>
      <c r="S74" s="2135">
        <v>1.7152961980548186E-2</v>
      </c>
      <c r="T74" s="2134">
        <v>90</v>
      </c>
      <c r="U74" s="1742">
        <v>0</v>
      </c>
      <c r="V74" s="1742">
        <v>5.3849999999999998</v>
      </c>
      <c r="W74" s="1742">
        <v>1.242</v>
      </c>
      <c r="X74" s="1742">
        <v>1.242</v>
      </c>
      <c r="Y74" s="1742">
        <v>5.3849999999999998</v>
      </c>
      <c r="Z74" s="2129">
        <v>0</v>
      </c>
      <c r="AA74" s="2129">
        <v>0.24190981432360742</v>
      </c>
      <c r="AB74" s="2150">
        <v>0.24190981432360742</v>
      </c>
    </row>
    <row r="75" spans="2:28">
      <c r="B75" s="89">
        <v>91</v>
      </c>
      <c r="C75" s="1"/>
      <c r="D75" s="1">
        <v>4.8499999999999996</v>
      </c>
      <c r="E75" s="1">
        <v>2.2040000000000002</v>
      </c>
      <c r="F75" s="1">
        <v>2.2040000000000002</v>
      </c>
      <c r="G75" s="1">
        <v>4.8499999999999996</v>
      </c>
      <c r="H75" s="747">
        <v>0</v>
      </c>
      <c r="I75" s="747">
        <v>0.45443298969072171</v>
      </c>
      <c r="J75" s="2135">
        <v>0.45443298969072171</v>
      </c>
      <c r="K75" s="89">
        <v>91</v>
      </c>
      <c r="L75" s="1">
        <v>0</v>
      </c>
      <c r="M75" s="1">
        <v>5.3319999999999999</v>
      </c>
      <c r="N75" s="1462">
        <v>0.08</v>
      </c>
      <c r="O75" s="1">
        <v>0.08</v>
      </c>
      <c r="P75" s="1">
        <v>5.3319999999999999</v>
      </c>
      <c r="Q75" s="747">
        <v>0</v>
      </c>
      <c r="R75" s="747">
        <v>1.5003750937734435E-2</v>
      </c>
      <c r="S75" s="2136">
        <v>1.5003750937734435E-2</v>
      </c>
      <c r="T75" s="89">
        <v>91</v>
      </c>
      <c r="U75" s="746">
        <v>0</v>
      </c>
      <c r="V75" s="746">
        <v>5.0909999999999993</v>
      </c>
      <c r="W75" s="746">
        <v>1.1420000000000001</v>
      </c>
      <c r="X75" s="746">
        <v>1.1420000000000001</v>
      </c>
      <c r="Y75" s="746">
        <v>5.0909999999999993</v>
      </c>
      <c r="Z75" s="2124">
        <v>0</v>
      </c>
      <c r="AA75" s="2124">
        <v>0.23471837031422807</v>
      </c>
      <c r="AB75" s="2151">
        <v>0.23471837031422807</v>
      </c>
    </row>
    <row r="76" spans="2:28">
      <c r="B76" s="2134">
        <v>92</v>
      </c>
      <c r="C76" s="2126"/>
      <c r="D76" s="2126">
        <v>4.6040000000000001</v>
      </c>
      <c r="E76" s="2126">
        <v>2.0350000000000001</v>
      </c>
      <c r="F76" s="2126">
        <v>2.0350000000000001</v>
      </c>
      <c r="G76" s="2126">
        <v>4.6040000000000001</v>
      </c>
      <c r="H76" s="2127">
        <v>0</v>
      </c>
      <c r="I76" s="2127">
        <v>0.44200695047784538</v>
      </c>
      <c r="J76" s="2135">
        <v>0.44200695047784538</v>
      </c>
      <c r="K76" s="2134">
        <v>92</v>
      </c>
      <c r="L76" s="2126">
        <v>0</v>
      </c>
      <c r="M76" s="2126">
        <v>5.0289999999999999</v>
      </c>
      <c r="N76" s="2128">
        <v>6.5000000000000002E-2</v>
      </c>
      <c r="O76" s="2126">
        <v>6.5000000000000002E-2</v>
      </c>
      <c r="P76" s="2126">
        <v>5.0289999999999999</v>
      </c>
      <c r="Q76" s="2127">
        <v>0</v>
      </c>
      <c r="R76" s="2127">
        <v>1.2925034798170611E-2</v>
      </c>
      <c r="S76" s="2135">
        <v>1.2925034798170611E-2</v>
      </c>
      <c r="T76" s="2134">
        <v>92</v>
      </c>
      <c r="U76" s="1742">
        <v>0</v>
      </c>
      <c r="V76" s="1742">
        <v>4.8164999999999996</v>
      </c>
      <c r="W76" s="1742">
        <v>1.05</v>
      </c>
      <c r="X76" s="1742">
        <v>1.05</v>
      </c>
      <c r="Y76" s="1742">
        <v>4.8164999999999996</v>
      </c>
      <c r="Z76" s="2129">
        <v>0</v>
      </c>
      <c r="AA76" s="2129">
        <v>0.22746599263800799</v>
      </c>
      <c r="AB76" s="2150">
        <v>0.22746599263800799</v>
      </c>
    </row>
    <row r="77" spans="2:28">
      <c r="B77" s="89">
        <v>93</v>
      </c>
      <c r="C77" s="1"/>
      <c r="D77" s="1">
        <v>4.3760000000000003</v>
      </c>
      <c r="E77" s="1">
        <v>1.85</v>
      </c>
      <c r="F77" s="1">
        <v>1.85</v>
      </c>
      <c r="G77" s="1">
        <v>4.3760000000000003</v>
      </c>
      <c r="H77" s="747">
        <v>0</v>
      </c>
      <c r="I77" s="747">
        <v>0.42276051188299818</v>
      </c>
      <c r="J77" s="2135">
        <v>0.42276051188299818</v>
      </c>
      <c r="K77" s="89">
        <v>93</v>
      </c>
      <c r="L77" s="1">
        <v>0</v>
      </c>
      <c r="M77" s="1">
        <v>4.7469999999999999</v>
      </c>
      <c r="N77" s="1462">
        <v>5.2999999999999999E-2</v>
      </c>
      <c r="O77" s="1">
        <v>5.2999999999999999E-2</v>
      </c>
      <c r="P77" s="1">
        <v>4.7469999999999999</v>
      </c>
      <c r="Q77" s="747">
        <v>0</v>
      </c>
      <c r="R77" s="747">
        <v>1.1164946281862228E-2</v>
      </c>
      <c r="S77" s="2136">
        <v>1.1164946281862228E-2</v>
      </c>
      <c r="T77" s="89">
        <v>93</v>
      </c>
      <c r="U77" s="746">
        <v>0</v>
      </c>
      <c r="V77" s="746">
        <v>4.5615000000000006</v>
      </c>
      <c r="W77" s="746">
        <v>0.95150000000000001</v>
      </c>
      <c r="X77" s="746">
        <v>0.95150000000000001</v>
      </c>
      <c r="Y77" s="746">
        <v>4.5615000000000006</v>
      </c>
      <c r="Z77" s="2124">
        <v>0</v>
      </c>
      <c r="AA77" s="2124">
        <v>0.21696272908243019</v>
      </c>
      <c r="AB77" s="2151">
        <v>0.21696272908243019</v>
      </c>
    </row>
    <row r="78" spans="2:28">
      <c r="B78" s="2134">
        <v>94</v>
      </c>
      <c r="C78" s="2126"/>
      <c r="D78" s="2126">
        <v>4.1660000000000004</v>
      </c>
      <c r="E78" s="2126">
        <v>1.6830000000000001</v>
      </c>
      <c r="F78" s="2126">
        <v>1.6830000000000001</v>
      </c>
      <c r="G78" s="2126">
        <v>4.1660000000000004</v>
      </c>
      <c r="H78" s="2127">
        <v>0</v>
      </c>
      <c r="I78" s="2127">
        <v>0.4039846375420067</v>
      </c>
      <c r="J78" s="2135">
        <v>0.4039846375420067</v>
      </c>
      <c r="K78" s="2134">
        <v>94</v>
      </c>
      <c r="L78" s="2126">
        <v>0</v>
      </c>
      <c r="M78" s="2126">
        <v>4.4850000000000003</v>
      </c>
      <c r="N78" s="2128">
        <v>4.2000000000000003E-2</v>
      </c>
      <c r="O78" s="2126">
        <v>4.2000000000000003E-2</v>
      </c>
      <c r="P78" s="2126">
        <v>4.4850000000000003</v>
      </c>
      <c r="Q78" s="2127">
        <v>0</v>
      </c>
      <c r="R78" s="2127">
        <v>9.3645484949832769E-3</v>
      </c>
      <c r="S78" s="2135">
        <v>9.3645484949832769E-3</v>
      </c>
      <c r="T78" s="2134">
        <v>94</v>
      </c>
      <c r="U78" s="1742">
        <v>0</v>
      </c>
      <c r="V78" s="1742">
        <v>4.3254999999999999</v>
      </c>
      <c r="W78" s="1742">
        <v>0.86250000000000004</v>
      </c>
      <c r="X78" s="1742">
        <v>0.86250000000000004</v>
      </c>
      <c r="Y78" s="1742">
        <v>4.3254999999999999</v>
      </c>
      <c r="Z78" s="2129">
        <v>0</v>
      </c>
      <c r="AA78" s="2129">
        <v>0.206674593018495</v>
      </c>
      <c r="AB78" s="2150">
        <v>0.206674593018495</v>
      </c>
    </row>
    <row r="79" spans="2:28">
      <c r="B79" s="89">
        <v>95</v>
      </c>
      <c r="C79" s="1"/>
      <c r="D79" s="1">
        <v>3.9740000000000002</v>
      </c>
      <c r="E79" s="1">
        <v>1.5349999999999999</v>
      </c>
      <c r="F79" s="1">
        <v>1.5349999999999999</v>
      </c>
      <c r="G79" s="1">
        <v>3.9740000000000002</v>
      </c>
      <c r="H79" s="747">
        <v>0</v>
      </c>
      <c r="I79" s="747">
        <v>0.38626069451434319</v>
      </c>
      <c r="J79" s="2135">
        <v>0.38626069451434319</v>
      </c>
      <c r="K79" s="89">
        <v>95</v>
      </c>
      <c r="L79" s="1">
        <v>0</v>
      </c>
      <c r="M79" s="1">
        <v>4.2450000000000001</v>
      </c>
      <c r="N79" s="1462">
        <v>3.4000000000000002E-2</v>
      </c>
      <c r="O79" s="1">
        <v>3.4000000000000002E-2</v>
      </c>
      <c r="P79" s="1">
        <v>4.2450000000000001</v>
      </c>
      <c r="Q79" s="747">
        <v>0</v>
      </c>
      <c r="R79" s="747">
        <v>8.0094228504122497E-3</v>
      </c>
      <c r="S79" s="2136">
        <v>8.0094228504122497E-3</v>
      </c>
      <c r="T79" s="89">
        <v>95</v>
      </c>
      <c r="U79" s="746">
        <v>0</v>
      </c>
      <c r="V79" s="746">
        <v>4.1095000000000006</v>
      </c>
      <c r="W79" s="746">
        <v>0.78449999999999998</v>
      </c>
      <c r="X79" s="746">
        <v>0.78449999999999998</v>
      </c>
      <c r="Y79" s="746">
        <v>4.1095000000000006</v>
      </c>
      <c r="Z79" s="2124">
        <v>0</v>
      </c>
      <c r="AA79" s="2124">
        <v>0.19713505868237771</v>
      </c>
      <c r="AB79" s="2151">
        <v>0.19713505868237771</v>
      </c>
    </row>
    <row r="80" spans="2:28">
      <c r="B80" s="2134">
        <v>96</v>
      </c>
      <c r="C80" s="2126"/>
      <c r="D80" s="2126">
        <v>3.798</v>
      </c>
      <c r="E80" s="2126">
        <v>1.371</v>
      </c>
      <c r="F80" s="2126">
        <v>1.371</v>
      </c>
      <c r="G80" s="2126">
        <v>3.798</v>
      </c>
      <c r="H80" s="2127">
        <v>0</v>
      </c>
      <c r="I80" s="2127">
        <v>0.36097946287519744</v>
      </c>
      <c r="J80" s="2135">
        <v>0.36097946287519744</v>
      </c>
      <c r="K80" s="2134">
        <v>96</v>
      </c>
      <c r="L80" s="2126">
        <v>0</v>
      </c>
      <c r="M80" s="2126">
        <v>4.024</v>
      </c>
      <c r="N80" s="2128">
        <v>2.7E-2</v>
      </c>
      <c r="O80" s="2126">
        <v>2.7E-2</v>
      </c>
      <c r="P80" s="2126">
        <v>4.024</v>
      </c>
      <c r="Q80" s="2127">
        <v>0</v>
      </c>
      <c r="R80" s="2127">
        <v>6.7097415506958248E-3</v>
      </c>
      <c r="S80" s="2135">
        <v>6.7097415506958248E-3</v>
      </c>
      <c r="T80" s="2134">
        <v>96</v>
      </c>
      <c r="U80" s="1742">
        <v>0</v>
      </c>
      <c r="V80" s="1742">
        <v>3.911</v>
      </c>
      <c r="W80" s="1742">
        <v>0.69899999999999995</v>
      </c>
      <c r="X80" s="1742">
        <v>0.69899999999999995</v>
      </c>
      <c r="Y80" s="1742">
        <v>3.911</v>
      </c>
      <c r="Z80" s="2129">
        <v>0</v>
      </c>
      <c r="AA80" s="2129">
        <v>0.18384460221294663</v>
      </c>
      <c r="AB80" s="2150">
        <v>0.18384460221294663</v>
      </c>
    </row>
    <row r="81" spans="2:28">
      <c r="B81" s="89">
        <v>97</v>
      </c>
      <c r="C81" s="1"/>
      <c r="D81" s="1">
        <v>3.6389999999999998</v>
      </c>
      <c r="E81" s="1">
        <v>1.216</v>
      </c>
      <c r="F81" s="1">
        <v>1.216</v>
      </c>
      <c r="G81" s="1">
        <v>3.6389999999999998</v>
      </c>
      <c r="H81" s="747">
        <v>0</v>
      </c>
      <c r="I81" s="747">
        <v>0.33415773564165979</v>
      </c>
      <c r="J81" s="2135">
        <v>0.33415773564165979</v>
      </c>
      <c r="K81" s="89">
        <v>97</v>
      </c>
      <c r="L81" s="1">
        <v>0</v>
      </c>
      <c r="M81" s="1">
        <v>3.8239999999999998</v>
      </c>
      <c r="N81" s="1462">
        <v>2.1000000000000001E-2</v>
      </c>
      <c r="O81" s="1">
        <v>2.1000000000000001E-2</v>
      </c>
      <c r="P81" s="1">
        <v>3.8239999999999998</v>
      </c>
      <c r="Q81" s="747">
        <v>0</v>
      </c>
      <c r="R81" s="747">
        <v>5.4916317991631804E-3</v>
      </c>
      <c r="S81" s="2136">
        <v>5.4916317991631804E-3</v>
      </c>
      <c r="T81" s="89">
        <v>97</v>
      </c>
      <c r="U81" s="746">
        <v>0</v>
      </c>
      <c r="V81" s="746">
        <v>3.7314999999999996</v>
      </c>
      <c r="W81" s="746">
        <v>0.61849999999999994</v>
      </c>
      <c r="X81" s="746">
        <v>0.61849999999999994</v>
      </c>
      <c r="Y81" s="746">
        <v>3.7314999999999996</v>
      </c>
      <c r="Z81" s="2124">
        <v>0</v>
      </c>
      <c r="AA81" s="2124">
        <v>0.16982468372041148</v>
      </c>
      <c r="AB81" s="2151">
        <v>0.16982468372041148</v>
      </c>
    </row>
    <row r="82" spans="2:28">
      <c r="B82" s="2134">
        <v>98</v>
      </c>
      <c r="C82" s="2126"/>
      <c r="D82" s="2126">
        <v>3.4950000000000001</v>
      </c>
      <c r="E82" s="2126">
        <v>1.0409999999999999</v>
      </c>
      <c r="F82" s="2126">
        <v>1.0409999999999999</v>
      </c>
      <c r="G82" s="2126">
        <v>3.4950000000000001</v>
      </c>
      <c r="H82" s="2127">
        <v>0</v>
      </c>
      <c r="I82" s="2127">
        <v>0.29785407725321883</v>
      </c>
      <c r="J82" s="2135">
        <v>0.29785407725321883</v>
      </c>
      <c r="K82" s="2134">
        <v>98</v>
      </c>
      <c r="L82" s="2126">
        <v>0</v>
      </c>
      <c r="M82" s="2126">
        <v>3.6429999999999998</v>
      </c>
      <c r="N82" s="2128">
        <v>1.7000000000000001E-2</v>
      </c>
      <c r="O82" s="2126">
        <v>1.7000000000000001E-2</v>
      </c>
      <c r="P82" s="2126">
        <v>3.6429999999999998</v>
      </c>
      <c r="Q82" s="2127">
        <v>0</v>
      </c>
      <c r="R82" s="2127">
        <v>4.6664836673071652E-3</v>
      </c>
      <c r="S82" s="2135">
        <v>4.6664836673071652E-3</v>
      </c>
      <c r="T82" s="2134">
        <v>98</v>
      </c>
      <c r="U82" s="1742">
        <v>0</v>
      </c>
      <c r="V82" s="1742">
        <v>3.569</v>
      </c>
      <c r="W82" s="1742">
        <v>0.52899999999999991</v>
      </c>
      <c r="X82" s="1742">
        <v>0.52899999999999991</v>
      </c>
      <c r="Y82" s="1742">
        <v>3.569</v>
      </c>
      <c r="Z82" s="2129">
        <v>0</v>
      </c>
      <c r="AA82" s="2129">
        <v>0.15126028046026299</v>
      </c>
      <c r="AB82" s="2150">
        <v>0.15126028046026299</v>
      </c>
    </row>
    <row r="83" spans="2:28">
      <c r="B83" s="89">
        <v>99</v>
      </c>
      <c r="C83" s="1"/>
      <c r="D83" s="1">
        <v>3.3639999999999999</v>
      </c>
      <c r="E83" s="1">
        <v>0.84799999999999998</v>
      </c>
      <c r="F83" s="1">
        <v>0.84799999999999998</v>
      </c>
      <c r="G83" s="1">
        <v>3.3639999999999999</v>
      </c>
      <c r="H83" s="747">
        <v>0</v>
      </c>
      <c r="I83" s="747">
        <v>0.25208085612366232</v>
      </c>
      <c r="J83" s="2135">
        <v>0.25208085612366232</v>
      </c>
      <c r="K83" s="89">
        <v>99</v>
      </c>
      <c r="L83" s="1">
        <v>0</v>
      </c>
      <c r="M83" s="1">
        <v>3.48</v>
      </c>
      <c r="N83" s="1462">
        <v>1.2999999999999999E-2</v>
      </c>
      <c r="O83" s="1">
        <v>1.2999999999999999E-2</v>
      </c>
      <c r="P83" s="1">
        <v>3.48</v>
      </c>
      <c r="Q83" s="747">
        <v>0</v>
      </c>
      <c r="R83" s="747">
        <v>3.7356321839080459E-3</v>
      </c>
      <c r="S83" s="2136">
        <v>3.7356321839080459E-3</v>
      </c>
      <c r="T83" s="89">
        <v>99</v>
      </c>
      <c r="U83" s="746">
        <v>0</v>
      </c>
      <c r="V83" s="746">
        <v>3.4219999999999997</v>
      </c>
      <c r="W83" s="746">
        <v>0.43049999999999999</v>
      </c>
      <c r="X83" s="746">
        <v>0.43049999999999999</v>
      </c>
      <c r="Y83" s="746">
        <v>3.4219999999999997</v>
      </c>
      <c r="Z83" s="2124">
        <v>0</v>
      </c>
      <c r="AA83" s="2124">
        <v>0.12790824415378518</v>
      </c>
      <c r="AB83" s="2151">
        <v>0.12790824415378518</v>
      </c>
    </row>
    <row r="84" spans="2:28" ht="15" thickBot="1">
      <c r="B84" s="2137">
        <v>100</v>
      </c>
      <c r="C84" s="2138"/>
      <c r="D84" s="2138">
        <v>3.2450000000000001</v>
      </c>
      <c r="E84" s="2138">
        <v>0.67200000000000004</v>
      </c>
      <c r="F84" s="2138">
        <v>0.67200000000000004</v>
      </c>
      <c r="G84" s="2138">
        <v>3.2450000000000001</v>
      </c>
      <c r="H84" s="2139">
        <v>0</v>
      </c>
      <c r="I84" s="2139">
        <v>0.20708782742681048</v>
      </c>
      <c r="J84" s="2135">
        <v>0.20708782742681048</v>
      </c>
      <c r="K84" s="2137">
        <v>100</v>
      </c>
      <c r="L84" s="2138">
        <v>0</v>
      </c>
      <c r="M84" s="2138">
        <v>3.335</v>
      </c>
      <c r="N84" s="2145">
        <v>0.01</v>
      </c>
      <c r="O84" s="2138">
        <v>0.01</v>
      </c>
      <c r="P84" s="2138">
        <v>3.335</v>
      </c>
      <c r="Q84" s="2139">
        <v>0</v>
      </c>
      <c r="R84" s="2139">
        <v>2.9985007496251873E-3</v>
      </c>
      <c r="S84" s="2140">
        <v>2.9985007496251873E-3</v>
      </c>
      <c r="T84" s="2137">
        <v>100</v>
      </c>
      <c r="U84" s="2152">
        <v>0</v>
      </c>
      <c r="V84" s="2152">
        <v>3.29</v>
      </c>
      <c r="W84" s="2152">
        <v>0.34100000000000003</v>
      </c>
      <c r="X84" s="2152">
        <v>0.34100000000000003</v>
      </c>
      <c r="Y84" s="2152">
        <v>3.29</v>
      </c>
      <c r="Z84" s="2153">
        <v>0</v>
      </c>
      <c r="AA84" s="2153">
        <v>0.10504316408821783</v>
      </c>
      <c r="AB84" s="2154">
        <v>0.10504316408821783</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AN59" sqref="AN59"/>
    </sheetView>
  </sheetViews>
  <sheetFormatPr baseColWidth="10" defaultColWidth="11.125" defaultRowHeight="14.25"/>
  <cols>
    <col min="1" max="1" width="5.5" style="25" customWidth="1"/>
    <col min="2" max="122" width="5.5" customWidth="1"/>
  </cols>
  <sheetData>
    <row r="1" spans="1:122" s="25" customFormat="1">
      <c r="A1" s="910" t="s">
        <v>929</v>
      </c>
      <c r="B1" s="916">
        <v>1900</v>
      </c>
      <c r="C1" s="916">
        <v>1901</v>
      </c>
      <c r="D1" s="916">
        <v>1902</v>
      </c>
      <c r="E1" s="916">
        <v>1903</v>
      </c>
      <c r="F1" s="916">
        <v>1904</v>
      </c>
      <c r="G1" s="916">
        <v>1905</v>
      </c>
      <c r="H1" s="916">
        <v>1906</v>
      </c>
      <c r="I1" s="916">
        <v>1907</v>
      </c>
      <c r="J1" s="916">
        <v>1908</v>
      </c>
      <c r="K1" s="916">
        <v>1909</v>
      </c>
      <c r="L1" s="916">
        <v>1910</v>
      </c>
      <c r="M1" s="916">
        <v>1911</v>
      </c>
      <c r="N1" s="916">
        <v>1912</v>
      </c>
      <c r="O1" s="916">
        <v>1913</v>
      </c>
      <c r="P1" s="916">
        <v>1914</v>
      </c>
      <c r="Q1" s="916">
        <v>1915</v>
      </c>
      <c r="R1" s="916">
        <v>1916</v>
      </c>
      <c r="S1" s="916">
        <v>1917</v>
      </c>
      <c r="T1" s="916">
        <v>1918</v>
      </c>
      <c r="U1" s="916">
        <v>1919</v>
      </c>
      <c r="V1" s="916">
        <v>1920</v>
      </c>
      <c r="W1" s="916">
        <v>1921</v>
      </c>
      <c r="X1" s="916">
        <v>1922</v>
      </c>
      <c r="Y1" s="916">
        <v>1923</v>
      </c>
      <c r="Z1" s="916">
        <v>1924</v>
      </c>
      <c r="AA1" s="916">
        <v>1925</v>
      </c>
      <c r="AB1" s="916">
        <v>1926</v>
      </c>
      <c r="AC1" s="916">
        <v>1927</v>
      </c>
      <c r="AD1" s="916">
        <v>1928</v>
      </c>
      <c r="AE1" s="916">
        <v>1929</v>
      </c>
      <c r="AF1" s="916">
        <v>1930</v>
      </c>
      <c r="AG1" s="916">
        <v>1931</v>
      </c>
      <c r="AH1" s="916">
        <v>1932</v>
      </c>
      <c r="AI1" s="916">
        <v>1933</v>
      </c>
      <c r="AJ1" s="916">
        <v>1934</v>
      </c>
      <c r="AK1" s="916">
        <v>1935</v>
      </c>
      <c r="AL1" s="916">
        <v>1936</v>
      </c>
      <c r="AM1" s="916">
        <v>1937</v>
      </c>
      <c r="AN1" s="916">
        <v>1938</v>
      </c>
      <c r="AO1" s="916">
        <v>1939</v>
      </c>
      <c r="AP1" s="916">
        <v>1940</v>
      </c>
      <c r="AQ1" s="916">
        <v>1941</v>
      </c>
      <c r="AR1" s="916">
        <v>1942</v>
      </c>
      <c r="AS1" s="916">
        <v>1943</v>
      </c>
      <c r="AT1" s="916">
        <v>1944</v>
      </c>
      <c r="AU1" s="916">
        <v>1945</v>
      </c>
      <c r="AV1" s="916">
        <v>1946</v>
      </c>
      <c r="AW1" s="916">
        <v>1947</v>
      </c>
      <c r="AX1" s="916">
        <v>1948</v>
      </c>
      <c r="AY1" s="916">
        <v>1949</v>
      </c>
      <c r="AZ1" s="916">
        <v>1950</v>
      </c>
      <c r="BA1" s="916">
        <v>1951</v>
      </c>
      <c r="BB1" s="916">
        <v>1952</v>
      </c>
      <c r="BC1" s="916">
        <v>1953</v>
      </c>
      <c r="BD1" s="916">
        <v>1954</v>
      </c>
      <c r="BE1" s="916">
        <v>1955</v>
      </c>
      <c r="BF1" s="916">
        <v>1956</v>
      </c>
      <c r="BG1" s="916">
        <v>1957</v>
      </c>
      <c r="BH1" s="916">
        <v>1958</v>
      </c>
      <c r="BI1" s="916">
        <v>1959</v>
      </c>
      <c r="BJ1" s="916">
        <v>1960</v>
      </c>
      <c r="BK1" s="916">
        <v>1961</v>
      </c>
      <c r="BL1" s="916">
        <v>1962</v>
      </c>
      <c r="BM1" s="916">
        <v>1963</v>
      </c>
      <c r="BN1" s="916">
        <v>1964</v>
      </c>
      <c r="BO1" s="916">
        <v>1965</v>
      </c>
      <c r="BP1" s="916">
        <v>1966</v>
      </c>
      <c r="BQ1" s="916">
        <v>1967</v>
      </c>
      <c r="BR1" s="916">
        <v>1968</v>
      </c>
      <c r="BS1" s="916">
        <v>1969</v>
      </c>
      <c r="BT1" s="916">
        <v>1970</v>
      </c>
      <c r="BU1" s="916">
        <v>1971</v>
      </c>
      <c r="BV1" s="916">
        <v>1972</v>
      </c>
      <c r="BW1" s="916">
        <v>1973</v>
      </c>
      <c r="BX1" s="916">
        <v>1974</v>
      </c>
      <c r="BY1" s="916">
        <v>1975</v>
      </c>
      <c r="BZ1" s="916">
        <v>1976</v>
      </c>
      <c r="CA1" s="916">
        <v>1977</v>
      </c>
      <c r="CB1" s="916">
        <v>1978</v>
      </c>
      <c r="CC1" s="916">
        <v>1979</v>
      </c>
      <c r="CD1" s="916">
        <v>1980</v>
      </c>
      <c r="CE1" s="916">
        <v>1981</v>
      </c>
      <c r="CF1" s="916">
        <v>1982</v>
      </c>
      <c r="CG1" s="916">
        <v>1983</v>
      </c>
      <c r="CH1" s="916">
        <v>1984</v>
      </c>
      <c r="CI1" s="916">
        <v>1985</v>
      </c>
      <c r="CJ1" s="916">
        <v>1986</v>
      </c>
      <c r="CK1" s="916">
        <v>1987</v>
      </c>
      <c r="CL1" s="916">
        <v>1988</v>
      </c>
      <c r="CM1" s="916">
        <v>1989</v>
      </c>
      <c r="CN1" s="916">
        <v>1990</v>
      </c>
      <c r="CO1" s="916">
        <v>1991</v>
      </c>
      <c r="CP1" s="916">
        <v>1992</v>
      </c>
      <c r="CQ1" s="916">
        <v>1993</v>
      </c>
      <c r="CR1" s="916">
        <v>1994</v>
      </c>
      <c r="CS1" s="916">
        <v>1995</v>
      </c>
      <c r="CT1" s="916">
        <v>1996</v>
      </c>
      <c r="CU1" s="916">
        <v>1997</v>
      </c>
      <c r="CV1" s="916">
        <v>1998</v>
      </c>
      <c r="CW1" s="916">
        <v>1999</v>
      </c>
      <c r="CX1" s="916">
        <v>2000</v>
      </c>
      <c r="CY1" s="916">
        <v>2001</v>
      </c>
      <c r="CZ1" s="916">
        <v>2002</v>
      </c>
      <c r="DA1" s="916">
        <v>2003</v>
      </c>
      <c r="DB1" s="916">
        <v>2004</v>
      </c>
      <c r="DC1" s="916">
        <v>2005</v>
      </c>
      <c r="DD1" s="916">
        <v>2006</v>
      </c>
      <c r="DE1" s="916">
        <v>2007</v>
      </c>
      <c r="DF1" s="916">
        <v>2008</v>
      </c>
      <c r="DG1" s="916">
        <v>2009</v>
      </c>
      <c r="DH1" s="916">
        <v>2010</v>
      </c>
      <c r="DI1" s="916">
        <v>2011</v>
      </c>
      <c r="DJ1" s="916">
        <v>2012</v>
      </c>
      <c r="DK1" s="916">
        <v>2013</v>
      </c>
      <c r="DL1" s="916">
        <v>2014</v>
      </c>
      <c r="DM1" s="916">
        <v>2015</v>
      </c>
      <c r="DN1" s="916">
        <v>2016</v>
      </c>
      <c r="DO1" s="916">
        <v>2017</v>
      </c>
      <c r="DP1" s="916">
        <v>2018</v>
      </c>
      <c r="DQ1" s="916">
        <v>2019</v>
      </c>
      <c r="DR1" s="916">
        <v>2020</v>
      </c>
    </row>
    <row r="2" spans="1:122">
      <c r="A2" s="918">
        <v>0</v>
      </c>
      <c r="B2" s="90"/>
      <c r="C2" s="90"/>
      <c r="D2" s="90"/>
      <c r="E2" s="90"/>
      <c r="F2" s="90"/>
      <c r="G2" s="90"/>
      <c r="H2" s="90"/>
      <c r="I2" s="90"/>
      <c r="J2" s="90"/>
      <c r="K2" s="90"/>
      <c r="L2" s="90"/>
      <c r="M2" s="90"/>
      <c r="N2" s="90"/>
      <c r="O2" s="90"/>
      <c r="P2" s="90"/>
      <c r="Q2" s="90"/>
      <c r="R2" s="90"/>
      <c r="S2" s="90"/>
      <c r="T2" s="90"/>
      <c r="U2" s="90"/>
      <c r="V2" s="745"/>
      <c r="W2" s="745">
        <v>65.28</v>
      </c>
      <c r="X2" s="745">
        <v>66.06</v>
      </c>
      <c r="Y2" s="745">
        <v>66.28</v>
      </c>
      <c r="Z2" s="745">
        <v>68.099999999999994</v>
      </c>
      <c r="AA2" s="745">
        <v>68.569999999999993</v>
      </c>
      <c r="AB2" s="745">
        <v>69.209999999999994</v>
      </c>
      <c r="AC2" s="745">
        <v>70.08</v>
      </c>
      <c r="AD2" s="745">
        <v>70.86</v>
      </c>
      <c r="AE2" s="745">
        <v>70.98</v>
      </c>
      <c r="AF2" s="745">
        <v>72.040000000000006</v>
      </c>
      <c r="AG2" s="745">
        <v>72.569999999999993</v>
      </c>
      <c r="AH2" s="745">
        <v>72.86</v>
      </c>
      <c r="AI2" s="745">
        <v>73.349999999999994</v>
      </c>
      <c r="AJ2" s="745">
        <v>74.55</v>
      </c>
      <c r="AK2" s="745">
        <v>74.78</v>
      </c>
      <c r="AL2" s="745">
        <v>75.31</v>
      </c>
      <c r="AM2" s="745">
        <v>75.75</v>
      </c>
      <c r="AN2" s="745">
        <v>76.33</v>
      </c>
      <c r="AO2" s="745">
        <v>76.489999999999995</v>
      </c>
      <c r="AP2" s="745">
        <v>76.69</v>
      </c>
      <c r="AQ2" s="745">
        <v>76.81</v>
      </c>
      <c r="AR2" s="745">
        <v>76.88</v>
      </c>
      <c r="AS2" s="745">
        <v>76.489999999999995</v>
      </c>
      <c r="AT2" s="745">
        <v>75.92</v>
      </c>
      <c r="AU2" s="745">
        <v>75.05</v>
      </c>
      <c r="AV2" s="745">
        <v>75.27</v>
      </c>
      <c r="AW2" s="745">
        <v>75.73</v>
      </c>
      <c r="AX2" s="745">
        <v>77.45</v>
      </c>
      <c r="AY2" s="745">
        <v>78.94</v>
      </c>
      <c r="AZ2" s="745">
        <v>79.13</v>
      </c>
      <c r="BA2" s="745">
        <v>79.3</v>
      </c>
      <c r="BB2" s="745">
        <v>79.900000000000006</v>
      </c>
      <c r="BC2" s="745">
        <v>80.22</v>
      </c>
      <c r="BD2" s="745">
        <v>80.59</v>
      </c>
      <c r="BE2" s="745">
        <v>80.78</v>
      </c>
      <c r="BF2" s="745">
        <v>81.209999999999994</v>
      </c>
      <c r="BG2" s="745">
        <v>81.5</v>
      </c>
      <c r="BH2" s="745">
        <v>81.83</v>
      </c>
      <c r="BI2" s="745">
        <v>82.04</v>
      </c>
      <c r="BJ2" s="745">
        <v>82.37</v>
      </c>
      <c r="BK2" s="745">
        <v>82.73</v>
      </c>
      <c r="BL2" s="745">
        <v>83.14</v>
      </c>
      <c r="BM2" s="745">
        <v>83.5</v>
      </c>
      <c r="BN2" s="745">
        <v>83.84</v>
      </c>
      <c r="BO2" s="745">
        <v>84.12</v>
      </c>
      <c r="BP2" s="745">
        <v>84.41</v>
      </c>
      <c r="BQ2" s="745">
        <v>84.61</v>
      </c>
      <c r="BR2" s="745">
        <v>84.83</v>
      </c>
      <c r="BS2" s="745">
        <v>84.98</v>
      </c>
      <c r="BT2" s="745">
        <v>85.18</v>
      </c>
      <c r="BU2" s="745">
        <v>85.36</v>
      </c>
      <c r="BV2" s="745">
        <v>85.58</v>
      </c>
      <c r="BW2" s="745">
        <v>85.79</v>
      </c>
      <c r="BX2" s="745">
        <v>86.01</v>
      </c>
      <c r="BY2" s="745">
        <v>86.22</v>
      </c>
      <c r="BZ2" s="745">
        <v>86.54</v>
      </c>
      <c r="CA2" s="745">
        <v>86.82</v>
      </c>
      <c r="CB2" s="745">
        <v>87.04</v>
      </c>
      <c r="CC2" s="745">
        <v>87.24</v>
      </c>
      <c r="CD2" s="745">
        <v>87.44</v>
      </c>
      <c r="CE2" s="745">
        <v>87.64</v>
      </c>
      <c r="CF2" s="745">
        <v>87.83</v>
      </c>
      <c r="CG2" s="745">
        <v>88.04</v>
      </c>
      <c r="CH2" s="745">
        <v>88.22</v>
      </c>
      <c r="CI2" s="745">
        <v>88.43</v>
      </c>
      <c r="CJ2" s="745">
        <v>88.59</v>
      </c>
      <c r="CK2" s="745">
        <v>88.77</v>
      </c>
      <c r="CL2" s="745">
        <v>88.98</v>
      </c>
      <c r="CM2" s="745">
        <v>89.13</v>
      </c>
      <c r="CN2" s="745">
        <v>89.31</v>
      </c>
      <c r="CO2" s="745">
        <v>89.46</v>
      </c>
      <c r="CP2" s="745">
        <v>89.64</v>
      </c>
      <c r="CQ2" s="745">
        <v>89.79</v>
      </c>
      <c r="CR2" s="745">
        <v>89.95</v>
      </c>
      <c r="CS2" s="745">
        <v>90.1</v>
      </c>
      <c r="CT2" s="745">
        <v>90.25</v>
      </c>
      <c r="CU2" s="745">
        <v>90.39</v>
      </c>
      <c r="CV2" s="745">
        <v>90.5</v>
      </c>
      <c r="CW2" s="745">
        <v>90.65</v>
      </c>
      <c r="CX2" s="745">
        <v>90.79</v>
      </c>
      <c r="CY2" s="745">
        <v>90.92</v>
      </c>
      <c r="CZ2" s="745">
        <v>91.02</v>
      </c>
      <c r="DA2" s="745">
        <v>91.15</v>
      </c>
      <c r="DB2" s="745">
        <v>91.27</v>
      </c>
      <c r="DC2" s="745">
        <v>91.42</v>
      </c>
      <c r="DD2" s="745">
        <v>91.53</v>
      </c>
      <c r="DE2" s="745">
        <v>91.66</v>
      </c>
      <c r="DF2" s="745">
        <v>91.81</v>
      </c>
      <c r="DG2" s="745">
        <v>91.9</v>
      </c>
      <c r="DH2" s="745">
        <v>92.03</v>
      </c>
      <c r="DI2" s="745">
        <v>92.11</v>
      </c>
      <c r="DJ2" s="745">
        <v>92.24</v>
      </c>
      <c r="DK2" s="745">
        <v>92.36</v>
      </c>
      <c r="DL2" s="745">
        <v>92.47</v>
      </c>
      <c r="DM2" s="745">
        <v>92.55</v>
      </c>
      <c r="DN2" s="745">
        <v>92.66</v>
      </c>
      <c r="DO2" s="745">
        <v>92.77</v>
      </c>
      <c r="DP2" s="745">
        <v>92.89</v>
      </c>
      <c r="DQ2" s="745">
        <v>93.01</v>
      </c>
      <c r="DR2" s="745">
        <v>93.12</v>
      </c>
    </row>
    <row r="3" spans="1:122">
      <c r="A3" s="918">
        <v>1</v>
      </c>
      <c r="B3" s="90"/>
      <c r="C3" s="90"/>
      <c r="D3" s="90"/>
      <c r="E3" s="90"/>
      <c r="F3" s="90"/>
      <c r="G3" s="90"/>
      <c r="H3" s="90"/>
      <c r="I3" s="90"/>
      <c r="J3" s="90"/>
      <c r="K3" s="90"/>
      <c r="L3" s="90"/>
      <c r="M3" s="90"/>
      <c r="N3" s="90"/>
      <c r="O3" s="90"/>
      <c r="P3" s="90"/>
      <c r="Q3" s="90"/>
      <c r="R3" s="90"/>
      <c r="S3" s="90"/>
      <c r="T3" s="90"/>
      <c r="U3" s="90"/>
      <c r="V3" s="745"/>
      <c r="W3" s="745">
        <v>73.16</v>
      </c>
      <c r="X3" s="745">
        <v>73.69</v>
      </c>
      <c r="Y3" s="745">
        <v>74.2</v>
      </c>
      <c r="Z3" s="745">
        <v>74.47</v>
      </c>
      <c r="AA3" s="745">
        <v>74.66</v>
      </c>
      <c r="AB3" s="745">
        <v>75.11</v>
      </c>
      <c r="AC3" s="745">
        <v>75.650000000000006</v>
      </c>
      <c r="AD3" s="745">
        <v>75.92</v>
      </c>
      <c r="AE3" s="745">
        <v>76.5</v>
      </c>
      <c r="AF3" s="745">
        <v>76.86</v>
      </c>
      <c r="AG3" s="745">
        <v>77.150000000000006</v>
      </c>
      <c r="AH3" s="745">
        <v>77.41</v>
      </c>
      <c r="AI3" s="745">
        <v>77.680000000000007</v>
      </c>
      <c r="AJ3" s="745">
        <v>78.13</v>
      </c>
      <c r="AK3" s="745">
        <v>78.53</v>
      </c>
      <c r="AL3" s="745">
        <v>78.930000000000007</v>
      </c>
      <c r="AM3" s="745">
        <v>79.27</v>
      </c>
      <c r="AN3" s="745">
        <v>79.540000000000006</v>
      </c>
      <c r="AO3" s="745">
        <v>79.81</v>
      </c>
      <c r="AP3" s="745">
        <v>80.02</v>
      </c>
      <c r="AQ3" s="745">
        <v>80.14</v>
      </c>
      <c r="AR3" s="745">
        <v>80.209999999999994</v>
      </c>
      <c r="AS3" s="745">
        <v>80.260000000000005</v>
      </c>
      <c r="AT3" s="745">
        <v>80.34</v>
      </c>
      <c r="AU3" s="745">
        <v>80.58</v>
      </c>
      <c r="AV3" s="745">
        <v>80.849999999999994</v>
      </c>
      <c r="AW3" s="745">
        <v>81.36</v>
      </c>
      <c r="AX3" s="745">
        <v>81.81</v>
      </c>
      <c r="AY3" s="745">
        <v>82.01</v>
      </c>
      <c r="AZ3" s="745">
        <v>82.2</v>
      </c>
      <c r="BA3" s="745">
        <v>82.38</v>
      </c>
      <c r="BB3" s="745">
        <v>82.53</v>
      </c>
      <c r="BC3" s="745">
        <v>82.69</v>
      </c>
      <c r="BD3" s="745">
        <v>82.82</v>
      </c>
      <c r="BE3" s="745">
        <v>82.97</v>
      </c>
      <c r="BF3" s="745">
        <v>83.16</v>
      </c>
      <c r="BG3" s="745">
        <v>83.38</v>
      </c>
      <c r="BH3" s="745">
        <v>83.57</v>
      </c>
      <c r="BI3" s="745">
        <v>83.74</v>
      </c>
      <c r="BJ3" s="745">
        <v>83.92</v>
      </c>
      <c r="BK3" s="745">
        <v>84.11</v>
      </c>
      <c r="BL3" s="745">
        <v>84.34</v>
      </c>
      <c r="BM3" s="745">
        <v>84.56</v>
      </c>
      <c r="BN3" s="745">
        <v>84.74</v>
      </c>
      <c r="BO3" s="745">
        <v>84.92</v>
      </c>
      <c r="BP3" s="745">
        <v>85.13</v>
      </c>
      <c r="BQ3" s="745">
        <v>85.31</v>
      </c>
      <c r="BR3" s="745">
        <v>85.46</v>
      </c>
      <c r="BS3" s="745">
        <v>85.67</v>
      </c>
      <c r="BT3" s="745">
        <v>85.84</v>
      </c>
      <c r="BU3" s="745">
        <v>86</v>
      </c>
      <c r="BV3" s="745">
        <v>86.17</v>
      </c>
      <c r="BW3" s="745">
        <v>86.33</v>
      </c>
      <c r="BX3" s="745">
        <v>86.49</v>
      </c>
      <c r="BY3" s="745">
        <v>86.65</v>
      </c>
      <c r="BZ3" s="745">
        <v>86.78</v>
      </c>
      <c r="CA3" s="745">
        <v>86.94</v>
      </c>
      <c r="CB3" s="745">
        <v>87.11</v>
      </c>
      <c r="CC3" s="745">
        <v>87.24</v>
      </c>
      <c r="CD3" s="745">
        <v>87.4</v>
      </c>
      <c r="CE3" s="745">
        <v>87.54</v>
      </c>
      <c r="CF3" s="745">
        <v>87.68</v>
      </c>
      <c r="CG3" s="745">
        <v>87.83</v>
      </c>
      <c r="CH3" s="745">
        <v>87.98</v>
      </c>
      <c r="CI3" s="745">
        <v>88.14</v>
      </c>
      <c r="CJ3" s="745">
        <v>88.26</v>
      </c>
      <c r="CK3" s="745">
        <v>88.41</v>
      </c>
      <c r="CL3" s="745">
        <v>88.56</v>
      </c>
      <c r="CM3" s="745">
        <v>88.7</v>
      </c>
      <c r="CN3" s="745">
        <v>88.85</v>
      </c>
      <c r="CO3" s="745">
        <v>88.98</v>
      </c>
      <c r="CP3" s="745">
        <v>89.12</v>
      </c>
      <c r="CQ3" s="745">
        <v>89.24</v>
      </c>
      <c r="CR3" s="745">
        <v>89.38</v>
      </c>
      <c r="CS3" s="745">
        <v>89.52</v>
      </c>
      <c r="CT3" s="745">
        <v>89.65</v>
      </c>
      <c r="CU3" s="745">
        <v>89.77</v>
      </c>
      <c r="CV3" s="745">
        <v>89.88</v>
      </c>
      <c r="CW3" s="745">
        <v>90.01</v>
      </c>
      <c r="CX3" s="745">
        <v>90.14</v>
      </c>
      <c r="CY3" s="745">
        <v>90.26</v>
      </c>
      <c r="CZ3" s="745">
        <v>90.37</v>
      </c>
      <c r="DA3" s="745">
        <v>90.5</v>
      </c>
      <c r="DB3" s="745">
        <v>90.61</v>
      </c>
      <c r="DC3" s="745">
        <v>90.73</v>
      </c>
      <c r="DD3" s="745">
        <v>90.85</v>
      </c>
      <c r="DE3" s="745">
        <v>90.97</v>
      </c>
      <c r="DF3" s="745">
        <v>91.09</v>
      </c>
      <c r="DG3" s="745">
        <v>91.19</v>
      </c>
      <c r="DH3" s="745">
        <v>91.31</v>
      </c>
      <c r="DI3" s="745">
        <v>91.42</v>
      </c>
      <c r="DJ3" s="745">
        <v>91.52</v>
      </c>
      <c r="DK3" s="745">
        <v>91.63</v>
      </c>
      <c r="DL3" s="745">
        <v>91.74</v>
      </c>
      <c r="DM3" s="745">
        <v>91.84</v>
      </c>
      <c r="DN3" s="745">
        <v>91.95</v>
      </c>
      <c r="DO3" s="745">
        <v>92.05</v>
      </c>
      <c r="DP3" s="745">
        <v>92.16</v>
      </c>
      <c r="DQ3" s="745">
        <v>92.26</v>
      </c>
      <c r="DR3" s="745">
        <v>92.36</v>
      </c>
    </row>
    <row r="4" spans="1:122">
      <c r="A4" s="918">
        <v>2</v>
      </c>
      <c r="B4" s="90"/>
      <c r="C4" s="90"/>
      <c r="D4" s="90"/>
      <c r="E4" s="90"/>
      <c r="F4" s="90"/>
      <c r="G4" s="90"/>
      <c r="H4" s="90"/>
      <c r="I4" s="90"/>
      <c r="J4" s="90"/>
      <c r="K4" s="90"/>
      <c r="L4" s="90"/>
      <c r="M4" s="90"/>
      <c r="N4" s="90"/>
      <c r="O4" s="90"/>
      <c r="P4" s="90"/>
      <c r="Q4" s="90"/>
      <c r="R4" s="90"/>
      <c r="S4" s="90"/>
      <c r="T4" s="90"/>
      <c r="U4" s="90"/>
      <c r="V4" s="745"/>
      <c r="W4" s="745">
        <v>73.52</v>
      </c>
      <c r="X4" s="745">
        <v>74.099999999999994</v>
      </c>
      <c r="Y4" s="745">
        <v>74.31</v>
      </c>
      <c r="Z4" s="745">
        <v>74.59</v>
      </c>
      <c r="AA4" s="745">
        <v>74.790000000000006</v>
      </c>
      <c r="AB4" s="745">
        <v>75.150000000000006</v>
      </c>
      <c r="AC4" s="745">
        <v>75.489999999999995</v>
      </c>
      <c r="AD4" s="745">
        <v>75.819999999999993</v>
      </c>
      <c r="AE4" s="745">
        <v>76.19</v>
      </c>
      <c r="AF4" s="745">
        <v>76.52</v>
      </c>
      <c r="AG4" s="745">
        <v>76.78</v>
      </c>
      <c r="AH4" s="745">
        <v>77.05</v>
      </c>
      <c r="AI4" s="745">
        <v>77.319999999999993</v>
      </c>
      <c r="AJ4" s="745">
        <v>77.69</v>
      </c>
      <c r="AK4" s="745">
        <v>78.08</v>
      </c>
      <c r="AL4" s="745">
        <v>78.47</v>
      </c>
      <c r="AM4" s="745">
        <v>78.77</v>
      </c>
      <c r="AN4" s="745">
        <v>79.05</v>
      </c>
      <c r="AO4" s="745">
        <v>79.319999999999993</v>
      </c>
      <c r="AP4" s="745">
        <v>79.53</v>
      </c>
      <c r="AQ4" s="745">
        <v>79.66</v>
      </c>
      <c r="AR4" s="745">
        <v>79.78</v>
      </c>
      <c r="AS4" s="745">
        <v>79.91</v>
      </c>
      <c r="AT4" s="745">
        <v>80.12</v>
      </c>
      <c r="AU4" s="745">
        <v>80.349999999999994</v>
      </c>
      <c r="AV4" s="745">
        <v>80.63</v>
      </c>
      <c r="AW4" s="745">
        <v>80.98</v>
      </c>
      <c r="AX4" s="745">
        <v>81.099999999999994</v>
      </c>
      <c r="AY4" s="745">
        <v>81.3</v>
      </c>
      <c r="AZ4" s="745">
        <v>81.5</v>
      </c>
      <c r="BA4" s="745">
        <v>81.650000000000006</v>
      </c>
      <c r="BB4" s="745">
        <v>81.78</v>
      </c>
      <c r="BC4" s="745">
        <v>81.92</v>
      </c>
      <c r="BD4" s="745">
        <v>82.06</v>
      </c>
      <c r="BE4" s="745">
        <v>82.18</v>
      </c>
      <c r="BF4" s="745">
        <v>82.39</v>
      </c>
      <c r="BG4" s="745">
        <v>82.57</v>
      </c>
      <c r="BH4" s="745">
        <v>82.77</v>
      </c>
      <c r="BI4" s="745">
        <v>82.92</v>
      </c>
      <c r="BJ4" s="745">
        <v>83.1</v>
      </c>
      <c r="BK4" s="745">
        <v>83.28</v>
      </c>
      <c r="BL4" s="745">
        <v>83.49</v>
      </c>
      <c r="BM4" s="745">
        <v>83.71</v>
      </c>
      <c r="BN4" s="745">
        <v>83.88</v>
      </c>
      <c r="BO4" s="745">
        <v>84.05</v>
      </c>
      <c r="BP4" s="745">
        <v>84.26</v>
      </c>
      <c r="BQ4" s="745">
        <v>84.43</v>
      </c>
      <c r="BR4" s="745">
        <v>84.59</v>
      </c>
      <c r="BS4" s="745">
        <v>84.79</v>
      </c>
      <c r="BT4" s="745">
        <v>84.95</v>
      </c>
      <c r="BU4" s="745">
        <v>85.1</v>
      </c>
      <c r="BV4" s="745">
        <v>85.27</v>
      </c>
      <c r="BW4" s="745">
        <v>85.43</v>
      </c>
      <c r="BX4" s="745">
        <v>85.58</v>
      </c>
      <c r="BY4" s="745">
        <v>85.73</v>
      </c>
      <c r="BZ4" s="745">
        <v>85.86</v>
      </c>
      <c r="CA4" s="745">
        <v>86.02</v>
      </c>
      <c r="CB4" s="745">
        <v>86.19</v>
      </c>
      <c r="CC4" s="745">
        <v>86.32</v>
      </c>
      <c r="CD4" s="745">
        <v>86.47</v>
      </c>
      <c r="CE4" s="745">
        <v>86.61</v>
      </c>
      <c r="CF4" s="745">
        <v>86.75</v>
      </c>
      <c r="CG4" s="745">
        <v>86.89</v>
      </c>
      <c r="CH4" s="745">
        <v>87.05</v>
      </c>
      <c r="CI4" s="745">
        <v>87.2</v>
      </c>
      <c r="CJ4" s="745">
        <v>87.31</v>
      </c>
      <c r="CK4" s="745">
        <v>87.46</v>
      </c>
      <c r="CL4" s="745">
        <v>87.61</v>
      </c>
      <c r="CM4" s="745">
        <v>87.75</v>
      </c>
      <c r="CN4" s="745">
        <v>87.9</v>
      </c>
      <c r="CO4" s="745">
        <v>88.03</v>
      </c>
      <c r="CP4" s="745">
        <v>88.17</v>
      </c>
      <c r="CQ4" s="745">
        <v>88.29</v>
      </c>
      <c r="CR4" s="745">
        <v>88.42</v>
      </c>
      <c r="CS4" s="745">
        <v>88.55</v>
      </c>
      <c r="CT4" s="745">
        <v>88.69</v>
      </c>
      <c r="CU4" s="745">
        <v>88.8</v>
      </c>
      <c r="CV4" s="745">
        <v>88.91</v>
      </c>
      <c r="CW4" s="745">
        <v>89.05</v>
      </c>
      <c r="CX4" s="745">
        <v>89.17</v>
      </c>
      <c r="CY4" s="745">
        <v>89.3</v>
      </c>
      <c r="CZ4" s="745">
        <v>89.41</v>
      </c>
      <c r="DA4" s="745">
        <v>89.53</v>
      </c>
      <c r="DB4" s="745">
        <v>89.64</v>
      </c>
      <c r="DC4" s="745">
        <v>89.76</v>
      </c>
      <c r="DD4" s="745">
        <v>89.88</v>
      </c>
      <c r="DE4" s="745">
        <v>89.99</v>
      </c>
      <c r="DF4" s="745">
        <v>90.11</v>
      </c>
      <c r="DG4" s="745">
        <v>90.22</v>
      </c>
      <c r="DH4" s="745">
        <v>90.33</v>
      </c>
      <c r="DI4" s="745">
        <v>90.44</v>
      </c>
      <c r="DJ4" s="745">
        <v>90.54</v>
      </c>
      <c r="DK4" s="745">
        <v>90.65</v>
      </c>
      <c r="DL4" s="745">
        <v>90.76</v>
      </c>
      <c r="DM4" s="745">
        <v>90.86</v>
      </c>
      <c r="DN4" s="745">
        <v>90.97</v>
      </c>
      <c r="DO4" s="745">
        <v>91.07</v>
      </c>
      <c r="DP4" s="745">
        <v>91.18</v>
      </c>
      <c r="DQ4" s="745">
        <v>91.28</v>
      </c>
      <c r="DR4" s="745">
        <v>91.38</v>
      </c>
    </row>
    <row r="5" spans="1:122">
      <c r="A5" s="918">
        <v>3</v>
      </c>
      <c r="B5" s="90"/>
      <c r="C5" s="90"/>
      <c r="D5" s="90"/>
      <c r="E5" s="90"/>
      <c r="F5" s="90"/>
      <c r="G5" s="90"/>
      <c r="H5" s="90"/>
      <c r="I5" s="90"/>
      <c r="J5" s="90"/>
      <c r="K5" s="90"/>
      <c r="L5" s="90"/>
      <c r="M5" s="90"/>
      <c r="N5" s="90"/>
      <c r="O5" s="90"/>
      <c r="P5" s="90"/>
      <c r="Q5" s="90"/>
      <c r="R5" s="90"/>
      <c r="S5" s="90"/>
      <c r="T5" s="90"/>
      <c r="U5" s="90"/>
      <c r="V5" s="745"/>
      <c r="W5" s="745">
        <v>73.31</v>
      </c>
      <c r="X5" s="745">
        <v>73.53</v>
      </c>
      <c r="Y5" s="745">
        <v>73.739999999999995</v>
      </c>
      <c r="Z5" s="745">
        <v>74.010000000000005</v>
      </c>
      <c r="AA5" s="745">
        <v>74.239999999999995</v>
      </c>
      <c r="AB5" s="745">
        <v>74.56</v>
      </c>
      <c r="AC5" s="745">
        <v>74.95</v>
      </c>
      <c r="AD5" s="745">
        <v>75.19</v>
      </c>
      <c r="AE5" s="745">
        <v>75.52</v>
      </c>
      <c r="AF5" s="745">
        <v>75.819999999999993</v>
      </c>
      <c r="AG5" s="745">
        <v>76.09</v>
      </c>
      <c r="AH5" s="745">
        <v>76.36</v>
      </c>
      <c r="AI5" s="745">
        <v>76.67</v>
      </c>
      <c r="AJ5" s="745">
        <v>77.08</v>
      </c>
      <c r="AK5" s="745">
        <v>77.41</v>
      </c>
      <c r="AL5" s="745">
        <v>77.78</v>
      </c>
      <c r="AM5" s="745">
        <v>78.099999999999994</v>
      </c>
      <c r="AN5" s="745">
        <v>78.38</v>
      </c>
      <c r="AO5" s="745">
        <v>78.650000000000006</v>
      </c>
      <c r="AP5" s="745">
        <v>78.86</v>
      </c>
      <c r="AQ5" s="745">
        <v>79.02</v>
      </c>
      <c r="AR5" s="745">
        <v>79.2</v>
      </c>
      <c r="AS5" s="745">
        <v>79.41</v>
      </c>
      <c r="AT5" s="745">
        <v>79.5</v>
      </c>
      <c r="AU5" s="745">
        <v>79.73</v>
      </c>
      <c r="AV5" s="745">
        <v>79.88</v>
      </c>
      <c r="AW5" s="745">
        <v>80.16</v>
      </c>
      <c r="AX5" s="745">
        <v>80.27</v>
      </c>
      <c r="AY5" s="745">
        <v>80.48</v>
      </c>
      <c r="AZ5" s="745">
        <v>80.62</v>
      </c>
      <c r="BA5" s="745">
        <v>80.78</v>
      </c>
      <c r="BB5" s="745">
        <v>80.900000000000006</v>
      </c>
      <c r="BC5" s="745">
        <v>81.040000000000006</v>
      </c>
      <c r="BD5" s="745">
        <v>81.17</v>
      </c>
      <c r="BE5" s="745">
        <v>81.290000000000006</v>
      </c>
      <c r="BF5" s="745">
        <v>81.489999999999995</v>
      </c>
      <c r="BG5" s="745">
        <v>81.67</v>
      </c>
      <c r="BH5" s="745">
        <v>81.86</v>
      </c>
      <c r="BI5" s="745">
        <v>82.01</v>
      </c>
      <c r="BJ5" s="745">
        <v>82.19</v>
      </c>
      <c r="BK5" s="745">
        <v>82.37</v>
      </c>
      <c r="BL5" s="745">
        <v>82.57</v>
      </c>
      <c r="BM5" s="745">
        <v>82.78</v>
      </c>
      <c r="BN5" s="745">
        <v>82.96</v>
      </c>
      <c r="BO5" s="745">
        <v>83.12</v>
      </c>
      <c r="BP5" s="745">
        <v>83.33</v>
      </c>
      <c r="BQ5" s="745">
        <v>83.51</v>
      </c>
      <c r="BR5" s="745">
        <v>83.65</v>
      </c>
      <c r="BS5" s="745">
        <v>83.85</v>
      </c>
      <c r="BT5" s="745">
        <v>84.01</v>
      </c>
      <c r="BU5" s="745">
        <v>84.16</v>
      </c>
      <c r="BV5" s="745">
        <v>84.33</v>
      </c>
      <c r="BW5" s="745">
        <v>84.48</v>
      </c>
      <c r="BX5" s="745">
        <v>84.63</v>
      </c>
      <c r="BY5" s="745">
        <v>84.78</v>
      </c>
      <c r="BZ5" s="745">
        <v>84.91</v>
      </c>
      <c r="CA5" s="745">
        <v>85.07</v>
      </c>
      <c r="CB5" s="745">
        <v>85.23</v>
      </c>
      <c r="CC5" s="745">
        <v>85.37</v>
      </c>
      <c r="CD5" s="745">
        <v>85.51</v>
      </c>
      <c r="CE5" s="745">
        <v>85.64</v>
      </c>
      <c r="CF5" s="745">
        <v>85.79</v>
      </c>
      <c r="CG5" s="745">
        <v>85.92</v>
      </c>
      <c r="CH5" s="745">
        <v>86.08</v>
      </c>
      <c r="CI5" s="745">
        <v>86.23</v>
      </c>
      <c r="CJ5" s="745">
        <v>86.35</v>
      </c>
      <c r="CK5" s="745">
        <v>86.49</v>
      </c>
      <c r="CL5" s="745">
        <v>86.64</v>
      </c>
      <c r="CM5" s="745">
        <v>86.78</v>
      </c>
      <c r="CN5" s="745">
        <v>86.92</v>
      </c>
      <c r="CO5" s="745">
        <v>87.05</v>
      </c>
      <c r="CP5" s="745">
        <v>87.19</v>
      </c>
      <c r="CQ5" s="745">
        <v>87.31</v>
      </c>
      <c r="CR5" s="745">
        <v>87.44</v>
      </c>
      <c r="CS5" s="745">
        <v>87.58</v>
      </c>
      <c r="CT5" s="745">
        <v>87.71</v>
      </c>
      <c r="CU5" s="745">
        <v>87.82</v>
      </c>
      <c r="CV5" s="745">
        <v>87.93</v>
      </c>
      <c r="CW5" s="745">
        <v>88.06</v>
      </c>
      <c r="CX5" s="745">
        <v>88.19</v>
      </c>
      <c r="CY5" s="745">
        <v>88.32</v>
      </c>
      <c r="CZ5" s="745">
        <v>88.42</v>
      </c>
      <c r="DA5" s="745">
        <v>88.54</v>
      </c>
      <c r="DB5" s="745">
        <v>88.65</v>
      </c>
      <c r="DC5" s="745">
        <v>88.77</v>
      </c>
      <c r="DD5" s="745">
        <v>88.89</v>
      </c>
      <c r="DE5" s="745">
        <v>89</v>
      </c>
      <c r="DF5" s="745">
        <v>89.13</v>
      </c>
      <c r="DG5" s="745">
        <v>89.23</v>
      </c>
      <c r="DH5" s="745">
        <v>89.34</v>
      </c>
      <c r="DI5" s="745">
        <v>89.45</v>
      </c>
      <c r="DJ5" s="745">
        <v>89.55</v>
      </c>
      <c r="DK5" s="745">
        <v>89.67</v>
      </c>
      <c r="DL5" s="745">
        <v>89.77</v>
      </c>
      <c r="DM5" s="745">
        <v>89.88</v>
      </c>
      <c r="DN5" s="745">
        <v>89.98</v>
      </c>
      <c r="DO5" s="745">
        <v>90.09</v>
      </c>
      <c r="DP5" s="745">
        <v>90.19</v>
      </c>
      <c r="DQ5" s="745">
        <v>90.29</v>
      </c>
      <c r="DR5" s="745">
        <v>90.39</v>
      </c>
    </row>
    <row r="6" spans="1:122">
      <c r="A6" s="918">
        <v>4</v>
      </c>
      <c r="B6" s="90"/>
      <c r="C6" s="90"/>
      <c r="D6" s="90"/>
      <c r="E6" s="90"/>
      <c r="F6" s="90"/>
      <c r="G6" s="90"/>
      <c r="H6" s="90"/>
      <c r="I6" s="90"/>
      <c r="J6" s="90"/>
      <c r="K6" s="90"/>
      <c r="L6" s="90"/>
      <c r="M6" s="90"/>
      <c r="N6" s="90"/>
      <c r="O6" s="90"/>
      <c r="P6" s="90"/>
      <c r="Q6" s="90"/>
      <c r="R6" s="90"/>
      <c r="S6" s="90"/>
      <c r="T6" s="90"/>
      <c r="U6" s="90"/>
      <c r="V6" s="745"/>
      <c r="W6" s="745">
        <v>72.569999999999993</v>
      </c>
      <c r="X6" s="745">
        <v>72.790000000000006</v>
      </c>
      <c r="Y6" s="745">
        <v>73.010000000000005</v>
      </c>
      <c r="Z6" s="745">
        <v>73.3</v>
      </c>
      <c r="AA6" s="745">
        <v>73.52</v>
      </c>
      <c r="AB6" s="745">
        <v>73.86</v>
      </c>
      <c r="AC6" s="745">
        <v>74.22</v>
      </c>
      <c r="AD6" s="745">
        <v>74.430000000000007</v>
      </c>
      <c r="AE6" s="745">
        <v>74.739999999999995</v>
      </c>
      <c r="AF6" s="745">
        <v>75.040000000000006</v>
      </c>
      <c r="AG6" s="745">
        <v>75.31</v>
      </c>
      <c r="AH6" s="745">
        <v>75.61</v>
      </c>
      <c r="AI6" s="745">
        <v>75.95</v>
      </c>
      <c r="AJ6" s="745">
        <v>76.319999999999993</v>
      </c>
      <c r="AK6" s="745">
        <v>76.63</v>
      </c>
      <c r="AL6" s="745">
        <v>77.010000000000005</v>
      </c>
      <c r="AM6" s="745">
        <v>77.34</v>
      </c>
      <c r="AN6" s="745">
        <v>77.62</v>
      </c>
      <c r="AO6" s="745">
        <v>77.89</v>
      </c>
      <c r="AP6" s="745">
        <v>78.13</v>
      </c>
      <c r="AQ6" s="745">
        <v>78.319999999999993</v>
      </c>
      <c r="AR6" s="745">
        <v>78.56</v>
      </c>
      <c r="AS6" s="745">
        <v>78.69</v>
      </c>
      <c r="AT6" s="745">
        <v>78.78</v>
      </c>
      <c r="AU6" s="745">
        <v>78.92</v>
      </c>
      <c r="AV6" s="745">
        <v>79.010000000000005</v>
      </c>
      <c r="AW6" s="745">
        <v>79.290000000000006</v>
      </c>
      <c r="AX6" s="745">
        <v>79.400000000000006</v>
      </c>
      <c r="AY6" s="745">
        <v>79.56</v>
      </c>
      <c r="AZ6" s="745">
        <v>79.7</v>
      </c>
      <c r="BA6" s="745">
        <v>79.86</v>
      </c>
      <c r="BB6" s="745">
        <v>79.98</v>
      </c>
      <c r="BC6" s="745">
        <v>80.12</v>
      </c>
      <c r="BD6" s="745">
        <v>80.25</v>
      </c>
      <c r="BE6" s="745">
        <v>80.36</v>
      </c>
      <c r="BF6" s="745">
        <v>80.56</v>
      </c>
      <c r="BG6" s="745">
        <v>80.739999999999995</v>
      </c>
      <c r="BH6" s="745">
        <v>80.930000000000007</v>
      </c>
      <c r="BI6" s="745">
        <v>81.069999999999993</v>
      </c>
      <c r="BJ6" s="745">
        <v>81.25</v>
      </c>
      <c r="BK6" s="745">
        <v>81.42</v>
      </c>
      <c r="BL6" s="745">
        <v>81.62</v>
      </c>
      <c r="BM6" s="745">
        <v>81.84</v>
      </c>
      <c r="BN6" s="745">
        <v>82.01</v>
      </c>
      <c r="BO6" s="745">
        <v>82.18</v>
      </c>
      <c r="BP6" s="745">
        <v>82.38</v>
      </c>
      <c r="BQ6" s="745">
        <v>82.56</v>
      </c>
      <c r="BR6" s="745">
        <v>82.7</v>
      </c>
      <c r="BS6" s="745">
        <v>82.9</v>
      </c>
      <c r="BT6" s="745">
        <v>83.06</v>
      </c>
      <c r="BU6" s="745">
        <v>83.2</v>
      </c>
      <c r="BV6" s="745">
        <v>83.37</v>
      </c>
      <c r="BW6" s="745">
        <v>83.52</v>
      </c>
      <c r="BX6" s="745">
        <v>83.68</v>
      </c>
      <c r="BY6" s="745">
        <v>83.82</v>
      </c>
      <c r="BZ6" s="745">
        <v>83.95</v>
      </c>
      <c r="CA6" s="745">
        <v>84.1</v>
      </c>
      <c r="CB6" s="745">
        <v>84.26</v>
      </c>
      <c r="CC6" s="745">
        <v>84.4</v>
      </c>
      <c r="CD6" s="745">
        <v>84.54</v>
      </c>
      <c r="CE6" s="745">
        <v>84.67</v>
      </c>
      <c r="CF6" s="745">
        <v>84.82</v>
      </c>
      <c r="CG6" s="745">
        <v>84.95</v>
      </c>
      <c r="CH6" s="745">
        <v>85.11</v>
      </c>
      <c r="CI6" s="745">
        <v>85.26</v>
      </c>
      <c r="CJ6" s="745">
        <v>85.37</v>
      </c>
      <c r="CK6" s="745">
        <v>85.52</v>
      </c>
      <c r="CL6" s="745">
        <v>85.66</v>
      </c>
      <c r="CM6" s="745">
        <v>85.8</v>
      </c>
      <c r="CN6" s="745">
        <v>85.94</v>
      </c>
      <c r="CO6" s="745">
        <v>86.07</v>
      </c>
      <c r="CP6" s="745">
        <v>86.21</v>
      </c>
      <c r="CQ6" s="745">
        <v>86.32</v>
      </c>
      <c r="CR6" s="745">
        <v>86.45</v>
      </c>
      <c r="CS6" s="745">
        <v>86.59</v>
      </c>
      <c r="CT6" s="745">
        <v>86.72</v>
      </c>
      <c r="CU6" s="745">
        <v>86.84</v>
      </c>
      <c r="CV6" s="745">
        <v>86.94</v>
      </c>
      <c r="CW6" s="745">
        <v>87.08</v>
      </c>
      <c r="CX6" s="745">
        <v>87.2</v>
      </c>
      <c r="CY6" s="745">
        <v>87.33</v>
      </c>
      <c r="CZ6" s="745">
        <v>87.43</v>
      </c>
      <c r="DA6" s="745">
        <v>87.56</v>
      </c>
      <c r="DB6" s="745">
        <v>87.67</v>
      </c>
      <c r="DC6" s="745">
        <v>87.79</v>
      </c>
      <c r="DD6" s="745">
        <v>87.9</v>
      </c>
      <c r="DE6" s="745">
        <v>88.01</v>
      </c>
      <c r="DF6" s="745">
        <v>88.14</v>
      </c>
      <c r="DG6" s="745">
        <v>88.24</v>
      </c>
      <c r="DH6" s="745">
        <v>88.35</v>
      </c>
      <c r="DI6" s="745">
        <v>88.46</v>
      </c>
      <c r="DJ6" s="745">
        <v>88.56</v>
      </c>
      <c r="DK6" s="745">
        <v>88.68</v>
      </c>
      <c r="DL6" s="745">
        <v>88.78</v>
      </c>
      <c r="DM6" s="745">
        <v>88.89</v>
      </c>
      <c r="DN6" s="745">
        <v>88.99</v>
      </c>
      <c r="DO6" s="745">
        <v>89.1</v>
      </c>
      <c r="DP6" s="745">
        <v>89.2</v>
      </c>
      <c r="DQ6" s="745">
        <v>89.3</v>
      </c>
      <c r="DR6" s="745">
        <v>89.4</v>
      </c>
    </row>
    <row r="7" spans="1:122">
      <c r="A7" s="918">
        <v>5</v>
      </c>
      <c r="B7" s="90"/>
      <c r="C7" s="90"/>
      <c r="D7" s="90"/>
      <c r="E7" s="90"/>
      <c r="F7" s="90"/>
      <c r="G7" s="90"/>
      <c r="H7" s="90"/>
      <c r="I7" s="90"/>
      <c r="J7" s="90"/>
      <c r="K7" s="90"/>
      <c r="L7" s="90"/>
      <c r="M7" s="90"/>
      <c r="N7" s="90"/>
      <c r="O7" s="90"/>
      <c r="P7" s="90"/>
      <c r="Q7" s="90"/>
      <c r="R7" s="90"/>
      <c r="S7" s="90"/>
      <c r="T7" s="90"/>
      <c r="U7" s="90"/>
      <c r="V7" s="745"/>
      <c r="W7" s="745">
        <v>71.78</v>
      </c>
      <c r="X7" s="745">
        <v>72</v>
      </c>
      <c r="Y7" s="745">
        <v>72.23</v>
      </c>
      <c r="Z7" s="745">
        <v>72.52</v>
      </c>
      <c r="AA7" s="745">
        <v>72.760000000000005</v>
      </c>
      <c r="AB7" s="745">
        <v>73.09</v>
      </c>
      <c r="AC7" s="745">
        <v>73.41</v>
      </c>
      <c r="AD7" s="745">
        <v>73.61</v>
      </c>
      <c r="AE7" s="745">
        <v>73.92</v>
      </c>
      <c r="AF7" s="745">
        <v>74.23</v>
      </c>
      <c r="AG7" s="745">
        <v>74.52</v>
      </c>
      <c r="AH7" s="745">
        <v>74.84</v>
      </c>
      <c r="AI7" s="745">
        <v>75.150000000000006</v>
      </c>
      <c r="AJ7" s="745">
        <v>75.510000000000005</v>
      </c>
      <c r="AK7" s="745">
        <v>75.83</v>
      </c>
      <c r="AL7" s="745">
        <v>76.209999999999994</v>
      </c>
      <c r="AM7" s="745">
        <v>76.540000000000006</v>
      </c>
      <c r="AN7" s="745">
        <v>76.819999999999993</v>
      </c>
      <c r="AO7" s="745">
        <v>77.11</v>
      </c>
      <c r="AP7" s="745">
        <v>77.38</v>
      </c>
      <c r="AQ7" s="745">
        <v>77.63</v>
      </c>
      <c r="AR7" s="745">
        <v>77.75</v>
      </c>
      <c r="AS7" s="745">
        <v>77.88</v>
      </c>
      <c r="AT7" s="745">
        <v>77.91</v>
      </c>
      <c r="AU7" s="745">
        <v>78.02</v>
      </c>
      <c r="AV7" s="745">
        <v>78.11</v>
      </c>
      <c r="AW7" s="745">
        <v>78.39</v>
      </c>
      <c r="AX7" s="745">
        <v>78.47</v>
      </c>
      <c r="AY7" s="745">
        <v>78.63</v>
      </c>
      <c r="AZ7" s="745">
        <v>78.77</v>
      </c>
      <c r="BA7" s="745">
        <v>78.91</v>
      </c>
      <c r="BB7" s="745">
        <v>79.040000000000006</v>
      </c>
      <c r="BC7" s="745">
        <v>79.180000000000007</v>
      </c>
      <c r="BD7" s="745">
        <v>79.31</v>
      </c>
      <c r="BE7" s="745">
        <v>79.41</v>
      </c>
      <c r="BF7" s="745">
        <v>79.62</v>
      </c>
      <c r="BG7" s="745">
        <v>79.790000000000006</v>
      </c>
      <c r="BH7" s="745">
        <v>79.97</v>
      </c>
      <c r="BI7" s="745">
        <v>80.12</v>
      </c>
      <c r="BJ7" s="745">
        <v>80.290000000000006</v>
      </c>
      <c r="BK7" s="745">
        <v>80.47</v>
      </c>
      <c r="BL7" s="745">
        <v>80.67</v>
      </c>
      <c r="BM7" s="745">
        <v>80.89</v>
      </c>
      <c r="BN7" s="745">
        <v>81.06</v>
      </c>
      <c r="BO7" s="745">
        <v>81.22</v>
      </c>
      <c r="BP7" s="745">
        <v>81.42</v>
      </c>
      <c r="BQ7" s="745">
        <v>81.599999999999994</v>
      </c>
      <c r="BR7" s="745">
        <v>81.75</v>
      </c>
      <c r="BS7" s="745">
        <v>81.93</v>
      </c>
      <c r="BT7" s="745">
        <v>82.1</v>
      </c>
      <c r="BU7" s="745">
        <v>82.24</v>
      </c>
      <c r="BV7" s="745">
        <v>82.41</v>
      </c>
      <c r="BW7" s="745">
        <v>82.56</v>
      </c>
      <c r="BX7" s="745">
        <v>82.71</v>
      </c>
      <c r="BY7" s="745">
        <v>82.85</v>
      </c>
      <c r="BZ7" s="745">
        <v>82.98</v>
      </c>
      <c r="CA7" s="745">
        <v>83.13</v>
      </c>
      <c r="CB7" s="745">
        <v>83.29</v>
      </c>
      <c r="CC7" s="745">
        <v>83.42</v>
      </c>
      <c r="CD7" s="745">
        <v>83.56</v>
      </c>
      <c r="CE7" s="745">
        <v>83.69</v>
      </c>
      <c r="CF7" s="745">
        <v>83.84</v>
      </c>
      <c r="CG7" s="745">
        <v>83.97</v>
      </c>
      <c r="CH7" s="745">
        <v>84.12</v>
      </c>
      <c r="CI7" s="745">
        <v>84.28</v>
      </c>
      <c r="CJ7" s="745">
        <v>84.39</v>
      </c>
      <c r="CK7" s="745">
        <v>84.54</v>
      </c>
      <c r="CL7" s="745">
        <v>84.68</v>
      </c>
      <c r="CM7" s="745">
        <v>84.82</v>
      </c>
      <c r="CN7" s="745">
        <v>84.96</v>
      </c>
      <c r="CO7" s="745">
        <v>85.09</v>
      </c>
      <c r="CP7" s="745">
        <v>85.22</v>
      </c>
      <c r="CQ7" s="745">
        <v>85.34</v>
      </c>
      <c r="CR7" s="745">
        <v>85.46</v>
      </c>
      <c r="CS7" s="745">
        <v>85.61</v>
      </c>
      <c r="CT7" s="745">
        <v>85.73</v>
      </c>
      <c r="CU7" s="745">
        <v>85.85</v>
      </c>
      <c r="CV7" s="745">
        <v>85.96</v>
      </c>
      <c r="CW7" s="745">
        <v>86.09</v>
      </c>
      <c r="CX7" s="745">
        <v>86.21</v>
      </c>
      <c r="CY7" s="745">
        <v>86.34</v>
      </c>
      <c r="CZ7" s="745">
        <v>86.44</v>
      </c>
      <c r="DA7" s="745">
        <v>86.57</v>
      </c>
      <c r="DB7" s="745">
        <v>86.68</v>
      </c>
      <c r="DC7" s="745">
        <v>86.8</v>
      </c>
      <c r="DD7" s="745">
        <v>86.91</v>
      </c>
      <c r="DE7" s="745">
        <v>87.02</v>
      </c>
      <c r="DF7" s="745">
        <v>87.14</v>
      </c>
      <c r="DG7" s="745">
        <v>87.25</v>
      </c>
      <c r="DH7" s="745">
        <v>87.36</v>
      </c>
      <c r="DI7" s="745">
        <v>87.47</v>
      </c>
      <c r="DJ7" s="745">
        <v>87.57</v>
      </c>
      <c r="DK7" s="745">
        <v>87.68</v>
      </c>
      <c r="DL7" s="745">
        <v>87.79</v>
      </c>
      <c r="DM7" s="745">
        <v>87.9</v>
      </c>
      <c r="DN7" s="745">
        <v>88</v>
      </c>
      <c r="DO7" s="745">
        <v>88.1</v>
      </c>
      <c r="DP7" s="745">
        <v>88.21</v>
      </c>
      <c r="DQ7" s="745">
        <v>88.31</v>
      </c>
      <c r="DR7" s="745">
        <v>88.41</v>
      </c>
    </row>
    <row r="8" spans="1:122">
      <c r="A8" s="918">
        <v>6</v>
      </c>
      <c r="B8" s="90"/>
      <c r="C8" s="90"/>
      <c r="D8" s="90"/>
      <c r="E8" s="90"/>
      <c r="F8" s="90"/>
      <c r="G8" s="90"/>
      <c r="H8" s="90"/>
      <c r="I8" s="90"/>
      <c r="J8" s="90"/>
      <c r="K8" s="90"/>
      <c r="L8" s="90"/>
      <c r="M8" s="90"/>
      <c r="N8" s="90"/>
      <c r="O8" s="90"/>
      <c r="P8" s="90"/>
      <c r="Q8" s="90"/>
      <c r="R8" s="90"/>
      <c r="S8" s="90"/>
      <c r="T8" s="90"/>
      <c r="U8" s="90"/>
      <c r="V8" s="745"/>
      <c r="W8" s="745">
        <v>70.94</v>
      </c>
      <c r="X8" s="745">
        <v>71.17</v>
      </c>
      <c r="Y8" s="745">
        <v>71.41</v>
      </c>
      <c r="Z8" s="745">
        <v>71.72</v>
      </c>
      <c r="AA8" s="745">
        <v>71.959999999999994</v>
      </c>
      <c r="AB8" s="745">
        <v>72.260000000000005</v>
      </c>
      <c r="AC8" s="745">
        <v>72.569999999999993</v>
      </c>
      <c r="AD8" s="745">
        <v>72.77</v>
      </c>
      <c r="AE8" s="745">
        <v>73.08</v>
      </c>
      <c r="AF8" s="745">
        <v>73.41</v>
      </c>
      <c r="AG8" s="745">
        <v>73.72</v>
      </c>
      <c r="AH8" s="745">
        <v>74.02</v>
      </c>
      <c r="AI8" s="745">
        <v>74.31</v>
      </c>
      <c r="AJ8" s="745">
        <v>74.680000000000007</v>
      </c>
      <c r="AK8" s="745">
        <v>75</v>
      </c>
      <c r="AL8" s="745">
        <v>75.39</v>
      </c>
      <c r="AM8" s="745">
        <v>75.709999999999994</v>
      </c>
      <c r="AN8" s="745">
        <v>76.010000000000005</v>
      </c>
      <c r="AO8" s="745">
        <v>76.33</v>
      </c>
      <c r="AP8" s="745">
        <v>76.64</v>
      </c>
      <c r="AQ8" s="745">
        <v>76.760000000000005</v>
      </c>
      <c r="AR8" s="745">
        <v>76.89</v>
      </c>
      <c r="AS8" s="745">
        <v>76.98</v>
      </c>
      <c r="AT8" s="745">
        <v>76.98</v>
      </c>
      <c r="AU8" s="745">
        <v>77.099999999999994</v>
      </c>
      <c r="AV8" s="745">
        <v>77.19</v>
      </c>
      <c r="AW8" s="745">
        <v>77.45</v>
      </c>
      <c r="AX8" s="745">
        <v>77.52</v>
      </c>
      <c r="AY8" s="745">
        <v>77.69</v>
      </c>
      <c r="AZ8" s="745">
        <v>77.819999999999993</v>
      </c>
      <c r="BA8" s="745">
        <v>77.959999999999994</v>
      </c>
      <c r="BB8" s="745">
        <v>78.09</v>
      </c>
      <c r="BC8" s="745">
        <v>78.23</v>
      </c>
      <c r="BD8" s="745">
        <v>78.349999999999994</v>
      </c>
      <c r="BE8" s="745">
        <v>78.459999999999994</v>
      </c>
      <c r="BF8" s="745">
        <v>78.66</v>
      </c>
      <c r="BG8" s="745">
        <v>78.83</v>
      </c>
      <c r="BH8" s="745">
        <v>79.010000000000005</v>
      </c>
      <c r="BI8" s="745">
        <v>79.16</v>
      </c>
      <c r="BJ8" s="745">
        <v>79.33</v>
      </c>
      <c r="BK8" s="745">
        <v>79.510000000000005</v>
      </c>
      <c r="BL8" s="745">
        <v>79.709999999999994</v>
      </c>
      <c r="BM8" s="745">
        <v>79.92</v>
      </c>
      <c r="BN8" s="745">
        <v>80.099999999999994</v>
      </c>
      <c r="BO8" s="745">
        <v>80.260000000000005</v>
      </c>
      <c r="BP8" s="745">
        <v>80.459999999999994</v>
      </c>
      <c r="BQ8" s="745">
        <v>80.64</v>
      </c>
      <c r="BR8" s="745">
        <v>80.78</v>
      </c>
      <c r="BS8" s="745">
        <v>80.97</v>
      </c>
      <c r="BT8" s="745">
        <v>81.13</v>
      </c>
      <c r="BU8" s="745">
        <v>81.27</v>
      </c>
      <c r="BV8" s="745">
        <v>81.430000000000007</v>
      </c>
      <c r="BW8" s="745">
        <v>81.59</v>
      </c>
      <c r="BX8" s="745">
        <v>81.73</v>
      </c>
      <c r="BY8" s="745">
        <v>81.87</v>
      </c>
      <c r="BZ8" s="745">
        <v>82.01</v>
      </c>
      <c r="CA8" s="745">
        <v>82.15</v>
      </c>
      <c r="CB8" s="745">
        <v>82.31</v>
      </c>
      <c r="CC8" s="745">
        <v>82.45</v>
      </c>
      <c r="CD8" s="745">
        <v>82.58</v>
      </c>
      <c r="CE8" s="745">
        <v>82.71</v>
      </c>
      <c r="CF8" s="745">
        <v>82.85</v>
      </c>
      <c r="CG8" s="745">
        <v>82.98</v>
      </c>
      <c r="CH8" s="745">
        <v>83.14</v>
      </c>
      <c r="CI8" s="745">
        <v>83.29</v>
      </c>
      <c r="CJ8" s="745">
        <v>83.41</v>
      </c>
      <c r="CK8" s="745">
        <v>83.56</v>
      </c>
      <c r="CL8" s="745">
        <v>83.69</v>
      </c>
      <c r="CM8" s="745">
        <v>83.83</v>
      </c>
      <c r="CN8" s="745">
        <v>83.97</v>
      </c>
      <c r="CO8" s="745">
        <v>84.1</v>
      </c>
      <c r="CP8" s="745">
        <v>84.23</v>
      </c>
      <c r="CQ8" s="745">
        <v>84.35</v>
      </c>
      <c r="CR8" s="745">
        <v>84.47</v>
      </c>
      <c r="CS8" s="745">
        <v>84.61</v>
      </c>
      <c r="CT8" s="745">
        <v>84.74</v>
      </c>
      <c r="CU8" s="745">
        <v>84.86</v>
      </c>
      <c r="CV8" s="745">
        <v>84.97</v>
      </c>
      <c r="CW8" s="745">
        <v>85.1</v>
      </c>
      <c r="CX8" s="745">
        <v>85.22</v>
      </c>
      <c r="CY8" s="745">
        <v>85.34</v>
      </c>
      <c r="CZ8" s="745">
        <v>85.45</v>
      </c>
      <c r="DA8" s="745">
        <v>85.57</v>
      </c>
      <c r="DB8" s="745">
        <v>85.69</v>
      </c>
      <c r="DC8" s="745">
        <v>85.81</v>
      </c>
      <c r="DD8" s="745">
        <v>85.92</v>
      </c>
      <c r="DE8" s="745">
        <v>86.03</v>
      </c>
      <c r="DF8" s="745">
        <v>86.15</v>
      </c>
      <c r="DG8" s="745">
        <v>86.26</v>
      </c>
      <c r="DH8" s="745">
        <v>86.36</v>
      </c>
      <c r="DI8" s="745">
        <v>86.47</v>
      </c>
      <c r="DJ8" s="745">
        <v>86.58</v>
      </c>
      <c r="DK8" s="745">
        <v>86.69</v>
      </c>
      <c r="DL8" s="745">
        <v>86.8</v>
      </c>
      <c r="DM8" s="745">
        <v>86.9</v>
      </c>
      <c r="DN8" s="745">
        <v>87.01</v>
      </c>
      <c r="DO8" s="745">
        <v>87.11</v>
      </c>
      <c r="DP8" s="745">
        <v>87.21</v>
      </c>
      <c r="DQ8" s="745">
        <v>87.31</v>
      </c>
      <c r="DR8" s="745">
        <v>87.41</v>
      </c>
    </row>
    <row r="9" spans="1:122">
      <c r="A9" s="918">
        <v>7</v>
      </c>
      <c r="B9" s="90"/>
      <c r="C9" s="90"/>
      <c r="D9" s="90"/>
      <c r="E9" s="90"/>
      <c r="F9" s="90"/>
      <c r="G9" s="90"/>
      <c r="H9" s="90"/>
      <c r="I9" s="90"/>
      <c r="J9" s="90"/>
      <c r="K9" s="90"/>
      <c r="L9" s="90"/>
      <c r="M9" s="90"/>
      <c r="N9" s="90"/>
      <c r="O9" s="90"/>
      <c r="P9" s="90"/>
      <c r="Q9" s="90"/>
      <c r="R9" s="90"/>
      <c r="S9" s="90"/>
      <c r="T9" s="90"/>
      <c r="U9" s="90"/>
      <c r="V9" s="745"/>
      <c r="W9" s="745">
        <v>70.069999999999993</v>
      </c>
      <c r="X9" s="745">
        <v>70.319999999999993</v>
      </c>
      <c r="Y9" s="745">
        <v>70.58</v>
      </c>
      <c r="Z9" s="745">
        <v>70.900000000000006</v>
      </c>
      <c r="AA9" s="745">
        <v>71.11</v>
      </c>
      <c r="AB9" s="745">
        <v>71.400000000000006</v>
      </c>
      <c r="AC9" s="745">
        <v>71.709999999999994</v>
      </c>
      <c r="AD9" s="745">
        <v>71.91</v>
      </c>
      <c r="AE9" s="745">
        <v>72.239999999999995</v>
      </c>
      <c r="AF9" s="745">
        <v>72.59</v>
      </c>
      <c r="AG9" s="745">
        <v>72.87</v>
      </c>
      <c r="AH9" s="745">
        <v>73.16</v>
      </c>
      <c r="AI9" s="745">
        <v>73.47</v>
      </c>
      <c r="AJ9" s="745">
        <v>73.83</v>
      </c>
      <c r="AK9" s="745">
        <v>74.16</v>
      </c>
      <c r="AL9" s="745">
        <v>74.540000000000006</v>
      </c>
      <c r="AM9" s="745">
        <v>74.88</v>
      </c>
      <c r="AN9" s="745">
        <v>75.209999999999994</v>
      </c>
      <c r="AO9" s="745">
        <v>75.56</v>
      </c>
      <c r="AP9" s="745">
        <v>75.75</v>
      </c>
      <c r="AQ9" s="745">
        <v>75.87</v>
      </c>
      <c r="AR9" s="745">
        <v>75.959999999999994</v>
      </c>
      <c r="AS9" s="745">
        <v>76.040000000000006</v>
      </c>
      <c r="AT9" s="745">
        <v>76.05</v>
      </c>
      <c r="AU9" s="745">
        <v>76.16</v>
      </c>
      <c r="AV9" s="745">
        <v>76.239999999999995</v>
      </c>
      <c r="AW9" s="745">
        <v>76.489999999999995</v>
      </c>
      <c r="AX9" s="745">
        <v>76.569999999999993</v>
      </c>
      <c r="AY9" s="745">
        <v>76.73</v>
      </c>
      <c r="AZ9" s="745">
        <v>76.86</v>
      </c>
      <c r="BA9" s="745">
        <v>77</v>
      </c>
      <c r="BB9" s="745">
        <v>77.13</v>
      </c>
      <c r="BC9" s="745">
        <v>77.260000000000005</v>
      </c>
      <c r="BD9" s="745">
        <v>77.38</v>
      </c>
      <c r="BE9" s="745">
        <v>77.489999999999995</v>
      </c>
      <c r="BF9" s="745">
        <v>77.69</v>
      </c>
      <c r="BG9" s="745">
        <v>77.87</v>
      </c>
      <c r="BH9" s="745">
        <v>78.05</v>
      </c>
      <c r="BI9" s="745">
        <v>78.19</v>
      </c>
      <c r="BJ9" s="745">
        <v>78.37</v>
      </c>
      <c r="BK9" s="745">
        <v>78.55</v>
      </c>
      <c r="BL9" s="745">
        <v>78.739999999999995</v>
      </c>
      <c r="BM9" s="745">
        <v>78.959999999999994</v>
      </c>
      <c r="BN9" s="745">
        <v>79.13</v>
      </c>
      <c r="BO9" s="745">
        <v>79.3</v>
      </c>
      <c r="BP9" s="745">
        <v>79.489999999999995</v>
      </c>
      <c r="BQ9" s="745">
        <v>79.67</v>
      </c>
      <c r="BR9" s="745">
        <v>79.81</v>
      </c>
      <c r="BS9" s="745">
        <v>80</v>
      </c>
      <c r="BT9" s="745">
        <v>80.16</v>
      </c>
      <c r="BU9" s="745">
        <v>80.3</v>
      </c>
      <c r="BV9" s="745">
        <v>80.459999999999994</v>
      </c>
      <c r="BW9" s="745">
        <v>80.62</v>
      </c>
      <c r="BX9" s="745">
        <v>80.75</v>
      </c>
      <c r="BY9" s="745">
        <v>80.900000000000006</v>
      </c>
      <c r="BZ9" s="745">
        <v>81.03</v>
      </c>
      <c r="CA9" s="745">
        <v>81.16</v>
      </c>
      <c r="CB9" s="745">
        <v>81.33</v>
      </c>
      <c r="CC9" s="745">
        <v>81.459999999999994</v>
      </c>
      <c r="CD9" s="745">
        <v>81.59</v>
      </c>
      <c r="CE9" s="745">
        <v>81.72</v>
      </c>
      <c r="CF9" s="745">
        <v>81.87</v>
      </c>
      <c r="CG9" s="745">
        <v>82</v>
      </c>
      <c r="CH9" s="745">
        <v>82.16</v>
      </c>
      <c r="CI9" s="745">
        <v>82.31</v>
      </c>
      <c r="CJ9" s="745">
        <v>82.42</v>
      </c>
      <c r="CK9" s="745">
        <v>82.56</v>
      </c>
      <c r="CL9" s="745">
        <v>82.71</v>
      </c>
      <c r="CM9" s="745">
        <v>82.84</v>
      </c>
      <c r="CN9" s="745">
        <v>82.98</v>
      </c>
      <c r="CO9" s="745">
        <v>83.11</v>
      </c>
      <c r="CP9" s="745">
        <v>83.24</v>
      </c>
      <c r="CQ9" s="745">
        <v>83.36</v>
      </c>
      <c r="CR9" s="745">
        <v>83.49</v>
      </c>
      <c r="CS9" s="745">
        <v>83.62</v>
      </c>
      <c r="CT9" s="745">
        <v>83.75</v>
      </c>
      <c r="CU9" s="745">
        <v>83.87</v>
      </c>
      <c r="CV9" s="745">
        <v>83.98</v>
      </c>
      <c r="CW9" s="745">
        <v>84.11</v>
      </c>
      <c r="CX9" s="745">
        <v>84.23</v>
      </c>
      <c r="CY9" s="745">
        <v>84.35</v>
      </c>
      <c r="CZ9" s="745">
        <v>84.46</v>
      </c>
      <c r="DA9" s="745">
        <v>84.58</v>
      </c>
      <c r="DB9" s="745">
        <v>84.69</v>
      </c>
      <c r="DC9" s="745">
        <v>84.81</v>
      </c>
      <c r="DD9" s="745">
        <v>84.93</v>
      </c>
      <c r="DE9" s="745">
        <v>85.04</v>
      </c>
      <c r="DF9" s="745">
        <v>85.15</v>
      </c>
      <c r="DG9" s="745">
        <v>85.26</v>
      </c>
      <c r="DH9" s="745">
        <v>85.37</v>
      </c>
      <c r="DI9" s="745">
        <v>85.48</v>
      </c>
      <c r="DJ9" s="745">
        <v>85.59</v>
      </c>
      <c r="DK9" s="745">
        <v>85.7</v>
      </c>
      <c r="DL9" s="745">
        <v>85.8</v>
      </c>
      <c r="DM9" s="745">
        <v>85.91</v>
      </c>
      <c r="DN9" s="745">
        <v>86.01</v>
      </c>
      <c r="DO9" s="745">
        <v>86.11</v>
      </c>
      <c r="DP9" s="745">
        <v>86.22</v>
      </c>
      <c r="DQ9" s="745">
        <v>86.32</v>
      </c>
      <c r="DR9" s="745">
        <v>86.42</v>
      </c>
    </row>
    <row r="10" spans="1:122">
      <c r="A10" s="918">
        <v>8</v>
      </c>
      <c r="B10" s="90"/>
      <c r="C10" s="90"/>
      <c r="D10" s="90"/>
      <c r="E10" s="90"/>
      <c r="F10" s="90"/>
      <c r="G10" s="90"/>
      <c r="H10" s="90"/>
      <c r="I10" s="90"/>
      <c r="J10" s="90"/>
      <c r="K10" s="90"/>
      <c r="L10" s="90"/>
      <c r="M10" s="90"/>
      <c r="N10" s="90"/>
      <c r="O10" s="90"/>
      <c r="P10" s="90"/>
      <c r="Q10" s="90"/>
      <c r="R10" s="90"/>
      <c r="S10" s="90"/>
      <c r="T10" s="90"/>
      <c r="U10" s="90"/>
      <c r="V10" s="745"/>
      <c r="W10" s="745">
        <v>69.2</v>
      </c>
      <c r="X10" s="745">
        <v>69.45</v>
      </c>
      <c r="Y10" s="745">
        <v>69.709999999999994</v>
      </c>
      <c r="Z10" s="745">
        <v>70.010000000000005</v>
      </c>
      <c r="AA10" s="745">
        <v>70.23</v>
      </c>
      <c r="AB10" s="745">
        <v>70.52</v>
      </c>
      <c r="AC10" s="745">
        <v>70.83</v>
      </c>
      <c r="AD10" s="745">
        <v>71.06</v>
      </c>
      <c r="AE10" s="745">
        <v>71.39</v>
      </c>
      <c r="AF10" s="745">
        <v>71.72</v>
      </c>
      <c r="AG10" s="745">
        <v>72</v>
      </c>
      <c r="AH10" s="745">
        <v>72.290000000000006</v>
      </c>
      <c r="AI10" s="745">
        <v>72.599999999999994</v>
      </c>
      <c r="AJ10" s="745">
        <v>72.959999999999994</v>
      </c>
      <c r="AK10" s="745">
        <v>73.290000000000006</v>
      </c>
      <c r="AL10" s="745">
        <v>73.69</v>
      </c>
      <c r="AM10" s="745">
        <v>74.05</v>
      </c>
      <c r="AN10" s="745">
        <v>74.41</v>
      </c>
      <c r="AO10" s="745">
        <v>74.650000000000006</v>
      </c>
      <c r="AP10" s="745">
        <v>74.83</v>
      </c>
      <c r="AQ10" s="745">
        <v>74.94</v>
      </c>
      <c r="AR10" s="745">
        <v>75.010000000000005</v>
      </c>
      <c r="AS10" s="745">
        <v>75.09</v>
      </c>
      <c r="AT10" s="745">
        <v>75.09</v>
      </c>
      <c r="AU10" s="745">
        <v>75.2</v>
      </c>
      <c r="AV10" s="745">
        <v>75.27</v>
      </c>
      <c r="AW10" s="745">
        <v>75.52</v>
      </c>
      <c r="AX10" s="745">
        <v>75.599999999999994</v>
      </c>
      <c r="AY10" s="745">
        <v>75.760000000000005</v>
      </c>
      <c r="AZ10" s="745">
        <v>75.89</v>
      </c>
      <c r="BA10" s="745">
        <v>76.03</v>
      </c>
      <c r="BB10" s="745">
        <v>76.16</v>
      </c>
      <c r="BC10" s="745">
        <v>76.290000000000006</v>
      </c>
      <c r="BD10" s="745">
        <v>76.42</v>
      </c>
      <c r="BE10" s="745">
        <v>76.53</v>
      </c>
      <c r="BF10" s="745">
        <v>76.72</v>
      </c>
      <c r="BG10" s="745">
        <v>76.900000000000006</v>
      </c>
      <c r="BH10" s="745">
        <v>77.08</v>
      </c>
      <c r="BI10" s="745">
        <v>77.22</v>
      </c>
      <c r="BJ10" s="745">
        <v>77.400000000000006</v>
      </c>
      <c r="BK10" s="745">
        <v>77.58</v>
      </c>
      <c r="BL10" s="745">
        <v>77.77</v>
      </c>
      <c r="BM10" s="745">
        <v>77.989999999999995</v>
      </c>
      <c r="BN10" s="745">
        <v>78.16</v>
      </c>
      <c r="BO10" s="745">
        <v>78.33</v>
      </c>
      <c r="BP10" s="745">
        <v>78.52</v>
      </c>
      <c r="BQ10" s="745">
        <v>78.7</v>
      </c>
      <c r="BR10" s="745">
        <v>78.84</v>
      </c>
      <c r="BS10" s="745">
        <v>79.02</v>
      </c>
      <c r="BT10" s="745">
        <v>79.180000000000007</v>
      </c>
      <c r="BU10" s="745">
        <v>79.319999999999993</v>
      </c>
      <c r="BV10" s="745">
        <v>79.48</v>
      </c>
      <c r="BW10" s="745">
        <v>79.64</v>
      </c>
      <c r="BX10" s="745">
        <v>79.77</v>
      </c>
      <c r="BY10" s="745">
        <v>79.92</v>
      </c>
      <c r="BZ10" s="745">
        <v>80.05</v>
      </c>
      <c r="CA10" s="745">
        <v>80.180000000000007</v>
      </c>
      <c r="CB10" s="745">
        <v>80.34</v>
      </c>
      <c r="CC10" s="745">
        <v>80.48</v>
      </c>
      <c r="CD10" s="745">
        <v>80.61</v>
      </c>
      <c r="CE10" s="745">
        <v>80.739999999999995</v>
      </c>
      <c r="CF10" s="745">
        <v>80.89</v>
      </c>
      <c r="CG10" s="745">
        <v>81.010000000000005</v>
      </c>
      <c r="CH10" s="745">
        <v>81.17</v>
      </c>
      <c r="CI10" s="745">
        <v>81.319999999999993</v>
      </c>
      <c r="CJ10" s="745">
        <v>81.44</v>
      </c>
      <c r="CK10" s="745">
        <v>81.58</v>
      </c>
      <c r="CL10" s="745">
        <v>81.72</v>
      </c>
      <c r="CM10" s="745">
        <v>81.849999999999994</v>
      </c>
      <c r="CN10" s="745">
        <v>81.99</v>
      </c>
      <c r="CO10" s="745">
        <v>82.11</v>
      </c>
      <c r="CP10" s="745">
        <v>82.25</v>
      </c>
      <c r="CQ10" s="745">
        <v>82.36</v>
      </c>
      <c r="CR10" s="745">
        <v>82.49</v>
      </c>
      <c r="CS10" s="745">
        <v>82.63</v>
      </c>
      <c r="CT10" s="745">
        <v>82.76</v>
      </c>
      <c r="CU10" s="745">
        <v>82.87</v>
      </c>
      <c r="CV10" s="745">
        <v>82.99</v>
      </c>
      <c r="CW10" s="745">
        <v>83.11</v>
      </c>
      <c r="CX10" s="745">
        <v>83.23</v>
      </c>
      <c r="CY10" s="745">
        <v>83.35</v>
      </c>
      <c r="CZ10" s="745">
        <v>83.47</v>
      </c>
      <c r="DA10" s="745">
        <v>83.59</v>
      </c>
      <c r="DB10" s="745">
        <v>83.7</v>
      </c>
      <c r="DC10" s="745">
        <v>83.82</v>
      </c>
      <c r="DD10" s="745">
        <v>83.93</v>
      </c>
      <c r="DE10" s="745">
        <v>84.04</v>
      </c>
      <c r="DF10" s="745">
        <v>84.16</v>
      </c>
      <c r="DG10" s="745">
        <v>84.27</v>
      </c>
      <c r="DH10" s="745">
        <v>84.38</v>
      </c>
      <c r="DI10" s="745">
        <v>84.49</v>
      </c>
      <c r="DJ10" s="745">
        <v>84.59</v>
      </c>
      <c r="DK10" s="745">
        <v>84.7</v>
      </c>
      <c r="DL10" s="745">
        <v>84.81</v>
      </c>
      <c r="DM10" s="745">
        <v>84.91</v>
      </c>
      <c r="DN10" s="745">
        <v>85.02</v>
      </c>
      <c r="DO10" s="745">
        <v>85.12</v>
      </c>
      <c r="DP10" s="745">
        <v>85.22</v>
      </c>
      <c r="DQ10" s="745">
        <v>85.32</v>
      </c>
      <c r="DR10" s="745">
        <v>85.42</v>
      </c>
    </row>
    <row r="11" spans="1:122">
      <c r="A11" s="918">
        <v>9</v>
      </c>
      <c r="B11" s="90"/>
      <c r="C11" s="90"/>
      <c r="D11" s="90"/>
      <c r="E11" s="90"/>
      <c r="F11" s="90"/>
      <c r="G11" s="90"/>
      <c r="H11" s="90"/>
      <c r="I11" s="90"/>
      <c r="J11" s="90"/>
      <c r="K11" s="90"/>
      <c r="L11" s="90"/>
      <c r="M11" s="90"/>
      <c r="N11" s="90"/>
      <c r="O11" s="90"/>
      <c r="P11" s="90"/>
      <c r="Q11" s="90"/>
      <c r="R11" s="90"/>
      <c r="S11" s="90"/>
      <c r="T11" s="90"/>
      <c r="U11" s="90"/>
      <c r="V11" s="745"/>
      <c r="W11" s="745">
        <v>68.31</v>
      </c>
      <c r="X11" s="745">
        <v>68.569999999999993</v>
      </c>
      <c r="Y11" s="745">
        <v>68.8</v>
      </c>
      <c r="Z11" s="745">
        <v>69.11</v>
      </c>
      <c r="AA11" s="745">
        <v>69.33</v>
      </c>
      <c r="AB11" s="745">
        <v>69.63</v>
      </c>
      <c r="AC11" s="745">
        <v>69.959999999999994</v>
      </c>
      <c r="AD11" s="745">
        <v>70.180000000000007</v>
      </c>
      <c r="AE11" s="745">
        <v>70.5</v>
      </c>
      <c r="AF11" s="745">
        <v>70.819999999999993</v>
      </c>
      <c r="AG11" s="745">
        <v>71.11</v>
      </c>
      <c r="AH11" s="745">
        <v>71.400000000000006</v>
      </c>
      <c r="AI11" s="745">
        <v>71.709999999999994</v>
      </c>
      <c r="AJ11" s="745">
        <v>72.069999999999993</v>
      </c>
      <c r="AK11" s="745">
        <v>72.41</v>
      </c>
      <c r="AL11" s="745">
        <v>72.83</v>
      </c>
      <c r="AM11" s="745">
        <v>73.22</v>
      </c>
      <c r="AN11" s="745">
        <v>73.48</v>
      </c>
      <c r="AO11" s="745">
        <v>73.73</v>
      </c>
      <c r="AP11" s="745">
        <v>73.89</v>
      </c>
      <c r="AQ11" s="745">
        <v>73.98</v>
      </c>
      <c r="AR11" s="745">
        <v>74.05</v>
      </c>
      <c r="AS11" s="745">
        <v>74.13</v>
      </c>
      <c r="AT11" s="745">
        <v>74.13</v>
      </c>
      <c r="AU11" s="745">
        <v>74.23</v>
      </c>
      <c r="AV11" s="745">
        <v>74.3</v>
      </c>
      <c r="AW11" s="745">
        <v>74.55</v>
      </c>
      <c r="AX11" s="745">
        <v>74.63</v>
      </c>
      <c r="AY11" s="745">
        <v>74.78</v>
      </c>
      <c r="AZ11" s="745">
        <v>74.92</v>
      </c>
      <c r="BA11" s="745">
        <v>75.06</v>
      </c>
      <c r="BB11" s="745">
        <v>75.19</v>
      </c>
      <c r="BC11" s="745">
        <v>75.319999999999993</v>
      </c>
      <c r="BD11" s="745">
        <v>75.45</v>
      </c>
      <c r="BE11" s="745">
        <v>75.55</v>
      </c>
      <c r="BF11" s="745">
        <v>75.739999999999995</v>
      </c>
      <c r="BG11" s="745">
        <v>75.92</v>
      </c>
      <c r="BH11" s="745">
        <v>76.099999999999994</v>
      </c>
      <c r="BI11" s="745">
        <v>76.25</v>
      </c>
      <c r="BJ11" s="745">
        <v>76.42</v>
      </c>
      <c r="BK11" s="745">
        <v>76.599999999999994</v>
      </c>
      <c r="BL11" s="745">
        <v>76.8</v>
      </c>
      <c r="BM11" s="745">
        <v>77.02</v>
      </c>
      <c r="BN11" s="745">
        <v>77.19</v>
      </c>
      <c r="BO11" s="745">
        <v>77.349999999999994</v>
      </c>
      <c r="BP11" s="745">
        <v>77.540000000000006</v>
      </c>
      <c r="BQ11" s="745">
        <v>77.72</v>
      </c>
      <c r="BR11" s="745">
        <v>77.86</v>
      </c>
      <c r="BS11" s="745">
        <v>78.040000000000006</v>
      </c>
      <c r="BT11" s="745">
        <v>78.2</v>
      </c>
      <c r="BU11" s="745">
        <v>78.34</v>
      </c>
      <c r="BV11" s="745">
        <v>78.5</v>
      </c>
      <c r="BW11" s="745">
        <v>78.650000000000006</v>
      </c>
      <c r="BX11" s="745">
        <v>78.790000000000006</v>
      </c>
      <c r="BY11" s="745">
        <v>78.930000000000007</v>
      </c>
      <c r="BZ11" s="745">
        <v>79.06</v>
      </c>
      <c r="CA11" s="745">
        <v>79.2</v>
      </c>
      <c r="CB11" s="745">
        <v>79.36</v>
      </c>
      <c r="CC11" s="745">
        <v>79.489999999999995</v>
      </c>
      <c r="CD11" s="745">
        <v>79.62</v>
      </c>
      <c r="CE11" s="745">
        <v>79.760000000000005</v>
      </c>
      <c r="CF11" s="745">
        <v>79.900000000000006</v>
      </c>
      <c r="CG11" s="745">
        <v>80.03</v>
      </c>
      <c r="CH11" s="745">
        <v>80.180000000000007</v>
      </c>
      <c r="CI11" s="745">
        <v>80.33</v>
      </c>
      <c r="CJ11" s="745">
        <v>80.45</v>
      </c>
      <c r="CK11" s="745">
        <v>80.59</v>
      </c>
      <c r="CL11" s="745">
        <v>80.72</v>
      </c>
      <c r="CM11" s="745">
        <v>80.86</v>
      </c>
      <c r="CN11" s="745">
        <v>80.989999999999995</v>
      </c>
      <c r="CO11" s="745">
        <v>81.12</v>
      </c>
      <c r="CP11" s="745">
        <v>81.25</v>
      </c>
      <c r="CQ11" s="745">
        <v>81.37</v>
      </c>
      <c r="CR11" s="745">
        <v>81.5</v>
      </c>
      <c r="CS11" s="745">
        <v>81.64</v>
      </c>
      <c r="CT11" s="745">
        <v>81.760000000000005</v>
      </c>
      <c r="CU11" s="745">
        <v>81.88</v>
      </c>
      <c r="CV11" s="745">
        <v>81.99</v>
      </c>
      <c r="CW11" s="745">
        <v>82.12</v>
      </c>
      <c r="CX11" s="745">
        <v>82.24</v>
      </c>
      <c r="CY11" s="745">
        <v>82.36</v>
      </c>
      <c r="CZ11" s="745">
        <v>82.48</v>
      </c>
      <c r="DA11" s="745">
        <v>82.59</v>
      </c>
      <c r="DB11" s="745">
        <v>82.71</v>
      </c>
      <c r="DC11" s="745">
        <v>82.82</v>
      </c>
      <c r="DD11" s="745">
        <v>82.94</v>
      </c>
      <c r="DE11" s="745">
        <v>83.05</v>
      </c>
      <c r="DF11" s="745">
        <v>83.16</v>
      </c>
      <c r="DG11" s="745">
        <v>83.27</v>
      </c>
      <c r="DH11" s="745">
        <v>83.38</v>
      </c>
      <c r="DI11" s="745">
        <v>83.49</v>
      </c>
      <c r="DJ11" s="745">
        <v>83.6</v>
      </c>
      <c r="DK11" s="745">
        <v>83.71</v>
      </c>
      <c r="DL11" s="745">
        <v>83.81</v>
      </c>
      <c r="DM11" s="745">
        <v>83.92</v>
      </c>
      <c r="DN11" s="745">
        <v>84.02</v>
      </c>
      <c r="DO11" s="745">
        <v>84.12</v>
      </c>
      <c r="DP11" s="745">
        <v>84.22</v>
      </c>
      <c r="DQ11" s="745">
        <v>84.33</v>
      </c>
      <c r="DR11" s="745">
        <v>84.43</v>
      </c>
    </row>
    <row r="12" spans="1:122">
      <c r="A12" s="918">
        <v>10</v>
      </c>
      <c r="B12" s="90"/>
      <c r="C12" s="90"/>
      <c r="D12" s="90"/>
      <c r="E12" s="90"/>
      <c r="F12" s="90"/>
      <c r="G12" s="90"/>
      <c r="H12" s="90"/>
      <c r="I12" s="90"/>
      <c r="J12" s="90"/>
      <c r="K12" s="90"/>
      <c r="L12" s="90"/>
      <c r="M12" s="90"/>
      <c r="N12" s="90"/>
      <c r="O12" s="90"/>
      <c r="P12" s="90"/>
      <c r="Q12" s="90"/>
      <c r="R12" s="90"/>
      <c r="S12" s="90"/>
      <c r="T12" s="90"/>
      <c r="U12" s="90"/>
      <c r="V12" s="745"/>
      <c r="W12" s="745">
        <v>67.41</v>
      </c>
      <c r="X12" s="745">
        <v>67.650000000000006</v>
      </c>
      <c r="Y12" s="745">
        <v>67.89</v>
      </c>
      <c r="Z12" s="745">
        <v>68.2</v>
      </c>
      <c r="AA12" s="745">
        <v>68.42</v>
      </c>
      <c r="AB12" s="745">
        <v>68.73</v>
      </c>
      <c r="AC12" s="745">
        <v>69.069999999999993</v>
      </c>
      <c r="AD12" s="745">
        <v>69.27</v>
      </c>
      <c r="AE12" s="745">
        <v>69.58</v>
      </c>
      <c r="AF12" s="745">
        <v>69.92</v>
      </c>
      <c r="AG12" s="745">
        <v>70.2</v>
      </c>
      <c r="AH12" s="745">
        <v>70.5</v>
      </c>
      <c r="AI12" s="745">
        <v>70.8</v>
      </c>
      <c r="AJ12" s="745">
        <v>71.180000000000007</v>
      </c>
      <c r="AK12" s="745">
        <v>71.53</v>
      </c>
      <c r="AL12" s="745">
        <v>71.97</v>
      </c>
      <c r="AM12" s="745">
        <v>72.290000000000006</v>
      </c>
      <c r="AN12" s="745">
        <v>72.56</v>
      </c>
      <c r="AO12" s="745">
        <v>72.78</v>
      </c>
      <c r="AP12" s="745">
        <v>72.930000000000007</v>
      </c>
      <c r="AQ12" s="745">
        <v>73.02</v>
      </c>
      <c r="AR12" s="745">
        <v>73.09</v>
      </c>
      <c r="AS12" s="745">
        <v>73.16</v>
      </c>
      <c r="AT12" s="745">
        <v>73.16</v>
      </c>
      <c r="AU12" s="745">
        <v>73.25</v>
      </c>
      <c r="AV12" s="745">
        <v>73.319999999999993</v>
      </c>
      <c r="AW12" s="745">
        <v>73.58</v>
      </c>
      <c r="AX12" s="745">
        <v>73.66</v>
      </c>
      <c r="AY12" s="745">
        <v>73.81</v>
      </c>
      <c r="AZ12" s="745">
        <v>73.94</v>
      </c>
      <c r="BA12" s="745">
        <v>74.09</v>
      </c>
      <c r="BB12" s="745">
        <v>74.209999999999994</v>
      </c>
      <c r="BC12" s="745">
        <v>74.34</v>
      </c>
      <c r="BD12" s="745">
        <v>74.47</v>
      </c>
      <c r="BE12" s="745">
        <v>74.58</v>
      </c>
      <c r="BF12" s="745">
        <v>74.760000000000005</v>
      </c>
      <c r="BG12" s="745">
        <v>74.94</v>
      </c>
      <c r="BH12" s="745">
        <v>75.13</v>
      </c>
      <c r="BI12" s="745">
        <v>75.28</v>
      </c>
      <c r="BJ12" s="745">
        <v>75.45</v>
      </c>
      <c r="BK12" s="745">
        <v>75.63</v>
      </c>
      <c r="BL12" s="745">
        <v>75.83</v>
      </c>
      <c r="BM12" s="745">
        <v>76.040000000000006</v>
      </c>
      <c r="BN12" s="745">
        <v>76.209999999999994</v>
      </c>
      <c r="BO12" s="745">
        <v>76.37</v>
      </c>
      <c r="BP12" s="745">
        <v>76.569999999999993</v>
      </c>
      <c r="BQ12" s="745">
        <v>76.73</v>
      </c>
      <c r="BR12" s="745">
        <v>76.88</v>
      </c>
      <c r="BS12" s="745">
        <v>77.06</v>
      </c>
      <c r="BT12" s="745">
        <v>77.22</v>
      </c>
      <c r="BU12" s="745">
        <v>77.36</v>
      </c>
      <c r="BV12" s="745">
        <v>77.510000000000005</v>
      </c>
      <c r="BW12" s="745">
        <v>77.67</v>
      </c>
      <c r="BX12" s="745">
        <v>77.8</v>
      </c>
      <c r="BY12" s="745">
        <v>77.95</v>
      </c>
      <c r="BZ12" s="745">
        <v>78.08</v>
      </c>
      <c r="CA12" s="745">
        <v>78.209999999999994</v>
      </c>
      <c r="CB12" s="745">
        <v>78.37</v>
      </c>
      <c r="CC12" s="745">
        <v>78.5</v>
      </c>
      <c r="CD12" s="745">
        <v>78.63</v>
      </c>
      <c r="CE12" s="745">
        <v>78.77</v>
      </c>
      <c r="CF12" s="745">
        <v>78.91</v>
      </c>
      <c r="CG12" s="745">
        <v>79.040000000000006</v>
      </c>
      <c r="CH12" s="745">
        <v>79.19</v>
      </c>
      <c r="CI12" s="745">
        <v>79.34</v>
      </c>
      <c r="CJ12" s="745">
        <v>79.45</v>
      </c>
      <c r="CK12" s="745">
        <v>79.59</v>
      </c>
      <c r="CL12" s="745">
        <v>79.73</v>
      </c>
      <c r="CM12" s="745">
        <v>79.87</v>
      </c>
      <c r="CN12" s="745">
        <v>80</v>
      </c>
      <c r="CO12" s="745">
        <v>80.13</v>
      </c>
      <c r="CP12" s="745">
        <v>80.260000000000005</v>
      </c>
      <c r="CQ12" s="745">
        <v>80.38</v>
      </c>
      <c r="CR12" s="745">
        <v>80.5</v>
      </c>
      <c r="CS12" s="745">
        <v>80.650000000000006</v>
      </c>
      <c r="CT12" s="745">
        <v>80.77</v>
      </c>
      <c r="CU12" s="745">
        <v>80.89</v>
      </c>
      <c r="CV12" s="745">
        <v>81</v>
      </c>
      <c r="CW12" s="745">
        <v>81.12</v>
      </c>
      <c r="CX12" s="745">
        <v>81.239999999999995</v>
      </c>
      <c r="CY12" s="745">
        <v>81.37</v>
      </c>
      <c r="CZ12" s="745">
        <v>81.48</v>
      </c>
      <c r="DA12" s="745">
        <v>81.599999999999994</v>
      </c>
      <c r="DB12" s="745">
        <v>81.709999999999994</v>
      </c>
      <c r="DC12" s="745">
        <v>81.83</v>
      </c>
      <c r="DD12" s="745">
        <v>81.94</v>
      </c>
      <c r="DE12" s="745">
        <v>82.05</v>
      </c>
      <c r="DF12" s="745">
        <v>82.17</v>
      </c>
      <c r="DG12" s="745">
        <v>82.28</v>
      </c>
      <c r="DH12" s="745">
        <v>82.39</v>
      </c>
      <c r="DI12" s="745">
        <v>82.5</v>
      </c>
      <c r="DJ12" s="745">
        <v>82.6</v>
      </c>
      <c r="DK12" s="745">
        <v>82.71</v>
      </c>
      <c r="DL12" s="745">
        <v>82.82</v>
      </c>
      <c r="DM12" s="745">
        <v>82.92</v>
      </c>
      <c r="DN12" s="745">
        <v>83.02</v>
      </c>
      <c r="DO12" s="745">
        <v>83.13</v>
      </c>
      <c r="DP12" s="745">
        <v>83.23</v>
      </c>
      <c r="DQ12" s="745">
        <v>83.33</v>
      </c>
      <c r="DR12" s="745">
        <v>83.43</v>
      </c>
    </row>
    <row r="13" spans="1:122">
      <c r="A13" s="918">
        <v>11</v>
      </c>
      <c r="B13" s="90"/>
      <c r="C13" s="90"/>
      <c r="D13" s="90"/>
      <c r="E13" s="90"/>
      <c r="F13" s="90"/>
      <c r="G13" s="90"/>
      <c r="H13" s="90"/>
      <c r="I13" s="90"/>
      <c r="J13" s="90"/>
      <c r="K13" s="90"/>
      <c r="L13" s="90"/>
      <c r="M13" s="90"/>
      <c r="N13" s="90"/>
      <c r="O13" s="90"/>
      <c r="P13" s="90"/>
      <c r="Q13" s="90"/>
      <c r="R13" s="90"/>
      <c r="S13" s="90"/>
      <c r="T13" s="90"/>
      <c r="U13" s="90"/>
      <c r="V13" s="745"/>
      <c r="W13" s="745">
        <v>66.48</v>
      </c>
      <c r="X13" s="745">
        <v>66.72</v>
      </c>
      <c r="Y13" s="745">
        <v>66.97</v>
      </c>
      <c r="Z13" s="745">
        <v>67.28</v>
      </c>
      <c r="AA13" s="745">
        <v>67.52</v>
      </c>
      <c r="AB13" s="745">
        <v>67.819999999999993</v>
      </c>
      <c r="AC13" s="745">
        <v>68.150000000000006</v>
      </c>
      <c r="AD13" s="745">
        <v>68.349999999999994</v>
      </c>
      <c r="AE13" s="745">
        <v>68.67</v>
      </c>
      <c r="AF13" s="745">
        <v>69</v>
      </c>
      <c r="AG13" s="745">
        <v>69.290000000000006</v>
      </c>
      <c r="AH13" s="745">
        <v>69.58</v>
      </c>
      <c r="AI13" s="745">
        <v>69.900000000000006</v>
      </c>
      <c r="AJ13" s="745">
        <v>70.290000000000006</v>
      </c>
      <c r="AK13" s="745">
        <v>70.66</v>
      </c>
      <c r="AL13" s="745">
        <v>71.040000000000006</v>
      </c>
      <c r="AM13" s="745">
        <v>71.36</v>
      </c>
      <c r="AN13" s="745">
        <v>71.61</v>
      </c>
      <c r="AO13" s="745">
        <v>71.819999999999993</v>
      </c>
      <c r="AP13" s="745">
        <v>71.97</v>
      </c>
      <c r="AQ13" s="745">
        <v>72.05</v>
      </c>
      <c r="AR13" s="745">
        <v>72.11</v>
      </c>
      <c r="AS13" s="745">
        <v>72.19</v>
      </c>
      <c r="AT13" s="745">
        <v>72.180000000000007</v>
      </c>
      <c r="AU13" s="745">
        <v>72.27</v>
      </c>
      <c r="AV13" s="745">
        <v>72.349999999999994</v>
      </c>
      <c r="AW13" s="745">
        <v>72.61</v>
      </c>
      <c r="AX13" s="745">
        <v>72.680000000000007</v>
      </c>
      <c r="AY13" s="745">
        <v>72.83</v>
      </c>
      <c r="AZ13" s="745">
        <v>72.959999999999994</v>
      </c>
      <c r="BA13" s="745">
        <v>73.11</v>
      </c>
      <c r="BB13" s="745">
        <v>73.23</v>
      </c>
      <c r="BC13" s="745">
        <v>73.36</v>
      </c>
      <c r="BD13" s="745">
        <v>73.489999999999995</v>
      </c>
      <c r="BE13" s="745">
        <v>73.599999999999994</v>
      </c>
      <c r="BF13" s="745">
        <v>73.78</v>
      </c>
      <c r="BG13" s="745">
        <v>73.959999999999994</v>
      </c>
      <c r="BH13" s="745">
        <v>74.150000000000006</v>
      </c>
      <c r="BI13" s="745">
        <v>74.3</v>
      </c>
      <c r="BJ13" s="745">
        <v>74.47</v>
      </c>
      <c r="BK13" s="745">
        <v>74.650000000000006</v>
      </c>
      <c r="BL13" s="745">
        <v>74.849999999999994</v>
      </c>
      <c r="BM13" s="745">
        <v>75.06</v>
      </c>
      <c r="BN13" s="745">
        <v>75.22</v>
      </c>
      <c r="BO13" s="745">
        <v>75.39</v>
      </c>
      <c r="BP13" s="745">
        <v>75.58</v>
      </c>
      <c r="BQ13" s="745">
        <v>75.75</v>
      </c>
      <c r="BR13" s="745">
        <v>75.900000000000006</v>
      </c>
      <c r="BS13" s="745">
        <v>76.08</v>
      </c>
      <c r="BT13" s="745">
        <v>76.239999999999995</v>
      </c>
      <c r="BU13" s="745">
        <v>76.37</v>
      </c>
      <c r="BV13" s="745">
        <v>76.52</v>
      </c>
      <c r="BW13" s="745">
        <v>76.680000000000007</v>
      </c>
      <c r="BX13" s="745">
        <v>76.81</v>
      </c>
      <c r="BY13" s="745">
        <v>76.959999999999994</v>
      </c>
      <c r="BZ13" s="745">
        <v>77.09</v>
      </c>
      <c r="CA13" s="745">
        <v>77.22</v>
      </c>
      <c r="CB13" s="745">
        <v>77.38</v>
      </c>
      <c r="CC13" s="745">
        <v>77.510000000000005</v>
      </c>
      <c r="CD13" s="745">
        <v>77.64</v>
      </c>
      <c r="CE13" s="745">
        <v>77.78</v>
      </c>
      <c r="CF13" s="745">
        <v>77.92</v>
      </c>
      <c r="CG13" s="745">
        <v>78.05</v>
      </c>
      <c r="CH13" s="745">
        <v>78.19</v>
      </c>
      <c r="CI13" s="745">
        <v>78.349999999999994</v>
      </c>
      <c r="CJ13" s="745">
        <v>78.459999999999994</v>
      </c>
      <c r="CK13" s="745">
        <v>78.599999999999994</v>
      </c>
      <c r="CL13" s="745">
        <v>78.739999999999995</v>
      </c>
      <c r="CM13" s="745">
        <v>78.88</v>
      </c>
      <c r="CN13" s="745">
        <v>79.010000000000005</v>
      </c>
      <c r="CO13" s="745">
        <v>79.14</v>
      </c>
      <c r="CP13" s="745">
        <v>79.27</v>
      </c>
      <c r="CQ13" s="745">
        <v>79.38</v>
      </c>
      <c r="CR13" s="745">
        <v>79.510000000000005</v>
      </c>
      <c r="CS13" s="745">
        <v>79.650000000000006</v>
      </c>
      <c r="CT13" s="745">
        <v>79.77</v>
      </c>
      <c r="CU13" s="745">
        <v>79.89</v>
      </c>
      <c r="CV13" s="745">
        <v>80</v>
      </c>
      <c r="CW13" s="745">
        <v>80.13</v>
      </c>
      <c r="CX13" s="745">
        <v>80.25</v>
      </c>
      <c r="CY13" s="745">
        <v>80.37</v>
      </c>
      <c r="CZ13" s="745">
        <v>80.489999999999995</v>
      </c>
      <c r="DA13" s="745">
        <v>80.599999999999994</v>
      </c>
      <c r="DB13" s="745">
        <v>80.72</v>
      </c>
      <c r="DC13" s="745">
        <v>80.83</v>
      </c>
      <c r="DD13" s="745">
        <v>80.95</v>
      </c>
      <c r="DE13" s="745">
        <v>81.06</v>
      </c>
      <c r="DF13" s="745">
        <v>81.17</v>
      </c>
      <c r="DG13" s="745">
        <v>81.28</v>
      </c>
      <c r="DH13" s="745">
        <v>81.39</v>
      </c>
      <c r="DI13" s="745">
        <v>81.5</v>
      </c>
      <c r="DJ13" s="745">
        <v>81.61</v>
      </c>
      <c r="DK13" s="745">
        <v>81.709999999999994</v>
      </c>
      <c r="DL13" s="745">
        <v>81.819999999999993</v>
      </c>
      <c r="DM13" s="745">
        <v>81.92</v>
      </c>
      <c r="DN13" s="745">
        <v>82.03</v>
      </c>
      <c r="DO13" s="745">
        <v>82.13</v>
      </c>
      <c r="DP13" s="745">
        <v>82.23</v>
      </c>
      <c r="DQ13" s="745">
        <v>82.33</v>
      </c>
      <c r="DR13" s="745">
        <v>82.43</v>
      </c>
    </row>
    <row r="14" spans="1:122">
      <c r="A14" s="918">
        <v>12</v>
      </c>
      <c r="B14" s="90"/>
      <c r="C14" s="90"/>
      <c r="D14" s="90"/>
      <c r="E14" s="90"/>
      <c r="F14" s="90"/>
      <c r="G14" s="90"/>
      <c r="H14" s="90"/>
      <c r="I14" s="90"/>
      <c r="J14" s="90"/>
      <c r="K14" s="90"/>
      <c r="L14" s="90"/>
      <c r="M14" s="90"/>
      <c r="N14" s="90"/>
      <c r="O14" s="90"/>
      <c r="P14" s="90"/>
      <c r="Q14" s="90"/>
      <c r="R14" s="90"/>
      <c r="S14" s="90"/>
      <c r="T14" s="90"/>
      <c r="U14" s="90"/>
      <c r="V14" s="745"/>
      <c r="W14" s="745">
        <v>65.55</v>
      </c>
      <c r="X14" s="745">
        <v>65.790000000000006</v>
      </c>
      <c r="Y14" s="745">
        <v>66.040000000000006</v>
      </c>
      <c r="Z14" s="745">
        <v>66.36</v>
      </c>
      <c r="AA14" s="745">
        <v>66.599999999999994</v>
      </c>
      <c r="AB14" s="745">
        <v>66.900000000000006</v>
      </c>
      <c r="AC14" s="745">
        <v>67.22</v>
      </c>
      <c r="AD14" s="745">
        <v>67.430000000000007</v>
      </c>
      <c r="AE14" s="745">
        <v>67.739999999999995</v>
      </c>
      <c r="AF14" s="745">
        <v>68.08</v>
      </c>
      <c r="AG14" s="745">
        <v>68.36</v>
      </c>
      <c r="AH14" s="745">
        <v>68.66</v>
      </c>
      <c r="AI14" s="745">
        <v>68.989999999999995</v>
      </c>
      <c r="AJ14" s="745">
        <v>69.400000000000006</v>
      </c>
      <c r="AK14" s="745">
        <v>69.72</v>
      </c>
      <c r="AL14" s="745">
        <v>70.099999999999994</v>
      </c>
      <c r="AM14" s="745">
        <v>70.41</v>
      </c>
      <c r="AN14" s="745">
        <v>70.64</v>
      </c>
      <c r="AO14" s="745">
        <v>70.849999999999994</v>
      </c>
      <c r="AP14" s="745">
        <v>71</v>
      </c>
      <c r="AQ14" s="745">
        <v>71.08</v>
      </c>
      <c r="AR14" s="745">
        <v>71.14</v>
      </c>
      <c r="AS14" s="745">
        <v>71.209999999999994</v>
      </c>
      <c r="AT14" s="745">
        <v>71.2</v>
      </c>
      <c r="AU14" s="745">
        <v>71.3</v>
      </c>
      <c r="AV14" s="745">
        <v>71.37</v>
      </c>
      <c r="AW14" s="745">
        <v>71.63</v>
      </c>
      <c r="AX14" s="745">
        <v>71.7</v>
      </c>
      <c r="AY14" s="745">
        <v>71.849999999999994</v>
      </c>
      <c r="AZ14" s="745">
        <v>71.98</v>
      </c>
      <c r="BA14" s="745">
        <v>72.13</v>
      </c>
      <c r="BB14" s="745">
        <v>72.25</v>
      </c>
      <c r="BC14" s="745">
        <v>72.38</v>
      </c>
      <c r="BD14" s="745">
        <v>72.510000000000005</v>
      </c>
      <c r="BE14" s="745">
        <v>72.62</v>
      </c>
      <c r="BF14" s="745">
        <v>72.81</v>
      </c>
      <c r="BG14" s="745">
        <v>72.98</v>
      </c>
      <c r="BH14" s="745">
        <v>73.17</v>
      </c>
      <c r="BI14" s="745">
        <v>73.319999999999993</v>
      </c>
      <c r="BJ14" s="745">
        <v>73.489999999999995</v>
      </c>
      <c r="BK14" s="745">
        <v>73.67</v>
      </c>
      <c r="BL14" s="745">
        <v>73.86</v>
      </c>
      <c r="BM14" s="745">
        <v>74.069999999999993</v>
      </c>
      <c r="BN14" s="745">
        <v>74.239999999999995</v>
      </c>
      <c r="BO14" s="745">
        <v>74.41</v>
      </c>
      <c r="BP14" s="745">
        <v>74.599999999999994</v>
      </c>
      <c r="BQ14" s="745">
        <v>74.760000000000005</v>
      </c>
      <c r="BR14" s="745">
        <v>74.91</v>
      </c>
      <c r="BS14" s="745">
        <v>75.09</v>
      </c>
      <c r="BT14" s="745">
        <v>75.25</v>
      </c>
      <c r="BU14" s="745">
        <v>75.38</v>
      </c>
      <c r="BV14" s="745">
        <v>75.540000000000006</v>
      </c>
      <c r="BW14" s="745">
        <v>75.69</v>
      </c>
      <c r="BX14" s="745">
        <v>75.83</v>
      </c>
      <c r="BY14" s="745">
        <v>75.97</v>
      </c>
      <c r="BZ14" s="745">
        <v>76.099999999999994</v>
      </c>
      <c r="CA14" s="745">
        <v>76.23</v>
      </c>
      <c r="CB14" s="745">
        <v>76.39</v>
      </c>
      <c r="CC14" s="745">
        <v>76.53</v>
      </c>
      <c r="CD14" s="745">
        <v>76.650000000000006</v>
      </c>
      <c r="CE14" s="745">
        <v>76.790000000000006</v>
      </c>
      <c r="CF14" s="745">
        <v>76.930000000000007</v>
      </c>
      <c r="CG14" s="745">
        <v>77.06</v>
      </c>
      <c r="CH14" s="745">
        <v>77.2</v>
      </c>
      <c r="CI14" s="745">
        <v>77.36</v>
      </c>
      <c r="CJ14" s="745">
        <v>77.47</v>
      </c>
      <c r="CK14" s="745">
        <v>77.61</v>
      </c>
      <c r="CL14" s="745">
        <v>77.75</v>
      </c>
      <c r="CM14" s="745">
        <v>77.88</v>
      </c>
      <c r="CN14" s="745">
        <v>78.02</v>
      </c>
      <c r="CO14" s="745">
        <v>78.14</v>
      </c>
      <c r="CP14" s="745">
        <v>78.28</v>
      </c>
      <c r="CQ14" s="745">
        <v>78.39</v>
      </c>
      <c r="CR14" s="745">
        <v>78.52</v>
      </c>
      <c r="CS14" s="745">
        <v>78.66</v>
      </c>
      <c r="CT14" s="745">
        <v>78.78</v>
      </c>
      <c r="CU14" s="745">
        <v>78.900000000000006</v>
      </c>
      <c r="CV14" s="745">
        <v>79.010000000000005</v>
      </c>
      <c r="CW14" s="745">
        <v>79.14</v>
      </c>
      <c r="CX14" s="745">
        <v>79.260000000000005</v>
      </c>
      <c r="CY14" s="745">
        <v>79.37</v>
      </c>
      <c r="CZ14" s="745">
        <v>79.489999999999995</v>
      </c>
      <c r="DA14" s="745">
        <v>79.61</v>
      </c>
      <c r="DB14" s="745">
        <v>79.73</v>
      </c>
      <c r="DC14" s="745">
        <v>79.84</v>
      </c>
      <c r="DD14" s="745">
        <v>79.95</v>
      </c>
      <c r="DE14" s="745">
        <v>80.069999999999993</v>
      </c>
      <c r="DF14" s="745">
        <v>80.180000000000007</v>
      </c>
      <c r="DG14" s="745">
        <v>80.290000000000006</v>
      </c>
      <c r="DH14" s="745">
        <v>80.400000000000006</v>
      </c>
      <c r="DI14" s="745">
        <v>80.510000000000005</v>
      </c>
      <c r="DJ14" s="745">
        <v>80.61</v>
      </c>
      <c r="DK14" s="745">
        <v>80.72</v>
      </c>
      <c r="DL14" s="745">
        <v>80.819999999999993</v>
      </c>
      <c r="DM14" s="745">
        <v>80.930000000000007</v>
      </c>
      <c r="DN14" s="745">
        <v>81.03</v>
      </c>
      <c r="DO14" s="745">
        <v>81.13</v>
      </c>
      <c r="DP14" s="745">
        <v>81.239999999999995</v>
      </c>
      <c r="DQ14" s="745">
        <v>81.34</v>
      </c>
      <c r="DR14" s="745">
        <v>81.44</v>
      </c>
    </row>
    <row r="15" spans="1:122">
      <c r="A15" s="918">
        <v>13</v>
      </c>
      <c r="B15" s="90"/>
      <c r="C15" s="90"/>
      <c r="D15" s="90"/>
      <c r="E15" s="90"/>
      <c r="F15" s="90"/>
      <c r="G15" s="90"/>
      <c r="H15" s="90"/>
      <c r="I15" s="90"/>
      <c r="J15" s="90"/>
      <c r="K15" s="90"/>
      <c r="L15" s="90"/>
      <c r="M15" s="90"/>
      <c r="N15" s="90"/>
      <c r="O15" s="90"/>
      <c r="P15" s="90"/>
      <c r="Q15" s="90"/>
      <c r="R15" s="90"/>
      <c r="S15" s="90"/>
      <c r="T15" s="90"/>
      <c r="U15" s="90"/>
      <c r="V15" s="745"/>
      <c r="W15" s="745">
        <v>64.61</v>
      </c>
      <c r="X15" s="745">
        <v>64.86</v>
      </c>
      <c r="Y15" s="745">
        <v>65.12</v>
      </c>
      <c r="Z15" s="745">
        <v>65.45</v>
      </c>
      <c r="AA15" s="745">
        <v>65.680000000000007</v>
      </c>
      <c r="AB15" s="745">
        <v>65.97</v>
      </c>
      <c r="AC15" s="745">
        <v>66.3</v>
      </c>
      <c r="AD15" s="745">
        <v>66.510000000000005</v>
      </c>
      <c r="AE15" s="745">
        <v>66.819999999999993</v>
      </c>
      <c r="AF15" s="745">
        <v>67.16</v>
      </c>
      <c r="AG15" s="745">
        <v>67.45</v>
      </c>
      <c r="AH15" s="745">
        <v>67.77</v>
      </c>
      <c r="AI15" s="745">
        <v>68.12</v>
      </c>
      <c r="AJ15" s="745">
        <v>68.459999999999994</v>
      </c>
      <c r="AK15" s="745">
        <v>68.790000000000006</v>
      </c>
      <c r="AL15" s="745">
        <v>69.150000000000006</v>
      </c>
      <c r="AM15" s="745">
        <v>69.44</v>
      </c>
      <c r="AN15" s="745">
        <v>69.67</v>
      </c>
      <c r="AO15" s="745">
        <v>69.88</v>
      </c>
      <c r="AP15" s="745">
        <v>70.02</v>
      </c>
      <c r="AQ15" s="745">
        <v>70.099999999999994</v>
      </c>
      <c r="AR15" s="745">
        <v>70.16</v>
      </c>
      <c r="AS15" s="745">
        <v>70.23</v>
      </c>
      <c r="AT15" s="745">
        <v>70.22</v>
      </c>
      <c r="AU15" s="745">
        <v>70.319999999999993</v>
      </c>
      <c r="AV15" s="745">
        <v>70.39</v>
      </c>
      <c r="AW15" s="745">
        <v>70.650000000000006</v>
      </c>
      <c r="AX15" s="745">
        <v>70.72</v>
      </c>
      <c r="AY15" s="745">
        <v>70.88</v>
      </c>
      <c r="AZ15" s="745">
        <v>71</v>
      </c>
      <c r="BA15" s="745">
        <v>71.150000000000006</v>
      </c>
      <c r="BB15" s="745">
        <v>71.27</v>
      </c>
      <c r="BC15" s="745">
        <v>71.400000000000006</v>
      </c>
      <c r="BD15" s="745">
        <v>71.53</v>
      </c>
      <c r="BE15" s="745">
        <v>71.64</v>
      </c>
      <c r="BF15" s="745">
        <v>71.83</v>
      </c>
      <c r="BG15" s="745">
        <v>72</v>
      </c>
      <c r="BH15" s="745">
        <v>72.19</v>
      </c>
      <c r="BI15" s="745">
        <v>72.34</v>
      </c>
      <c r="BJ15" s="745">
        <v>72.510000000000005</v>
      </c>
      <c r="BK15" s="745">
        <v>72.680000000000007</v>
      </c>
      <c r="BL15" s="745">
        <v>72.88</v>
      </c>
      <c r="BM15" s="745">
        <v>73.09</v>
      </c>
      <c r="BN15" s="745">
        <v>73.260000000000005</v>
      </c>
      <c r="BO15" s="745">
        <v>73.42</v>
      </c>
      <c r="BP15" s="745">
        <v>73.61</v>
      </c>
      <c r="BQ15" s="745">
        <v>73.78</v>
      </c>
      <c r="BR15" s="745">
        <v>73.930000000000007</v>
      </c>
      <c r="BS15" s="745">
        <v>74.11</v>
      </c>
      <c r="BT15" s="745">
        <v>74.27</v>
      </c>
      <c r="BU15" s="745">
        <v>74.400000000000006</v>
      </c>
      <c r="BV15" s="745">
        <v>74.55</v>
      </c>
      <c r="BW15" s="745">
        <v>74.7</v>
      </c>
      <c r="BX15" s="745">
        <v>74.84</v>
      </c>
      <c r="BY15" s="745">
        <v>74.98</v>
      </c>
      <c r="BZ15" s="745">
        <v>75.11</v>
      </c>
      <c r="CA15" s="745">
        <v>75.239999999999995</v>
      </c>
      <c r="CB15" s="745">
        <v>75.400000000000006</v>
      </c>
      <c r="CC15" s="745">
        <v>75.540000000000006</v>
      </c>
      <c r="CD15" s="745">
        <v>75.66</v>
      </c>
      <c r="CE15" s="745">
        <v>75.8</v>
      </c>
      <c r="CF15" s="745">
        <v>75.94</v>
      </c>
      <c r="CG15" s="745">
        <v>76.069999999999993</v>
      </c>
      <c r="CH15" s="745">
        <v>76.209999999999994</v>
      </c>
      <c r="CI15" s="745">
        <v>76.37</v>
      </c>
      <c r="CJ15" s="745">
        <v>76.48</v>
      </c>
      <c r="CK15" s="745">
        <v>76.62</v>
      </c>
      <c r="CL15" s="745">
        <v>76.75</v>
      </c>
      <c r="CM15" s="745">
        <v>76.89</v>
      </c>
      <c r="CN15" s="745">
        <v>77.03</v>
      </c>
      <c r="CO15" s="745">
        <v>77.150000000000006</v>
      </c>
      <c r="CP15" s="745">
        <v>77.290000000000006</v>
      </c>
      <c r="CQ15" s="745">
        <v>77.39</v>
      </c>
      <c r="CR15" s="745">
        <v>77.53</v>
      </c>
      <c r="CS15" s="745">
        <v>77.66</v>
      </c>
      <c r="CT15" s="745">
        <v>77.790000000000006</v>
      </c>
      <c r="CU15" s="745">
        <v>77.900000000000006</v>
      </c>
      <c r="CV15" s="745">
        <v>78.02</v>
      </c>
      <c r="CW15" s="745">
        <v>78.14</v>
      </c>
      <c r="CX15" s="745">
        <v>78.260000000000005</v>
      </c>
      <c r="CY15" s="745">
        <v>78.38</v>
      </c>
      <c r="CZ15" s="745">
        <v>78.5</v>
      </c>
      <c r="DA15" s="745">
        <v>78.61</v>
      </c>
      <c r="DB15" s="745">
        <v>78.73</v>
      </c>
      <c r="DC15" s="745">
        <v>78.849999999999994</v>
      </c>
      <c r="DD15" s="745">
        <v>78.959999999999994</v>
      </c>
      <c r="DE15" s="745">
        <v>79.069999999999993</v>
      </c>
      <c r="DF15" s="745">
        <v>79.180000000000007</v>
      </c>
      <c r="DG15" s="745">
        <v>79.290000000000006</v>
      </c>
      <c r="DH15" s="745">
        <v>79.400000000000006</v>
      </c>
      <c r="DI15" s="745">
        <v>79.510000000000005</v>
      </c>
      <c r="DJ15" s="745">
        <v>79.62</v>
      </c>
      <c r="DK15" s="745">
        <v>79.72</v>
      </c>
      <c r="DL15" s="745">
        <v>79.83</v>
      </c>
      <c r="DM15" s="745">
        <v>79.930000000000007</v>
      </c>
      <c r="DN15" s="745">
        <v>80.040000000000006</v>
      </c>
      <c r="DO15" s="745">
        <v>80.14</v>
      </c>
      <c r="DP15" s="745">
        <v>80.239999999999995</v>
      </c>
      <c r="DQ15" s="745">
        <v>80.34</v>
      </c>
      <c r="DR15" s="745">
        <v>80.44</v>
      </c>
    </row>
    <row r="16" spans="1:122">
      <c r="A16" s="918">
        <v>14</v>
      </c>
      <c r="B16" s="90"/>
      <c r="C16" s="90"/>
      <c r="D16" s="90"/>
      <c r="E16" s="90"/>
      <c r="F16" s="90"/>
      <c r="G16" s="90"/>
      <c r="H16" s="90"/>
      <c r="I16" s="90"/>
      <c r="J16" s="90"/>
      <c r="K16" s="90"/>
      <c r="L16" s="90"/>
      <c r="M16" s="90"/>
      <c r="N16" s="90"/>
      <c r="O16" s="90"/>
      <c r="P16" s="90"/>
      <c r="Q16" s="90"/>
      <c r="R16" s="90"/>
      <c r="S16" s="90"/>
      <c r="T16" s="90"/>
      <c r="U16" s="90"/>
      <c r="V16" s="745"/>
      <c r="W16" s="745">
        <v>63.68</v>
      </c>
      <c r="X16" s="745">
        <v>63.95</v>
      </c>
      <c r="Y16" s="745">
        <v>64.209999999999994</v>
      </c>
      <c r="Z16" s="745">
        <v>64.53</v>
      </c>
      <c r="AA16" s="745">
        <v>64.760000000000005</v>
      </c>
      <c r="AB16" s="745">
        <v>65.06</v>
      </c>
      <c r="AC16" s="745">
        <v>65.38</v>
      </c>
      <c r="AD16" s="745">
        <v>65.59</v>
      </c>
      <c r="AE16" s="745">
        <v>65.91</v>
      </c>
      <c r="AF16" s="745">
        <v>66.25</v>
      </c>
      <c r="AG16" s="745">
        <v>66.56</v>
      </c>
      <c r="AH16" s="745">
        <v>66.900000000000006</v>
      </c>
      <c r="AI16" s="745">
        <v>67.180000000000007</v>
      </c>
      <c r="AJ16" s="745">
        <v>67.53</v>
      </c>
      <c r="AK16" s="745">
        <v>67.84</v>
      </c>
      <c r="AL16" s="745">
        <v>68.19</v>
      </c>
      <c r="AM16" s="745">
        <v>68.48</v>
      </c>
      <c r="AN16" s="745">
        <v>68.709999999999994</v>
      </c>
      <c r="AO16" s="745">
        <v>68.91</v>
      </c>
      <c r="AP16" s="745">
        <v>69.05</v>
      </c>
      <c r="AQ16" s="745">
        <v>69.13</v>
      </c>
      <c r="AR16" s="745">
        <v>69.19</v>
      </c>
      <c r="AS16" s="745">
        <v>69.260000000000005</v>
      </c>
      <c r="AT16" s="745">
        <v>69.25</v>
      </c>
      <c r="AU16" s="745">
        <v>69.34</v>
      </c>
      <c r="AV16" s="745">
        <v>69.41</v>
      </c>
      <c r="AW16" s="745">
        <v>69.67</v>
      </c>
      <c r="AX16" s="745">
        <v>69.739999999999995</v>
      </c>
      <c r="AY16" s="745">
        <v>69.900000000000006</v>
      </c>
      <c r="AZ16" s="745">
        <v>70.02</v>
      </c>
      <c r="BA16" s="745">
        <v>70.17</v>
      </c>
      <c r="BB16" s="745">
        <v>70.3</v>
      </c>
      <c r="BC16" s="745">
        <v>70.42</v>
      </c>
      <c r="BD16" s="745">
        <v>70.55</v>
      </c>
      <c r="BE16" s="745">
        <v>70.66</v>
      </c>
      <c r="BF16" s="745">
        <v>70.849999999999994</v>
      </c>
      <c r="BG16" s="745">
        <v>71.02</v>
      </c>
      <c r="BH16" s="745">
        <v>71.209999999999994</v>
      </c>
      <c r="BI16" s="745">
        <v>71.36</v>
      </c>
      <c r="BJ16" s="745">
        <v>71.53</v>
      </c>
      <c r="BK16" s="745">
        <v>71.7</v>
      </c>
      <c r="BL16" s="745">
        <v>71.900000000000006</v>
      </c>
      <c r="BM16" s="745">
        <v>72.11</v>
      </c>
      <c r="BN16" s="745">
        <v>72.27</v>
      </c>
      <c r="BO16" s="745">
        <v>72.44</v>
      </c>
      <c r="BP16" s="745">
        <v>72.63</v>
      </c>
      <c r="BQ16" s="745">
        <v>72.790000000000006</v>
      </c>
      <c r="BR16" s="745">
        <v>72.94</v>
      </c>
      <c r="BS16" s="745">
        <v>73.12</v>
      </c>
      <c r="BT16" s="745">
        <v>73.28</v>
      </c>
      <c r="BU16" s="745">
        <v>73.41</v>
      </c>
      <c r="BV16" s="745">
        <v>73.56</v>
      </c>
      <c r="BW16" s="745">
        <v>73.709999999999994</v>
      </c>
      <c r="BX16" s="745">
        <v>73.849999999999994</v>
      </c>
      <c r="BY16" s="745">
        <v>73.989999999999995</v>
      </c>
      <c r="BZ16" s="745">
        <v>74.12</v>
      </c>
      <c r="CA16" s="745">
        <v>74.25</v>
      </c>
      <c r="CB16" s="745">
        <v>74.41</v>
      </c>
      <c r="CC16" s="745">
        <v>74.55</v>
      </c>
      <c r="CD16" s="745">
        <v>74.680000000000007</v>
      </c>
      <c r="CE16" s="745">
        <v>74.81</v>
      </c>
      <c r="CF16" s="745">
        <v>74.95</v>
      </c>
      <c r="CG16" s="745">
        <v>75.069999999999993</v>
      </c>
      <c r="CH16" s="745">
        <v>75.22</v>
      </c>
      <c r="CI16" s="745">
        <v>75.37</v>
      </c>
      <c r="CJ16" s="745">
        <v>75.489999999999995</v>
      </c>
      <c r="CK16" s="745">
        <v>75.62</v>
      </c>
      <c r="CL16" s="745">
        <v>75.77</v>
      </c>
      <c r="CM16" s="745">
        <v>75.900000000000006</v>
      </c>
      <c r="CN16" s="745">
        <v>76.03</v>
      </c>
      <c r="CO16" s="745">
        <v>76.150000000000006</v>
      </c>
      <c r="CP16" s="745">
        <v>76.290000000000006</v>
      </c>
      <c r="CQ16" s="745">
        <v>76.400000000000006</v>
      </c>
      <c r="CR16" s="745">
        <v>76.540000000000006</v>
      </c>
      <c r="CS16" s="745">
        <v>76.67</v>
      </c>
      <c r="CT16" s="745">
        <v>76.790000000000006</v>
      </c>
      <c r="CU16" s="745">
        <v>76.91</v>
      </c>
      <c r="CV16" s="745">
        <v>77.03</v>
      </c>
      <c r="CW16" s="745">
        <v>77.150000000000006</v>
      </c>
      <c r="CX16" s="745">
        <v>77.27</v>
      </c>
      <c r="CY16" s="745">
        <v>77.39</v>
      </c>
      <c r="CZ16" s="745">
        <v>77.510000000000005</v>
      </c>
      <c r="DA16" s="745">
        <v>77.62</v>
      </c>
      <c r="DB16" s="745">
        <v>77.739999999999995</v>
      </c>
      <c r="DC16" s="745">
        <v>77.849999999999994</v>
      </c>
      <c r="DD16" s="745">
        <v>77.97</v>
      </c>
      <c r="DE16" s="745">
        <v>78.08</v>
      </c>
      <c r="DF16" s="745">
        <v>78.19</v>
      </c>
      <c r="DG16" s="745">
        <v>78.3</v>
      </c>
      <c r="DH16" s="745">
        <v>78.41</v>
      </c>
      <c r="DI16" s="745">
        <v>78.52</v>
      </c>
      <c r="DJ16" s="745">
        <v>78.62</v>
      </c>
      <c r="DK16" s="745">
        <v>78.73</v>
      </c>
      <c r="DL16" s="745">
        <v>78.83</v>
      </c>
      <c r="DM16" s="745">
        <v>78.94</v>
      </c>
      <c r="DN16" s="745">
        <v>79.040000000000006</v>
      </c>
      <c r="DO16" s="745">
        <v>79.14</v>
      </c>
      <c r="DP16" s="745">
        <v>79.239999999999995</v>
      </c>
      <c r="DQ16" s="745">
        <v>79.34</v>
      </c>
      <c r="DR16" s="745">
        <v>79.44</v>
      </c>
    </row>
    <row r="17" spans="1:122">
      <c r="A17" s="918">
        <v>15</v>
      </c>
      <c r="B17" s="90"/>
      <c r="C17" s="90"/>
      <c r="D17" s="90"/>
      <c r="E17" s="90"/>
      <c r="F17" s="90"/>
      <c r="G17" s="90"/>
      <c r="H17" s="90"/>
      <c r="I17" s="90"/>
      <c r="J17" s="90"/>
      <c r="K17" s="90"/>
      <c r="L17" s="90"/>
      <c r="M17" s="90"/>
      <c r="N17" s="90"/>
      <c r="O17" s="90"/>
      <c r="P17" s="90"/>
      <c r="Q17" s="90"/>
      <c r="R17" s="90"/>
      <c r="S17" s="90"/>
      <c r="T17" s="90"/>
      <c r="U17" s="90"/>
      <c r="V17" s="745"/>
      <c r="W17" s="745">
        <v>62.77</v>
      </c>
      <c r="X17" s="745">
        <v>63.04</v>
      </c>
      <c r="Y17" s="745">
        <v>63.3</v>
      </c>
      <c r="Z17" s="745">
        <v>63.61</v>
      </c>
      <c r="AA17" s="745">
        <v>63.84</v>
      </c>
      <c r="AB17" s="745">
        <v>64.14</v>
      </c>
      <c r="AC17" s="745">
        <v>64.47</v>
      </c>
      <c r="AD17" s="745">
        <v>64.680000000000007</v>
      </c>
      <c r="AE17" s="745">
        <v>65.010000000000005</v>
      </c>
      <c r="AF17" s="745">
        <v>65.36</v>
      </c>
      <c r="AG17" s="745">
        <v>65.69</v>
      </c>
      <c r="AH17" s="745">
        <v>65.97</v>
      </c>
      <c r="AI17" s="745">
        <v>66.25</v>
      </c>
      <c r="AJ17" s="745">
        <v>66.59</v>
      </c>
      <c r="AK17" s="745">
        <v>66.88</v>
      </c>
      <c r="AL17" s="745">
        <v>67.23</v>
      </c>
      <c r="AM17" s="745">
        <v>67.52</v>
      </c>
      <c r="AN17" s="745">
        <v>67.739999999999995</v>
      </c>
      <c r="AO17" s="745">
        <v>67.94</v>
      </c>
      <c r="AP17" s="745">
        <v>68.08</v>
      </c>
      <c r="AQ17" s="745">
        <v>68.150000000000006</v>
      </c>
      <c r="AR17" s="745">
        <v>68.209999999999994</v>
      </c>
      <c r="AS17" s="745">
        <v>68.290000000000006</v>
      </c>
      <c r="AT17" s="745">
        <v>68.28</v>
      </c>
      <c r="AU17" s="745">
        <v>68.37</v>
      </c>
      <c r="AV17" s="745">
        <v>68.430000000000007</v>
      </c>
      <c r="AW17" s="745">
        <v>68.7</v>
      </c>
      <c r="AX17" s="745">
        <v>68.760000000000005</v>
      </c>
      <c r="AY17" s="745">
        <v>68.92</v>
      </c>
      <c r="AZ17" s="745">
        <v>69.040000000000006</v>
      </c>
      <c r="BA17" s="745">
        <v>69.19</v>
      </c>
      <c r="BB17" s="745">
        <v>69.319999999999993</v>
      </c>
      <c r="BC17" s="745">
        <v>69.44</v>
      </c>
      <c r="BD17" s="745">
        <v>69.58</v>
      </c>
      <c r="BE17" s="745">
        <v>69.69</v>
      </c>
      <c r="BF17" s="745">
        <v>69.87</v>
      </c>
      <c r="BG17" s="745">
        <v>70.040000000000006</v>
      </c>
      <c r="BH17" s="745">
        <v>70.23</v>
      </c>
      <c r="BI17" s="745">
        <v>70.38</v>
      </c>
      <c r="BJ17" s="745">
        <v>70.55</v>
      </c>
      <c r="BK17" s="745">
        <v>70.72</v>
      </c>
      <c r="BL17" s="745">
        <v>70.92</v>
      </c>
      <c r="BM17" s="745">
        <v>71.13</v>
      </c>
      <c r="BN17" s="745">
        <v>71.290000000000006</v>
      </c>
      <c r="BO17" s="745">
        <v>71.459999999999994</v>
      </c>
      <c r="BP17" s="745">
        <v>71.650000000000006</v>
      </c>
      <c r="BQ17" s="745">
        <v>71.81</v>
      </c>
      <c r="BR17" s="745">
        <v>71.959999999999994</v>
      </c>
      <c r="BS17" s="745">
        <v>72.14</v>
      </c>
      <c r="BT17" s="745">
        <v>72.290000000000006</v>
      </c>
      <c r="BU17" s="745">
        <v>72.430000000000007</v>
      </c>
      <c r="BV17" s="745">
        <v>72.569999999999993</v>
      </c>
      <c r="BW17" s="745">
        <v>72.72</v>
      </c>
      <c r="BX17" s="745">
        <v>72.86</v>
      </c>
      <c r="BY17" s="745">
        <v>73</v>
      </c>
      <c r="BZ17" s="745">
        <v>73.14</v>
      </c>
      <c r="CA17" s="745">
        <v>73.260000000000005</v>
      </c>
      <c r="CB17" s="745">
        <v>73.42</v>
      </c>
      <c r="CC17" s="745">
        <v>73.56</v>
      </c>
      <c r="CD17" s="745">
        <v>73.69</v>
      </c>
      <c r="CE17" s="745">
        <v>73.819999999999993</v>
      </c>
      <c r="CF17" s="745">
        <v>73.959999999999994</v>
      </c>
      <c r="CG17" s="745">
        <v>74.08</v>
      </c>
      <c r="CH17" s="745">
        <v>74.23</v>
      </c>
      <c r="CI17" s="745">
        <v>74.39</v>
      </c>
      <c r="CJ17" s="745">
        <v>74.5</v>
      </c>
      <c r="CK17" s="745">
        <v>74.63</v>
      </c>
      <c r="CL17" s="745">
        <v>74.78</v>
      </c>
      <c r="CM17" s="745">
        <v>74.91</v>
      </c>
      <c r="CN17" s="745">
        <v>75.040000000000006</v>
      </c>
      <c r="CO17" s="745">
        <v>75.17</v>
      </c>
      <c r="CP17" s="745">
        <v>75.3</v>
      </c>
      <c r="CQ17" s="745">
        <v>75.41</v>
      </c>
      <c r="CR17" s="745">
        <v>75.540000000000006</v>
      </c>
      <c r="CS17" s="745">
        <v>75.680000000000007</v>
      </c>
      <c r="CT17" s="745">
        <v>75.8</v>
      </c>
      <c r="CU17" s="745">
        <v>75.91</v>
      </c>
      <c r="CV17" s="745">
        <v>76.03</v>
      </c>
      <c r="CW17" s="745">
        <v>76.16</v>
      </c>
      <c r="CX17" s="745">
        <v>76.28</v>
      </c>
      <c r="CY17" s="745">
        <v>76.39</v>
      </c>
      <c r="CZ17" s="745">
        <v>76.510000000000005</v>
      </c>
      <c r="DA17" s="745">
        <v>76.63</v>
      </c>
      <c r="DB17" s="745">
        <v>76.75</v>
      </c>
      <c r="DC17" s="745">
        <v>76.86</v>
      </c>
      <c r="DD17" s="745">
        <v>76.97</v>
      </c>
      <c r="DE17" s="745">
        <v>77.08</v>
      </c>
      <c r="DF17" s="745">
        <v>77.2</v>
      </c>
      <c r="DG17" s="745">
        <v>77.3</v>
      </c>
      <c r="DH17" s="745">
        <v>77.41</v>
      </c>
      <c r="DI17" s="745">
        <v>77.52</v>
      </c>
      <c r="DJ17" s="745">
        <v>77.63</v>
      </c>
      <c r="DK17" s="745">
        <v>77.73</v>
      </c>
      <c r="DL17" s="745">
        <v>77.84</v>
      </c>
      <c r="DM17" s="745">
        <v>77.94</v>
      </c>
      <c r="DN17" s="745">
        <v>78.05</v>
      </c>
      <c r="DO17" s="745">
        <v>78.150000000000006</v>
      </c>
      <c r="DP17" s="745">
        <v>78.25</v>
      </c>
      <c r="DQ17" s="745">
        <v>78.349999999999994</v>
      </c>
      <c r="DR17" s="745">
        <v>78.45</v>
      </c>
    </row>
    <row r="18" spans="1:122">
      <c r="A18" s="918">
        <v>16</v>
      </c>
      <c r="B18" s="90"/>
      <c r="C18" s="90"/>
      <c r="D18" s="90"/>
      <c r="E18" s="90"/>
      <c r="F18" s="90"/>
      <c r="G18" s="90"/>
      <c r="H18" s="90"/>
      <c r="I18" s="90"/>
      <c r="J18" s="90"/>
      <c r="K18" s="90"/>
      <c r="L18" s="90"/>
      <c r="M18" s="90"/>
      <c r="N18" s="90"/>
      <c r="O18" s="90"/>
      <c r="P18" s="90"/>
      <c r="Q18" s="90"/>
      <c r="R18" s="90"/>
      <c r="S18" s="90"/>
      <c r="T18" s="90"/>
      <c r="U18" s="90"/>
      <c r="V18" s="745"/>
      <c r="W18" s="745">
        <v>61.87</v>
      </c>
      <c r="X18" s="745">
        <v>62.13</v>
      </c>
      <c r="Y18" s="745">
        <v>62.39</v>
      </c>
      <c r="Z18" s="745">
        <v>62.7</v>
      </c>
      <c r="AA18" s="745">
        <v>62.93</v>
      </c>
      <c r="AB18" s="745">
        <v>63.24</v>
      </c>
      <c r="AC18" s="745">
        <v>63.56</v>
      </c>
      <c r="AD18" s="745">
        <v>63.78</v>
      </c>
      <c r="AE18" s="745">
        <v>64.12</v>
      </c>
      <c r="AF18" s="745">
        <v>64.510000000000005</v>
      </c>
      <c r="AG18" s="745">
        <v>64.78</v>
      </c>
      <c r="AH18" s="745">
        <v>65.06</v>
      </c>
      <c r="AI18" s="745">
        <v>65.319999999999993</v>
      </c>
      <c r="AJ18" s="745">
        <v>65.63</v>
      </c>
      <c r="AK18" s="745">
        <v>65.92</v>
      </c>
      <c r="AL18" s="745">
        <v>66.27</v>
      </c>
      <c r="AM18" s="745">
        <v>66.55</v>
      </c>
      <c r="AN18" s="745">
        <v>66.77</v>
      </c>
      <c r="AO18" s="745">
        <v>66.97</v>
      </c>
      <c r="AP18" s="745">
        <v>67.11</v>
      </c>
      <c r="AQ18" s="745">
        <v>67.19</v>
      </c>
      <c r="AR18" s="745">
        <v>67.239999999999995</v>
      </c>
      <c r="AS18" s="745">
        <v>67.31</v>
      </c>
      <c r="AT18" s="745">
        <v>67.31</v>
      </c>
      <c r="AU18" s="745">
        <v>67.400000000000006</v>
      </c>
      <c r="AV18" s="745">
        <v>67.459999999999994</v>
      </c>
      <c r="AW18" s="745">
        <v>67.73</v>
      </c>
      <c r="AX18" s="745">
        <v>67.790000000000006</v>
      </c>
      <c r="AY18" s="745">
        <v>67.94</v>
      </c>
      <c r="AZ18" s="745">
        <v>68.069999999999993</v>
      </c>
      <c r="BA18" s="745">
        <v>68.22</v>
      </c>
      <c r="BB18" s="745">
        <v>68.349999999999994</v>
      </c>
      <c r="BC18" s="745">
        <v>68.47</v>
      </c>
      <c r="BD18" s="745">
        <v>68.61</v>
      </c>
      <c r="BE18" s="745">
        <v>68.72</v>
      </c>
      <c r="BF18" s="745">
        <v>68.900000000000006</v>
      </c>
      <c r="BG18" s="745">
        <v>69.069999999999993</v>
      </c>
      <c r="BH18" s="745">
        <v>69.260000000000005</v>
      </c>
      <c r="BI18" s="745">
        <v>69.41</v>
      </c>
      <c r="BJ18" s="745">
        <v>69.58</v>
      </c>
      <c r="BK18" s="745">
        <v>69.75</v>
      </c>
      <c r="BL18" s="745">
        <v>69.95</v>
      </c>
      <c r="BM18" s="745">
        <v>70.150000000000006</v>
      </c>
      <c r="BN18" s="745">
        <v>70.319999999999993</v>
      </c>
      <c r="BO18" s="745">
        <v>70.48</v>
      </c>
      <c r="BP18" s="745">
        <v>70.67</v>
      </c>
      <c r="BQ18" s="745">
        <v>70.83</v>
      </c>
      <c r="BR18" s="745">
        <v>70.98</v>
      </c>
      <c r="BS18" s="745">
        <v>71.16</v>
      </c>
      <c r="BT18" s="745">
        <v>71.31</v>
      </c>
      <c r="BU18" s="745">
        <v>71.44</v>
      </c>
      <c r="BV18" s="745">
        <v>71.59</v>
      </c>
      <c r="BW18" s="745">
        <v>71.739999999999995</v>
      </c>
      <c r="BX18" s="745">
        <v>71.88</v>
      </c>
      <c r="BY18" s="745">
        <v>72.02</v>
      </c>
      <c r="BZ18" s="745">
        <v>72.16</v>
      </c>
      <c r="CA18" s="745">
        <v>72.27</v>
      </c>
      <c r="CB18" s="745">
        <v>72.44</v>
      </c>
      <c r="CC18" s="745">
        <v>72.58</v>
      </c>
      <c r="CD18" s="745">
        <v>72.709999999999994</v>
      </c>
      <c r="CE18" s="745">
        <v>72.83</v>
      </c>
      <c r="CF18" s="745">
        <v>72.98</v>
      </c>
      <c r="CG18" s="745">
        <v>73.099999999999994</v>
      </c>
      <c r="CH18" s="745">
        <v>73.25</v>
      </c>
      <c r="CI18" s="745">
        <v>73.400000000000006</v>
      </c>
      <c r="CJ18" s="745">
        <v>73.510000000000005</v>
      </c>
      <c r="CK18" s="745">
        <v>73.650000000000006</v>
      </c>
      <c r="CL18" s="745">
        <v>73.790000000000006</v>
      </c>
      <c r="CM18" s="745">
        <v>73.92</v>
      </c>
      <c r="CN18" s="745">
        <v>74.05</v>
      </c>
      <c r="CO18" s="745">
        <v>74.180000000000007</v>
      </c>
      <c r="CP18" s="745">
        <v>74.31</v>
      </c>
      <c r="CQ18" s="745">
        <v>74.42</v>
      </c>
      <c r="CR18" s="745">
        <v>74.56</v>
      </c>
      <c r="CS18" s="745">
        <v>74.69</v>
      </c>
      <c r="CT18" s="745">
        <v>74.81</v>
      </c>
      <c r="CU18" s="745">
        <v>74.92</v>
      </c>
      <c r="CV18" s="745">
        <v>75.040000000000006</v>
      </c>
      <c r="CW18" s="745">
        <v>75.17</v>
      </c>
      <c r="CX18" s="745">
        <v>75.290000000000006</v>
      </c>
      <c r="CY18" s="745">
        <v>75.400000000000006</v>
      </c>
      <c r="CZ18" s="745">
        <v>75.52</v>
      </c>
      <c r="DA18" s="745">
        <v>75.64</v>
      </c>
      <c r="DB18" s="745">
        <v>75.75</v>
      </c>
      <c r="DC18" s="745">
        <v>75.87</v>
      </c>
      <c r="DD18" s="745">
        <v>75.98</v>
      </c>
      <c r="DE18" s="745">
        <v>76.09</v>
      </c>
      <c r="DF18" s="745">
        <v>76.2</v>
      </c>
      <c r="DG18" s="745">
        <v>76.31</v>
      </c>
      <c r="DH18" s="745">
        <v>76.42</v>
      </c>
      <c r="DI18" s="745">
        <v>76.53</v>
      </c>
      <c r="DJ18" s="745">
        <v>76.63</v>
      </c>
      <c r="DK18" s="745">
        <v>76.739999999999995</v>
      </c>
      <c r="DL18" s="745">
        <v>76.849999999999994</v>
      </c>
      <c r="DM18" s="745">
        <v>76.95</v>
      </c>
      <c r="DN18" s="745">
        <v>77.05</v>
      </c>
      <c r="DO18" s="745">
        <v>77.150000000000006</v>
      </c>
      <c r="DP18" s="745">
        <v>77.25</v>
      </c>
      <c r="DQ18" s="745">
        <v>77.349999999999994</v>
      </c>
      <c r="DR18" s="745">
        <v>77.45</v>
      </c>
    </row>
    <row r="19" spans="1:122">
      <c r="A19" s="918">
        <v>17</v>
      </c>
      <c r="B19" s="90"/>
      <c r="C19" s="90"/>
      <c r="D19" s="90"/>
      <c r="E19" s="90"/>
      <c r="F19" s="90"/>
      <c r="G19" s="90"/>
      <c r="H19" s="90"/>
      <c r="I19" s="90"/>
      <c r="J19" s="90"/>
      <c r="K19" s="90"/>
      <c r="L19" s="90"/>
      <c r="M19" s="90"/>
      <c r="N19" s="90"/>
      <c r="O19" s="90"/>
      <c r="P19" s="90"/>
      <c r="Q19" s="90"/>
      <c r="R19" s="90"/>
      <c r="S19" s="90"/>
      <c r="T19" s="90"/>
      <c r="U19" s="90"/>
      <c r="V19" s="745"/>
      <c r="W19" s="745">
        <v>60.96</v>
      </c>
      <c r="X19" s="745">
        <v>61.22</v>
      </c>
      <c r="Y19" s="745">
        <v>61.48</v>
      </c>
      <c r="Z19" s="745">
        <v>61.8</v>
      </c>
      <c r="AA19" s="745">
        <v>62.03</v>
      </c>
      <c r="AB19" s="745">
        <v>62.33</v>
      </c>
      <c r="AC19" s="745">
        <v>62.67</v>
      </c>
      <c r="AD19" s="745">
        <v>62.9</v>
      </c>
      <c r="AE19" s="745">
        <v>63.29</v>
      </c>
      <c r="AF19" s="745">
        <v>63.61</v>
      </c>
      <c r="AG19" s="745">
        <v>63.88</v>
      </c>
      <c r="AH19" s="745">
        <v>64.14</v>
      </c>
      <c r="AI19" s="745">
        <v>64.37</v>
      </c>
      <c r="AJ19" s="745">
        <v>64.680000000000007</v>
      </c>
      <c r="AK19" s="745">
        <v>64.97</v>
      </c>
      <c r="AL19" s="745">
        <v>65.319999999999993</v>
      </c>
      <c r="AM19" s="745">
        <v>65.59</v>
      </c>
      <c r="AN19" s="745">
        <v>65.81</v>
      </c>
      <c r="AO19" s="745">
        <v>66</v>
      </c>
      <c r="AP19" s="745">
        <v>66.14</v>
      </c>
      <c r="AQ19" s="745">
        <v>66.22</v>
      </c>
      <c r="AR19" s="745">
        <v>66.28</v>
      </c>
      <c r="AS19" s="745">
        <v>66.349999999999994</v>
      </c>
      <c r="AT19" s="745">
        <v>66.34</v>
      </c>
      <c r="AU19" s="745">
        <v>66.430000000000007</v>
      </c>
      <c r="AV19" s="745">
        <v>66.489999999999995</v>
      </c>
      <c r="AW19" s="745">
        <v>66.760000000000005</v>
      </c>
      <c r="AX19" s="745">
        <v>66.819999999999993</v>
      </c>
      <c r="AY19" s="745">
        <v>66.97</v>
      </c>
      <c r="AZ19" s="745">
        <v>67.11</v>
      </c>
      <c r="BA19" s="745">
        <v>67.25</v>
      </c>
      <c r="BB19" s="745">
        <v>67.38</v>
      </c>
      <c r="BC19" s="745">
        <v>67.5</v>
      </c>
      <c r="BD19" s="745">
        <v>67.64</v>
      </c>
      <c r="BE19" s="745">
        <v>67.760000000000005</v>
      </c>
      <c r="BF19" s="745">
        <v>67.94</v>
      </c>
      <c r="BG19" s="745">
        <v>68.11</v>
      </c>
      <c r="BH19" s="745">
        <v>68.290000000000006</v>
      </c>
      <c r="BI19" s="745">
        <v>68.44</v>
      </c>
      <c r="BJ19" s="745">
        <v>68.62</v>
      </c>
      <c r="BK19" s="745">
        <v>68.790000000000006</v>
      </c>
      <c r="BL19" s="745">
        <v>68.98</v>
      </c>
      <c r="BM19" s="745">
        <v>69.19</v>
      </c>
      <c r="BN19" s="745">
        <v>69.349999999999994</v>
      </c>
      <c r="BO19" s="745">
        <v>69.510000000000005</v>
      </c>
      <c r="BP19" s="745">
        <v>69.7</v>
      </c>
      <c r="BQ19" s="745">
        <v>69.849999999999994</v>
      </c>
      <c r="BR19" s="745">
        <v>70</v>
      </c>
      <c r="BS19" s="745">
        <v>70.180000000000007</v>
      </c>
      <c r="BT19" s="745">
        <v>70.33</v>
      </c>
      <c r="BU19" s="745">
        <v>70.459999999999994</v>
      </c>
      <c r="BV19" s="745">
        <v>70.599999999999994</v>
      </c>
      <c r="BW19" s="745">
        <v>70.760000000000005</v>
      </c>
      <c r="BX19" s="745">
        <v>70.900000000000006</v>
      </c>
      <c r="BY19" s="745">
        <v>71.040000000000006</v>
      </c>
      <c r="BZ19" s="745">
        <v>71.180000000000007</v>
      </c>
      <c r="CA19" s="745">
        <v>71.3</v>
      </c>
      <c r="CB19" s="745">
        <v>71.459999999999994</v>
      </c>
      <c r="CC19" s="745">
        <v>71.599999999999994</v>
      </c>
      <c r="CD19" s="745">
        <v>71.73</v>
      </c>
      <c r="CE19" s="745">
        <v>71.849999999999994</v>
      </c>
      <c r="CF19" s="745">
        <v>71.989999999999995</v>
      </c>
      <c r="CG19" s="745">
        <v>72.11</v>
      </c>
      <c r="CH19" s="745">
        <v>72.260000000000005</v>
      </c>
      <c r="CI19" s="745">
        <v>72.41</v>
      </c>
      <c r="CJ19" s="745">
        <v>72.53</v>
      </c>
      <c r="CK19" s="745">
        <v>72.66</v>
      </c>
      <c r="CL19" s="745">
        <v>72.8</v>
      </c>
      <c r="CM19" s="745">
        <v>72.930000000000007</v>
      </c>
      <c r="CN19" s="745">
        <v>73.06</v>
      </c>
      <c r="CO19" s="745">
        <v>73.19</v>
      </c>
      <c r="CP19" s="745">
        <v>73.33</v>
      </c>
      <c r="CQ19" s="745">
        <v>73.430000000000007</v>
      </c>
      <c r="CR19" s="745">
        <v>73.569999999999993</v>
      </c>
      <c r="CS19" s="745">
        <v>73.7</v>
      </c>
      <c r="CT19" s="745">
        <v>73.81</v>
      </c>
      <c r="CU19" s="745">
        <v>73.94</v>
      </c>
      <c r="CV19" s="745">
        <v>74.05</v>
      </c>
      <c r="CW19" s="745">
        <v>74.180000000000007</v>
      </c>
      <c r="CX19" s="745">
        <v>74.3</v>
      </c>
      <c r="CY19" s="745">
        <v>74.42</v>
      </c>
      <c r="CZ19" s="745">
        <v>74.53</v>
      </c>
      <c r="DA19" s="745">
        <v>74.650000000000006</v>
      </c>
      <c r="DB19" s="745">
        <v>74.760000000000005</v>
      </c>
      <c r="DC19" s="745">
        <v>74.88</v>
      </c>
      <c r="DD19" s="745">
        <v>74.989999999999995</v>
      </c>
      <c r="DE19" s="745">
        <v>75.099999999999994</v>
      </c>
      <c r="DF19" s="745">
        <v>75.209999999999994</v>
      </c>
      <c r="DG19" s="745">
        <v>75.319999999999993</v>
      </c>
      <c r="DH19" s="745">
        <v>75.430000000000007</v>
      </c>
      <c r="DI19" s="745">
        <v>75.540000000000006</v>
      </c>
      <c r="DJ19" s="745">
        <v>75.64</v>
      </c>
      <c r="DK19" s="745">
        <v>75.75</v>
      </c>
      <c r="DL19" s="745">
        <v>75.849999999999994</v>
      </c>
      <c r="DM19" s="745">
        <v>75.959999999999994</v>
      </c>
      <c r="DN19" s="745">
        <v>76.06</v>
      </c>
      <c r="DO19" s="745">
        <v>76.16</v>
      </c>
      <c r="DP19" s="745">
        <v>76.260000000000005</v>
      </c>
      <c r="DQ19" s="745">
        <v>76.36</v>
      </c>
      <c r="DR19" s="745">
        <v>76.459999999999994</v>
      </c>
    </row>
    <row r="20" spans="1:122">
      <c r="A20" s="918">
        <v>18</v>
      </c>
      <c r="B20" s="90"/>
      <c r="C20" s="90"/>
      <c r="D20" s="90"/>
      <c r="E20" s="90"/>
      <c r="F20" s="90"/>
      <c r="G20" s="90"/>
      <c r="H20" s="90"/>
      <c r="I20" s="90"/>
      <c r="J20" s="90"/>
      <c r="K20" s="90"/>
      <c r="L20" s="90"/>
      <c r="M20" s="90"/>
      <c r="N20" s="90"/>
      <c r="O20" s="90"/>
      <c r="P20" s="90"/>
      <c r="Q20" s="90"/>
      <c r="R20" s="90"/>
      <c r="S20" s="90"/>
      <c r="T20" s="90"/>
      <c r="U20" s="90"/>
      <c r="V20" s="745"/>
      <c r="W20" s="745">
        <v>60.06</v>
      </c>
      <c r="X20" s="745">
        <v>60.32</v>
      </c>
      <c r="Y20" s="745">
        <v>60.58</v>
      </c>
      <c r="Z20" s="745">
        <v>60.9</v>
      </c>
      <c r="AA20" s="745">
        <v>61.13</v>
      </c>
      <c r="AB20" s="745">
        <v>61.44</v>
      </c>
      <c r="AC20" s="745">
        <v>61.79</v>
      </c>
      <c r="AD20" s="745">
        <v>62.08</v>
      </c>
      <c r="AE20" s="745">
        <v>62.4</v>
      </c>
      <c r="AF20" s="745">
        <v>62.72</v>
      </c>
      <c r="AG20" s="745">
        <v>62.96</v>
      </c>
      <c r="AH20" s="745">
        <v>63.19</v>
      </c>
      <c r="AI20" s="745">
        <v>63.43</v>
      </c>
      <c r="AJ20" s="745">
        <v>63.74</v>
      </c>
      <c r="AK20" s="745">
        <v>64.02</v>
      </c>
      <c r="AL20" s="745">
        <v>64.349999999999994</v>
      </c>
      <c r="AM20" s="745">
        <v>64.63</v>
      </c>
      <c r="AN20" s="745">
        <v>64.849999999999994</v>
      </c>
      <c r="AO20" s="745">
        <v>65.040000000000006</v>
      </c>
      <c r="AP20" s="745">
        <v>65.180000000000007</v>
      </c>
      <c r="AQ20" s="745">
        <v>65.25</v>
      </c>
      <c r="AR20" s="745">
        <v>65.31</v>
      </c>
      <c r="AS20" s="745">
        <v>65.38</v>
      </c>
      <c r="AT20" s="745">
        <v>65.37</v>
      </c>
      <c r="AU20" s="745">
        <v>65.459999999999994</v>
      </c>
      <c r="AV20" s="745">
        <v>65.52</v>
      </c>
      <c r="AW20" s="745">
        <v>65.790000000000006</v>
      </c>
      <c r="AX20" s="745">
        <v>65.849999999999994</v>
      </c>
      <c r="AY20" s="745">
        <v>66</v>
      </c>
      <c r="AZ20" s="745">
        <v>66.14</v>
      </c>
      <c r="BA20" s="745">
        <v>66.290000000000006</v>
      </c>
      <c r="BB20" s="745">
        <v>66.41</v>
      </c>
      <c r="BC20" s="745">
        <v>66.540000000000006</v>
      </c>
      <c r="BD20" s="745">
        <v>66.680000000000007</v>
      </c>
      <c r="BE20" s="745">
        <v>66.8</v>
      </c>
      <c r="BF20" s="745">
        <v>66.97</v>
      </c>
      <c r="BG20" s="745">
        <v>67.14</v>
      </c>
      <c r="BH20" s="745">
        <v>67.33</v>
      </c>
      <c r="BI20" s="745">
        <v>67.48</v>
      </c>
      <c r="BJ20" s="745">
        <v>67.66</v>
      </c>
      <c r="BK20" s="745">
        <v>67.83</v>
      </c>
      <c r="BL20" s="745">
        <v>68.010000000000005</v>
      </c>
      <c r="BM20" s="745">
        <v>68.22</v>
      </c>
      <c r="BN20" s="745">
        <v>68.39</v>
      </c>
      <c r="BO20" s="745">
        <v>68.540000000000006</v>
      </c>
      <c r="BP20" s="745">
        <v>68.73</v>
      </c>
      <c r="BQ20" s="745">
        <v>68.88</v>
      </c>
      <c r="BR20" s="745">
        <v>69.03</v>
      </c>
      <c r="BS20" s="745">
        <v>69.2</v>
      </c>
      <c r="BT20" s="745">
        <v>69.36</v>
      </c>
      <c r="BU20" s="745">
        <v>69.489999999999995</v>
      </c>
      <c r="BV20" s="745">
        <v>69.63</v>
      </c>
      <c r="BW20" s="745">
        <v>69.78</v>
      </c>
      <c r="BX20" s="745">
        <v>69.92</v>
      </c>
      <c r="BY20" s="745">
        <v>70.06</v>
      </c>
      <c r="BZ20" s="745">
        <v>70.2</v>
      </c>
      <c r="CA20" s="745">
        <v>70.319999999999993</v>
      </c>
      <c r="CB20" s="745">
        <v>70.48</v>
      </c>
      <c r="CC20" s="745">
        <v>70.61</v>
      </c>
      <c r="CD20" s="745">
        <v>70.739999999999995</v>
      </c>
      <c r="CE20" s="745">
        <v>70.88</v>
      </c>
      <c r="CF20" s="745">
        <v>71.02</v>
      </c>
      <c r="CG20" s="745">
        <v>71.13</v>
      </c>
      <c r="CH20" s="745">
        <v>71.28</v>
      </c>
      <c r="CI20" s="745">
        <v>71.430000000000007</v>
      </c>
      <c r="CJ20" s="745">
        <v>71.540000000000006</v>
      </c>
      <c r="CK20" s="745">
        <v>71.680000000000007</v>
      </c>
      <c r="CL20" s="745">
        <v>71.819999999999993</v>
      </c>
      <c r="CM20" s="745">
        <v>71.94</v>
      </c>
      <c r="CN20" s="745">
        <v>72.08</v>
      </c>
      <c r="CO20" s="745">
        <v>72.2</v>
      </c>
      <c r="CP20" s="745">
        <v>72.34</v>
      </c>
      <c r="CQ20" s="745">
        <v>72.45</v>
      </c>
      <c r="CR20" s="745">
        <v>72.58</v>
      </c>
      <c r="CS20" s="745">
        <v>72.709999999999994</v>
      </c>
      <c r="CT20" s="745">
        <v>72.83</v>
      </c>
      <c r="CU20" s="745">
        <v>72.94</v>
      </c>
      <c r="CV20" s="745">
        <v>73.069999999999993</v>
      </c>
      <c r="CW20" s="745">
        <v>73.19</v>
      </c>
      <c r="CX20" s="745">
        <v>73.31</v>
      </c>
      <c r="CY20" s="745">
        <v>73.430000000000007</v>
      </c>
      <c r="CZ20" s="745">
        <v>73.540000000000006</v>
      </c>
      <c r="DA20" s="745">
        <v>73.66</v>
      </c>
      <c r="DB20" s="745">
        <v>73.77</v>
      </c>
      <c r="DC20" s="745">
        <v>73.88</v>
      </c>
      <c r="DD20" s="745">
        <v>74</v>
      </c>
      <c r="DE20" s="745">
        <v>74.11</v>
      </c>
      <c r="DF20" s="745">
        <v>74.22</v>
      </c>
      <c r="DG20" s="745">
        <v>74.33</v>
      </c>
      <c r="DH20" s="745">
        <v>74.44</v>
      </c>
      <c r="DI20" s="745">
        <v>74.540000000000006</v>
      </c>
      <c r="DJ20" s="745">
        <v>74.650000000000006</v>
      </c>
      <c r="DK20" s="745">
        <v>74.75</v>
      </c>
      <c r="DL20" s="745">
        <v>74.86</v>
      </c>
      <c r="DM20" s="745">
        <v>74.959999999999994</v>
      </c>
      <c r="DN20" s="745">
        <v>75.06</v>
      </c>
      <c r="DO20" s="745">
        <v>75.17</v>
      </c>
      <c r="DP20" s="745">
        <v>75.27</v>
      </c>
      <c r="DQ20" s="745">
        <v>75.37</v>
      </c>
      <c r="DR20" s="745">
        <v>75.459999999999994</v>
      </c>
    </row>
    <row r="21" spans="1:122">
      <c r="A21" s="918">
        <v>19</v>
      </c>
      <c r="B21" s="90"/>
      <c r="C21" s="90"/>
      <c r="D21" s="90"/>
      <c r="E21" s="90"/>
      <c r="F21" s="90"/>
      <c r="G21" s="90"/>
      <c r="H21" s="90"/>
      <c r="I21" s="90"/>
      <c r="J21" s="90"/>
      <c r="K21" s="90"/>
      <c r="L21" s="90"/>
      <c r="M21" s="90"/>
      <c r="N21" s="90"/>
      <c r="O21" s="90"/>
      <c r="P21" s="90"/>
      <c r="Q21" s="90"/>
      <c r="R21" s="90"/>
      <c r="S21" s="90"/>
      <c r="T21" s="90"/>
      <c r="U21" s="90"/>
      <c r="V21" s="745"/>
      <c r="W21" s="745">
        <v>59.16</v>
      </c>
      <c r="X21" s="745">
        <v>59.43</v>
      </c>
      <c r="Y21" s="745">
        <v>59.69</v>
      </c>
      <c r="Z21" s="745">
        <v>60.01</v>
      </c>
      <c r="AA21" s="745">
        <v>60.25</v>
      </c>
      <c r="AB21" s="745">
        <v>60.58</v>
      </c>
      <c r="AC21" s="745">
        <v>60.99</v>
      </c>
      <c r="AD21" s="745">
        <v>61.2</v>
      </c>
      <c r="AE21" s="745">
        <v>61.52</v>
      </c>
      <c r="AF21" s="745">
        <v>61.81</v>
      </c>
      <c r="AG21" s="745">
        <v>62.02</v>
      </c>
      <c r="AH21" s="745">
        <v>62.25</v>
      </c>
      <c r="AI21" s="745">
        <v>62.49</v>
      </c>
      <c r="AJ21" s="745">
        <v>62.78</v>
      </c>
      <c r="AK21" s="745">
        <v>63.06</v>
      </c>
      <c r="AL21" s="745">
        <v>63.4</v>
      </c>
      <c r="AM21" s="745">
        <v>63.67</v>
      </c>
      <c r="AN21" s="745">
        <v>63.88</v>
      </c>
      <c r="AO21" s="745">
        <v>64.069999999999993</v>
      </c>
      <c r="AP21" s="745">
        <v>64.209999999999994</v>
      </c>
      <c r="AQ21" s="745">
        <v>64.290000000000006</v>
      </c>
      <c r="AR21" s="745">
        <v>64.349999999999994</v>
      </c>
      <c r="AS21" s="745">
        <v>64.42</v>
      </c>
      <c r="AT21" s="745">
        <v>64.41</v>
      </c>
      <c r="AU21" s="745">
        <v>64.489999999999995</v>
      </c>
      <c r="AV21" s="745">
        <v>64.56</v>
      </c>
      <c r="AW21" s="745">
        <v>64.83</v>
      </c>
      <c r="AX21" s="745">
        <v>64.89</v>
      </c>
      <c r="AY21" s="745">
        <v>65.040000000000006</v>
      </c>
      <c r="AZ21" s="745">
        <v>65.180000000000007</v>
      </c>
      <c r="BA21" s="745">
        <v>65.33</v>
      </c>
      <c r="BB21" s="745">
        <v>65.459999999999994</v>
      </c>
      <c r="BC21" s="745">
        <v>65.58</v>
      </c>
      <c r="BD21" s="745">
        <v>65.72</v>
      </c>
      <c r="BE21" s="745">
        <v>65.83</v>
      </c>
      <c r="BF21" s="745">
        <v>66.010000000000005</v>
      </c>
      <c r="BG21" s="745">
        <v>66.180000000000007</v>
      </c>
      <c r="BH21" s="745">
        <v>66.37</v>
      </c>
      <c r="BI21" s="745">
        <v>66.52</v>
      </c>
      <c r="BJ21" s="745">
        <v>66.69</v>
      </c>
      <c r="BK21" s="745">
        <v>66.86</v>
      </c>
      <c r="BL21" s="745">
        <v>67.05</v>
      </c>
      <c r="BM21" s="745">
        <v>67.260000000000005</v>
      </c>
      <c r="BN21" s="745">
        <v>67.42</v>
      </c>
      <c r="BO21" s="745">
        <v>67.569999999999993</v>
      </c>
      <c r="BP21" s="745">
        <v>67.760000000000005</v>
      </c>
      <c r="BQ21" s="745">
        <v>67.91</v>
      </c>
      <c r="BR21" s="745">
        <v>68.05</v>
      </c>
      <c r="BS21" s="745">
        <v>68.23</v>
      </c>
      <c r="BT21" s="745">
        <v>68.38</v>
      </c>
      <c r="BU21" s="745">
        <v>68.510000000000005</v>
      </c>
      <c r="BV21" s="745">
        <v>68.66</v>
      </c>
      <c r="BW21" s="745">
        <v>68.81</v>
      </c>
      <c r="BX21" s="745">
        <v>68.94</v>
      </c>
      <c r="BY21" s="745">
        <v>69.09</v>
      </c>
      <c r="BZ21" s="745">
        <v>69.23</v>
      </c>
      <c r="CA21" s="745">
        <v>69.34</v>
      </c>
      <c r="CB21" s="745">
        <v>69.510000000000005</v>
      </c>
      <c r="CC21" s="745">
        <v>69.64</v>
      </c>
      <c r="CD21" s="745">
        <v>69.77</v>
      </c>
      <c r="CE21" s="745">
        <v>69.900000000000006</v>
      </c>
      <c r="CF21" s="745">
        <v>70.040000000000006</v>
      </c>
      <c r="CG21" s="745">
        <v>70.16</v>
      </c>
      <c r="CH21" s="745">
        <v>70.3</v>
      </c>
      <c r="CI21" s="745">
        <v>70.45</v>
      </c>
      <c r="CJ21" s="745">
        <v>70.56</v>
      </c>
      <c r="CK21" s="745">
        <v>70.69</v>
      </c>
      <c r="CL21" s="745">
        <v>70.83</v>
      </c>
      <c r="CM21" s="745">
        <v>70.959999999999994</v>
      </c>
      <c r="CN21" s="745">
        <v>71.09</v>
      </c>
      <c r="CO21" s="745">
        <v>71.22</v>
      </c>
      <c r="CP21" s="745">
        <v>71.349999999999994</v>
      </c>
      <c r="CQ21" s="745">
        <v>71.459999999999994</v>
      </c>
      <c r="CR21" s="745">
        <v>71.599999999999994</v>
      </c>
      <c r="CS21" s="745">
        <v>71.72</v>
      </c>
      <c r="CT21" s="745">
        <v>71.84</v>
      </c>
      <c r="CU21" s="745">
        <v>71.959999999999994</v>
      </c>
      <c r="CV21" s="745">
        <v>72.08</v>
      </c>
      <c r="CW21" s="745">
        <v>72.2</v>
      </c>
      <c r="CX21" s="745">
        <v>72.319999999999993</v>
      </c>
      <c r="CY21" s="745">
        <v>72.44</v>
      </c>
      <c r="CZ21" s="745">
        <v>72.55</v>
      </c>
      <c r="DA21" s="745">
        <v>72.67</v>
      </c>
      <c r="DB21" s="745">
        <v>72.78</v>
      </c>
      <c r="DC21" s="745">
        <v>72.89</v>
      </c>
      <c r="DD21" s="745">
        <v>73.010000000000005</v>
      </c>
      <c r="DE21" s="745">
        <v>73.12</v>
      </c>
      <c r="DF21" s="745">
        <v>73.23</v>
      </c>
      <c r="DG21" s="745">
        <v>73.34</v>
      </c>
      <c r="DH21" s="745">
        <v>73.44</v>
      </c>
      <c r="DI21" s="745">
        <v>73.55</v>
      </c>
      <c r="DJ21" s="745">
        <v>73.66</v>
      </c>
      <c r="DK21" s="745">
        <v>73.760000000000005</v>
      </c>
      <c r="DL21" s="745">
        <v>73.87</v>
      </c>
      <c r="DM21" s="745">
        <v>73.97</v>
      </c>
      <c r="DN21" s="745">
        <v>74.069999999999993</v>
      </c>
      <c r="DO21" s="745">
        <v>74.17</v>
      </c>
      <c r="DP21" s="745">
        <v>74.27</v>
      </c>
      <c r="DQ21" s="745">
        <v>74.37</v>
      </c>
      <c r="DR21" s="745">
        <v>74.47</v>
      </c>
    </row>
    <row r="22" spans="1:122">
      <c r="A22" s="918">
        <v>20</v>
      </c>
      <c r="B22" s="90"/>
      <c r="C22" s="90"/>
      <c r="D22" s="90"/>
      <c r="E22" s="90"/>
      <c r="F22" s="90"/>
      <c r="G22" s="90"/>
      <c r="H22" s="90"/>
      <c r="I22" s="90"/>
      <c r="J22" s="90"/>
      <c r="K22" s="90"/>
      <c r="L22" s="90"/>
      <c r="M22" s="90"/>
      <c r="N22" s="90"/>
      <c r="O22" s="90"/>
      <c r="P22" s="90"/>
      <c r="Q22" s="90"/>
      <c r="R22" s="90"/>
      <c r="S22" s="90"/>
      <c r="T22" s="90"/>
      <c r="U22" s="90"/>
      <c r="V22" s="745"/>
      <c r="W22" s="745">
        <v>58.28</v>
      </c>
      <c r="X22" s="745">
        <v>58.54</v>
      </c>
      <c r="Y22" s="745">
        <v>58.8</v>
      </c>
      <c r="Z22" s="745">
        <v>59.13</v>
      </c>
      <c r="AA22" s="745">
        <v>59.39</v>
      </c>
      <c r="AB22" s="745">
        <v>59.78</v>
      </c>
      <c r="AC22" s="745">
        <v>60.12</v>
      </c>
      <c r="AD22" s="745">
        <v>60.34</v>
      </c>
      <c r="AE22" s="745">
        <v>60.62</v>
      </c>
      <c r="AF22" s="745">
        <v>60.88</v>
      </c>
      <c r="AG22" s="745">
        <v>61.09</v>
      </c>
      <c r="AH22" s="745">
        <v>61.32</v>
      </c>
      <c r="AI22" s="745">
        <v>61.54</v>
      </c>
      <c r="AJ22" s="745">
        <v>61.83</v>
      </c>
      <c r="AK22" s="745">
        <v>62.11</v>
      </c>
      <c r="AL22" s="745">
        <v>62.44</v>
      </c>
      <c r="AM22" s="745">
        <v>62.71</v>
      </c>
      <c r="AN22" s="745">
        <v>62.93</v>
      </c>
      <c r="AO22" s="745">
        <v>63.11</v>
      </c>
      <c r="AP22" s="745">
        <v>63.25</v>
      </c>
      <c r="AQ22" s="745">
        <v>63.33</v>
      </c>
      <c r="AR22" s="745">
        <v>63.39</v>
      </c>
      <c r="AS22" s="745">
        <v>63.46</v>
      </c>
      <c r="AT22" s="745">
        <v>63.45</v>
      </c>
      <c r="AU22" s="745">
        <v>63.53</v>
      </c>
      <c r="AV22" s="745">
        <v>63.6</v>
      </c>
      <c r="AW22" s="745">
        <v>63.86</v>
      </c>
      <c r="AX22" s="745">
        <v>63.93</v>
      </c>
      <c r="AY22" s="745">
        <v>64.08</v>
      </c>
      <c r="AZ22" s="745">
        <v>64.22</v>
      </c>
      <c r="BA22" s="745">
        <v>64.37</v>
      </c>
      <c r="BB22" s="745">
        <v>64.5</v>
      </c>
      <c r="BC22" s="745">
        <v>64.62</v>
      </c>
      <c r="BD22" s="745">
        <v>64.75</v>
      </c>
      <c r="BE22" s="745">
        <v>64.87</v>
      </c>
      <c r="BF22" s="745">
        <v>65.05</v>
      </c>
      <c r="BG22" s="745">
        <v>65.22</v>
      </c>
      <c r="BH22" s="745">
        <v>65.41</v>
      </c>
      <c r="BI22" s="745">
        <v>65.56</v>
      </c>
      <c r="BJ22" s="745">
        <v>65.73</v>
      </c>
      <c r="BK22" s="745">
        <v>65.900000000000006</v>
      </c>
      <c r="BL22" s="745">
        <v>66.09</v>
      </c>
      <c r="BM22" s="745">
        <v>66.290000000000006</v>
      </c>
      <c r="BN22" s="745">
        <v>66.459999999999994</v>
      </c>
      <c r="BO22" s="745">
        <v>66.61</v>
      </c>
      <c r="BP22" s="745">
        <v>66.78</v>
      </c>
      <c r="BQ22" s="745">
        <v>66.930000000000007</v>
      </c>
      <c r="BR22" s="745">
        <v>67.08</v>
      </c>
      <c r="BS22" s="745">
        <v>67.25</v>
      </c>
      <c r="BT22" s="745">
        <v>67.41</v>
      </c>
      <c r="BU22" s="745">
        <v>67.540000000000006</v>
      </c>
      <c r="BV22" s="745">
        <v>67.69</v>
      </c>
      <c r="BW22" s="745">
        <v>67.83</v>
      </c>
      <c r="BX22" s="745">
        <v>67.97</v>
      </c>
      <c r="BY22" s="745">
        <v>68.11</v>
      </c>
      <c r="BZ22" s="745">
        <v>68.25</v>
      </c>
      <c r="CA22" s="745">
        <v>68.37</v>
      </c>
      <c r="CB22" s="745">
        <v>68.53</v>
      </c>
      <c r="CC22" s="745">
        <v>68.67</v>
      </c>
      <c r="CD22" s="745">
        <v>68.790000000000006</v>
      </c>
      <c r="CE22" s="745">
        <v>68.930000000000007</v>
      </c>
      <c r="CF22" s="745">
        <v>69.06</v>
      </c>
      <c r="CG22" s="745">
        <v>69.180000000000007</v>
      </c>
      <c r="CH22" s="745">
        <v>69.319999999999993</v>
      </c>
      <c r="CI22" s="745">
        <v>69.459999999999994</v>
      </c>
      <c r="CJ22" s="745">
        <v>69.58</v>
      </c>
      <c r="CK22" s="745">
        <v>69.709999999999994</v>
      </c>
      <c r="CL22" s="745">
        <v>69.849999999999994</v>
      </c>
      <c r="CM22" s="745">
        <v>69.97</v>
      </c>
      <c r="CN22" s="745">
        <v>70.11</v>
      </c>
      <c r="CO22" s="745">
        <v>70.23</v>
      </c>
      <c r="CP22" s="745">
        <v>70.37</v>
      </c>
      <c r="CQ22" s="745">
        <v>70.48</v>
      </c>
      <c r="CR22" s="745">
        <v>70.61</v>
      </c>
      <c r="CS22" s="745">
        <v>70.73</v>
      </c>
      <c r="CT22" s="745">
        <v>70.849999999999994</v>
      </c>
      <c r="CU22" s="745">
        <v>70.97</v>
      </c>
      <c r="CV22" s="745">
        <v>71.09</v>
      </c>
      <c r="CW22" s="745">
        <v>71.209999999999994</v>
      </c>
      <c r="CX22" s="745">
        <v>71.33</v>
      </c>
      <c r="CY22" s="745">
        <v>71.45</v>
      </c>
      <c r="CZ22" s="745">
        <v>71.56</v>
      </c>
      <c r="DA22" s="745">
        <v>71.680000000000007</v>
      </c>
      <c r="DB22" s="745">
        <v>71.790000000000006</v>
      </c>
      <c r="DC22" s="745">
        <v>71.900000000000006</v>
      </c>
      <c r="DD22" s="745">
        <v>72.02</v>
      </c>
      <c r="DE22" s="745">
        <v>72.13</v>
      </c>
      <c r="DF22" s="745">
        <v>72.239999999999995</v>
      </c>
      <c r="DG22" s="745">
        <v>72.349999999999994</v>
      </c>
      <c r="DH22" s="745">
        <v>72.45</v>
      </c>
      <c r="DI22" s="745">
        <v>72.56</v>
      </c>
      <c r="DJ22" s="745">
        <v>72.67</v>
      </c>
      <c r="DK22" s="745">
        <v>72.77</v>
      </c>
      <c r="DL22" s="745">
        <v>72.87</v>
      </c>
      <c r="DM22" s="745">
        <v>72.98</v>
      </c>
      <c r="DN22" s="745">
        <v>73.08</v>
      </c>
      <c r="DO22" s="745">
        <v>73.180000000000007</v>
      </c>
      <c r="DP22" s="745">
        <v>73.28</v>
      </c>
      <c r="DQ22" s="745">
        <v>73.38</v>
      </c>
      <c r="DR22" s="745">
        <v>73.48</v>
      </c>
    </row>
    <row r="23" spans="1:122">
      <c r="A23" s="918">
        <v>21</v>
      </c>
      <c r="B23" s="90"/>
      <c r="C23" s="90"/>
      <c r="D23" s="90"/>
      <c r="E23" s="90"/>
      <c r="F23" s="90"/>
      <c r="G23" s="90"/>
      <c r="H23" s="90"/>
      <c r="I23" s="90"/>
      <c r="J23" s="90"/>
      <c r="K23" s="90"/>
      <c r="L23" s="90"/>
      <c r="M23" s="90"/>
      <c r="N23" s="90"/>
      <c r="O23" s="90"/>
      <c r="P23" s="90"/>
      <c r="Q23" s="90"/>
      <c r="R23" s="90"/>
      <c r="S23" s="90"/>
      <c r="T23" s="90"/>
      <c r="U23" s="90"/>
      <c r="V23" s="745"/>
      <c r="W23" s="745">
        <v>57.4</v>
      </c>
      <c r="X23" s="745">
        <v>57.66</v>
      </c>
      <c r="Y23" s="745">
        <v>57.93</v>
      </c>
      <c r="Z23" s="745">
        <v>58.28</v>
      </c>
      <c r="AA23" s="745">
        <v>58.61</v>
      </c>
      <c r="AB23" s="745">
        <v>58.93</v>
      </c>
      <c r="AC23" s="745">
        <v>59.27</v>
      </c>
      <c r="AD23" s="745">
        <v>59.44</v>
      </c>
      <c r="AE23" s="745">
        <v>59.69</v>
      </c>
      <c r="AF23" s="745">
        <v>59.95</v>
      </c>
      <c r="AG23" s="745">
        <v>60.16</v>
      </c>
      <c r="AH23" s="745">
        <v>60.37</v>
      </c>
      <c r="AI23" s="745">
        <v>60.59</v>
      </c>
      <c r="AJ23" s="745">
        <v>60.88</v>
      </c>
      <c r="AK23" s="745">
        <v>61.15</v>
      </c>
      <c r="AL23" s="745">
        <v>61.49</v>
      </c>
      <c r="AM23" s="745">
        <v>61.76</v>
      </c>
      <c r="AN23" s="745">
        <v>61.97</v>
      </c>
      <c r="AO23" s="745">
        <v>62.15</v>
      </c>
      <c r="AP23" s="745">
        <v>62.29</v>
      </c>
      <c r="AQ23" s="745">
        <v>62.37</v>
      </c>
      <c r="AR23" s="745">
        <v>62.43</v>
      </c>
      <c r="AS23" s="745">
        <v>62.49</v>
      </c>
      <c r="AT23" s="745">
        <v>62.48</v>
      </c>
      <c r="AU23" s="745">
        <v>62.57</v>
      </c>
      <c r="AV23" s="745">
        <v>62.64</v>
      </c>
      <c r="AW23" s="745">
        <v>62.9</v>
      </c>
      <c r="AX23" s="745">
        <v>62.97</v>
      </c>
      <c r="AY23" s="745">
        <v>63.12</v>
      </c>
      <c r="AZ23" s="745">
        <v>63.26</v>
      </c>
      <c r="BA23" s="745">
        <v>63.41</v>
      </c>
      <c r="BB23" s="745">
        <v>63.54</v>
      </c>
      <c r="BC23" s="745">
        <v>63.66</v>
      </c>
      <c r="BD23" s="745">
        <v>63.79</v>
      </c>
      <c r="BE23" s="745">
        <v>63.91</v>
      </c>
      <c r="BF23" s="745">
        <v>64.09</v>
      </c>
      <c r="BG23" s="745">
        <v>64.260000000000005</v>
      </c>
      <c r="BH23" s="745">
        <v>64.45</v>
      </c>
      <c r="BI23" s="745">
        <v>64.59</v>
      </c>
      <c r="BJ23" s="745">
        <v>64.760000000000005</v>
      </c>
      <c r="BK23" s="745">
        <v>64.930000000000007</v>
      </c>
      <c r="BL23" s="745">
        <v>65.12</v>
      </c>
      <c r="BM23" s="745">
        <v>65.319999999999993</v>
      </c>
      <c r="BN23" s="745">
        <v>65.489999999999995</v>
      </c>
      <c r="BO23" s="745">
        <v>65.63</v>
      </c>
      <c r="BP23" s="745">
        <v>65.81</v>
      </c>
      <c r="BQ23" s="745">
        <v>65.959999999999994</v>
      </c>
      <c r="BR23" s="745">
        <v>66.11</v>
      </c>
      <c r="BS23" s="745">
        <v>66.28</v>
      </c>
      <c r="BT23" s="745">
        <v>66.430000000000007</v>
      </c>
      <c r="BU23" s="745">
        <v>66.569999999999993</v>
      </c>
      <c r="BV23" s="745">
        <v>66.709999999999994</v>
      </c>
      <c r="BW23" s="745">
        <v>66.86</v>
      </c>
      <c r="BX23" s="745">
        <v>66.989999999999995</v>
      </c>
      <c r="BY23" s="745">
        <v>67.14</v>
      </c>
      <c r="BZ23" s="745">
        <v>67.28</v>
      </c>
      <c r="CA23" s="745">
        <v>67.400000000000006</v>
      </c>
      <c r="CB23" s="745">
        <v>67.55</v>
      </c>
      <c r="CC23" s="745">
        <v>67.69</v>
      </c>
      <c r="CD23" s="745">
        <v>67.819999999999993</v>
      </c>
      <c r="CE23" s="745">
        <v>67.95</v>
      </c>
      <c r="CF23" s="745">
        <v>68.08</v>
      </c>
      <c r="CG23" s="745">
        <v>68.2</v>
      </c>
      <c r="CH23" s="745">
        <v>68.34</v>
      </c>
      <c r="CI23" s="745">
        <v>68.48</v>
      </c>
      <c r="CJ23" s="745">
        <v>68.59</v>
      </c>
      <c r="CK23" s="745">
        <v>68.73</v>
      </c>
      <c r="CL23" s="745">
        <v>68.86</v>
      </c>
      <c r="CM23" s="745">
        <v>68.98</v>
      </c>
      <c r="CN23" s="745">
        <v>69.12</v>
      </c>
      <c r="CO23" s="745">
        <v>69.25</v>
      </c>
      <c r="CP23" s="745">
        <v>69.38</v>
      </c>
      <c r="CQ23" s="745">
        <v>69.489999999999995</v>
      </c>
      <c r="CR23" s="745">
        <v>69.62</v>
      </c>
      <c r="CS23" s="745">
        <v>69.75</v>
      </c>
      <c r="CT23" s="745">
        <v>69.87</v>
      </c>
      <c r="CU23" s="745">
        <v>69.989999999999995</v>
      </c>
      <c r="CV23" s="745">
        <v>70.11</v>
      </c>
      <c r="CW23" s="745">
        <v>70.22</v>
      </c>
      <c r="CX23" s="745">
        <v>70.34</v>
      </c>
      <c r="CY23" s="745">
        <v>70.459999999999994</v>
      </c>
      <c r="CZ23" s="745">
        <v>70.569999999999993</v>
      </c>
      <c r="DA23" s="745">
        <v>70.69</v>
      </c>
      <c r="DB23" s="745">
        <v>70.8</v>
      </c>
      <c r="DC23" s="745">
        <v>70.91</v>
      </c>
      <c r="DD23" s="745">
        <v>71.03</v>
      </c>
      <c r="DE23" s="745">
        <v>71.14</v>
      </c>
      <c r="DF23" s="745">
        <v>71.25</v>
      </c>
      <c r="DG23" s="745">
        <v>71.349999999999994</v>
      </c>
      <c r="DH23" s="745">
        <v>71.459999999999994</v>
      </c>
      <c r="DI23" s="745">
        <v>71.569999999999993</v>
      </c>
      <c r="DJ23" s="745">
        <v>71.67</v>
      </c>
      <c r="DK23" s="745">
        <v>71.78</v>
      </c>
      <c r="DL23" s="745">
        <v>71.88</v>
      </c>
      <c r="DM23" s="745">
        <v>71.98</v>
      </c>
      <c r="DN23" s="745">
        <v>72.09</v>
      </c>
      <c r="DO23" s="745">
        <v>72.19</v>
      </c>
      <c r="DP23" s="745">
        <v>72.290000000000006</v>
      </c>
      <c r="DQ23" s="745">
        <v>72.39</v>
      </c>
      <c r="DR23" s="745">
        <v>72.48</v>
      </c>
    </row>
    <row r="24" spans="1:122">
      <c r="A24" s="918">
        <v>22</v>
      </c>
      <c r="B24" s="90"/>
      <c r="C24" s="90"/>
      <c r="D24" s="90"/>
      <c r="E24" s="90"/>
      <c r="F24" s="90"/>
      <c r="G24" s="90"/>
      <c r="H24" s="90"/>
      <c r="I24" s="90"/>
      <c r="J24" s="90"/>
      <c r="K24" s="90"/>
      <c r="L24" s="90"/>
      <c r="M24" s="90"/>
      <c r="N24" s="90"/>
      <c r="O24" s="90"/>
      <c r="P24" s="90"/>
      <c r="Q24" s="90"/>
      <c r="R24" s="90"/>
      <c r="S24" s="90"/>
      <c r="T24" s="90"/>
      <c r="U24" s="90"/>
      <c r="V24" s="745"/>
      <c r="W24" s="745">
        <v>56.52</v>
      </c>
      <c r="X24" s="745">
        <v>56.8</v>
      </c>
      <c r="Y24" s="745">
        <v>57.09</v>
      </c>
      <c r="Z24" s="745">
        <v>57.51</v>
      </c>
      <c r="AA24" s="745">
        <v>57.75</v>
      </c>
      <c r="AB24" s="745">
        <v>58.07</v>
      </c>
      <c r="AC24" s="745">
        <v>58.37</v>
      </c>
      <c r="AD24" s="745">
        <v>58.52</v>
      </c>
      <c r="AE24" s="745">
        <v>58.76</v>
      </c>
      <c r="AF24" s="745">
        <v>59.02</v>
      </c>
      <c r="AG24" s="745">
        <v>59.21</v>
      </c>
      <c r="AH24" s="745">
        <v>59.42</v>
      </c>
      <c r="AI24" s="745">
        <v>59.64</v>
      </c>
      <c r="AJ24" s="745">
        <v>59.92</v>
      </c>
      <c r="AK24" s="745">
        <v>60.2</v>
      </c>
      <c r="AL24" s="745">
        <v>60.52</v>
      </c>
      <c r="AM24" s="745">
        <v>60.8</v>
      </c>
      <c r="AN24" s="745">
        <v>61</v>
      </c>
      <c r="AO24" s="745">
        <v>61.19</v>
      </c>
      <c r="AP24" s="745">
        <v>61.33</v>
      </c>
      <c r="AQ24" s="745">
        <v>61.4</v>
      </c>
      <c r="AR24" s="745">
        <v>61.46</v>
      </c>
      <c r="AS24" s="745">
        <v>61.53</v>
      </c>
      <c r="AT24" s="745">
        <v>61.52</v>
      </c>
      <c r="AU24" s="745">
        <v>61.6</v>
      </c>
      <c r="AV24" s="745">
        <v>61.67</v>
      </c>
      <c r="AW24" s="745">
        <v>61.93</v>
      </c>
      <c r="AX24" s="745">
        <v>62</v>
      </c>
      <c r="AY24" s="745">
        <v>62.15</v>
      </c>
      <c r="AZ24" s="745">
        <v>62.3</v>
      </c>
      <c r="BA24" s="745">
        <v>62.45</v>
      </c>
      <c r="BB24" s="745">
        <v>62.58</v>
      </c>
      <c r="BC24" s="745">
        <v>62.7</v>
      </c>
      <c r="BD24" s="745">
        <v>62.82</v>
      </c>
      <c r="BE24" s="745">
        <v>62.95</v>
      </c>
      <c r="BF24" s="745">
        <v>63.12</v>
      </c>
      <c r="BG24" s="745">
        <v>63.29</v>
      </c>
      <c r="BH24" s="745">
        <v>63.48</v>
      </c>
      <c r="BI24" s="745">
        <v>63.62</v>
      </c>
      <c r="BJ24" s="745">
        <v>63.79</v>
      </c>
      <c r="BK24" s="745">
        <v>63.95</v>
      </c>
      <c r="BL24" s="745">
        <v>64.150000000000006</v>
      </c>
      <c r="BM24" s="745">
        <v>64.34</v>
      </c>
      <c r="BN24" s="745">
        <v>64.510000000000005</v>
      </c>
      <c r="BO24" s="745">
        <v>64.650000000000006</v>
      </c>
      <c r="BP24" s="745">
        <v>64.84</v>
      </c>
      <c r="BQ24" s="745">
        <v>64.98</v>
      </c>
      <c r="BR24" s="745">
        <v>65.13</v>
      </c>
      <c r="BS24" s="745">
        <v>65.31</v>
      </c>
      <c r="BT24" s="745">
        <v>65.459999999999994</v>
      </c>
      <c r="BU24" s="745">
        <v>65.59</v>
      </c>
      <c r="BV24" s="745">
        <v>65.73</v>
      </c>
      <c r="BW24" s="745">
        <v>65.88</v>
      </c>
      <c r="BX24" s="745">
        <v>66.02</v>
      </c>
      <c r="BY24" s="745">
        <v>66.16</v>
      </c>
      <c r="BZ24" s="745">
        <v>66.3</v>
      </c>
      <c r="CA24" s="745">
        <v>66.42</v>
      </c>
      <c r="CB24" s="745">
        <v>66.58</v>
      </c>
      <c r="CC24" s="745">
        <v>66.709999999999994</v>
      </c>
      <c r="CD24" s="745">
        <v>66.84</v>
      </c>
      <c r="CE24" s="745">
        <v>66.959999999999994</v>
      </c>
      <c r="CF24" s="745">
        <v>67.099999999999994</v>
      </c>
      <c r="CG24" s="745">
        <v>67.22</v>
      </c>
      <c r="CH24" s="745">
        <v>67.36</v>
      </c>
      <c r="CI24" s="745">
        <v>67.489999999999995</v>
      </c>
      <c r="CJ24" s="745">
        <v>67.61</v>
      </c>
      <c r="CK24" s="745">
        <v>67.739999999999995</v>
      </c>
      <c r="CL24" s="745">
        <v>67.87</v>
      </c>
      <c r="CM24" s="745">
        <v>68</v>
      </c>
      <c r="CN24" s="745">
        <v>68.13</v>
      </c>
      <c r="CO24" s="745">
        <v>68.260000000000005</v>
      </c>
      <c r="CP24" s="745">
        <v>68.39</v>
      </c>
      <c r="CQ24" s="745">
        <v>68.5</v>
      </c>
      <c r="CR24" s="745">
        <v>68.63</v>
      </c>
      <c r="CS24" s="745">
        <v>68.760000000000005</v>
      </c>
      <c r="CT24" s="745">
        <v>68.88</v>
      </c>
      <c r="CU24" s="745">
        <v>69</v>
      </c>
      <c r="CV24" s="745">
        <v>69.12</v>
      </c>
      <c r="CW24" s="745">
        <v>69.239999999999995</v>
      </c>
      <c r="CX24" s="745">
        <v>69.349999999999994</v>
      </c>
      <c r="CY24" s="745">
        <v>69.47</v>
      </c>
      <c r="CZ24" s="745">
        <v>69.58</v>
      </c>
      <c r="DA24" s="745">
        <v>69.7</v>
      </c>
      <c r="DB24" s="745">
        <v>69.81</v>
      </c>
      <c r="DC24" s="745">
        <v>69.92</v>
      </c>
      <c r="DD24" s="745">
        <v>70.03</v>
      </c>
      <c r="DE24" s="745">
        <v>70.14</v>
      </c>
      <c r="DF24" s="745">
        <v>70.25</v>
      </c>
      <c r="DG24" s="745">
        <v>70.36</v>
      </c>
      <c r="DH24" s="745">
        <v>70.47</v>
      </c>
      <c r="DI24" s="745">
        <v>70.58</v>
      </c>
      <c r="DJ24" s="745">
        <v>70.680000000000007</v>
      </c>
      <c r="DK24" s="745">
        <v>70.790000000000006</v>
      </c>
      <c r="DL24" s="745">
        <v>70.89</v>
      </c>
      <c r="DM24" s="745">
        <v>70.989999999999995</v>
      </c>
      <c r="DN24" s="745">
        <v>71.09</v>
      </c>
      <c r="DO24" s="745">
        <v>71.19</v>
      </c>
      <c r="DP24" s="745">
        <v>71.290000000000006</v>
      </c>
      <c r="DQ24" s="745">
        <v>71.39</v>
      </c>
      <c r="DR24" s="745">
        <v>71.489999999999995</v>
      </c>
    </row>
    <row r="25" spans="1:122">
      <c r="A25" s="918">
        <v>23</v>
      </c>
      <c r="B25" s="90"/>
      <c r="C25" s="90"/>
      <c r="D25" s="90"/>
      <c r="E25" s="90"/>
      <c r="F25" s="90"/>
      <c r="G25" s="90"/>
      <c r="H25" s="90"/>
      <c r="I25" s="90"/>
      <c r="J25" s="90"/>
      <c r="K25" s="90"/>
      <c r="L25" s="90"/>
      <c r="M25" s="90"/>
      <c r="N25" s="90"/>
      <c r="O25" s="90"/>
      <c r="P25" s="90"/>
      <c r="Q25" s="90"/>
      <c r="R25" s="90"/>
      <c r="S25" s="90"/>
      <c r="T25" s="90"/>
      <c r="U25" s="90"/>
      <c r="V25" s="745"/>
      <c r="W25" s="745">
        <v>55.66</v>
      </c>
      <c r="X25" s="745">
        <v>55.95</v>
      </c>
      <c r="Y25" s="745">
        <v>56.32</v>
      </c>
      <c r="Z25" s="745">
        <v>56.65</v>
      </c>
      <c r="AA25" s="745">
        <v>56.9</v>
      </c>
      <c r="AB25" s="745">
        <v>57.18</v>
      </c>
      <c r="AC25" s="745">
        <v>57.44</v>
      </c>
      <c r="AD25" s="745">
        <v>57.59</v>
      </c>
      <c r="AE25" s="745">
        <v>57.84</v>
      </c>
      <c r="AF25" s="745">
        <v>58.08</v>
      </c>
      <c r="AG25" s="745">
        <v>58.27</v>
      </c>
      <c r="AH25" s="745">
        <v>58.47</v>
      </c>
      <c r="AI25" s="745">
        <v>58.68</v>
      </c>
      <c r="AJ25" s="745">
        <v>58.96</v>
      </c>
      <c r="AK25" s="745">
        <v>59.24</v>
      </c>
      <c r="AL25" s="745">
        <v>59.56</v>
      </c>
      <c r="AM25" s="745">
        <v>59.84</v>
      </c>
      <c r="AN25" s="745">
        <v>60.04</v>
      </c>
      <c r="AO25" s="745">
        <v>60.22</v>
      </c>
      <c r="AP25" s="745">
        <v>60.37</v>
      </c>
      <c r="AQ25" s="745">
        <v>60.43</v>
      </c>
      <c r="AR25" s="745">
        <v>60.5</v>
      </c>
      <c r="AS25" s="745">
        <v>60.56</v>
      </c>
      <c r="AT25" s="745">
        <v>60.56</v>
      </c>
      <c r="AU25" s="745">
        <v>60.64</v>
      </c>
      <c r="AV25" s="745">
        <v>60.71</v>
      </c>
      <c r="AW25" s="745">
        <v>60.97</v>
      </c>
      <c r="AX25" s="745">
        <v>61.04</v>
      </c>
      <c r="AY25" s="745">
        <v>61.19</v>
      </c>
      <c r="AZ25" s="745">
        <v>61.33</v>
      </c>
      <c r="BA25" s="745">
        <v>61.48</v>
      </c>
      <c r="BB25" s="745">
        <v>61.61</v>
      </c>
      <c r="BC25" s="745">
        <v>61.73</v>
      </c>
      <c r="BD25" s="745">
        <v>61.86</v>
      </c>
      <c r="BE25" s="745">
        <v>61.99</v>
      </c>
      <c r="BF25" s="745">
        <v>62.16</v>
      </c>
      <c r="BG25" s="745">
        <v>62.32</v>
      </c>
      <c r="BH25" s="745">
        <v>62.52</v>
      </c>
      <c r="BI25" s="745">
        <v>62.65</v>
      </c>
      <c r="BJ25" s="745">
        <v>62.82</v>
      </c>
      <c r="BK25" s="745">
        <v>62.98</v>
      </c>
      <c r="BL25" s="745">
        <v>63.17</v>
      </c>
      <c r="BM25" s="745">
        <v>63.37</v>
      </c>
      <c r="BN25" s="745">
        <v>63.54</v>
      </c>
      <c r="BO25" s="745">
        <v>63.68</v>
      </c>
      <c r="BP25" s="745">
        <v>63.86</v>
      </c>
      <c r="BQ25" s="745">
        <v>64.010000000000005</v>
      </c>
      <c r="BR25" s="745">
        <v>64.16</v>
      </c>
      <c r="BS25" s="745">
        <v>64.33</v>
      </c>
      <c r="BT25" s="745">
        <v>64.48</v>
      </c>
      <c r="BU25" s="745">
        <v>64.62</v>
      </c>
      <c r="BV25" s="745">
        <v>64.75</v>
      </c>
      <c r="BW25" s="745">
        <v>64.91</v>
      </c>
      <c r="BX25" s="745">
        <v>65.040000000000006</v>
      </c>
      <c r="BY25" s="745">
        <v>65.180000000000007</v>
      </c>
      <c r="BZ25" s="745">
        <v>65.319999999999993</v>
      </c>
      <c r="CA25" s="745">
        <v>65.44</v>
      </c>
      <c r="CB25" s="745">
        <v>65.59</v>
      </c>
      <c r="CC25" s="745">
        <v>65.73</v>
      </c>
      <c r="CD25" s="745">
        <v>65.86</v>
      </c>
      <c r="CE25" s="745">
        <v>65.98</v>
      </c>
      <c r="CF25" s="745">
        <v>66.11</v>
      </c>
      <c r="CG25" s="745">
        <v>66.23</v>
      </c>
      <c r="CH25" s="745">
        <v>66.37</v>
      </c>
      <c r="CI25" s="745">
        <v>66.510000000000005</v>
      </c>
      <c r="CJ25" s="745">
        <v>66.62</v>
      </c>
      <c r="CK25" s="745">
        <v>66.760000000000005</v>
      </c>
      <c r="CL25" s="745">
        <v>66.89</v>
      </c>
      <c r="CM25" s="745">
        <v>67.02</v>
      </c>
      <c r="CN25" s="745">
        <v>67.150000000000006</v>
      </c>
      <c r="CO25" s="745">
        <v>67.27</v>
      </c>
      <c r="CP25" s="745">
        <v>67.400000000000006</v>
      </c>
      <c r="CQ25" s="745">
        <v>67.52</v>
      </c>
      <c r="CR25" s="745">
        <v>67.64</v>
      </c>
      <c r="CS25" s="745">
        <v>67.77</v>
      </c>
      <c r="CT25" s="745">
        <v>67.89</v>
      </c>
      <c r="CU25" s="745">
        <v>68.010000000000005</v>
      </c>
      <c r="CV25" s="745">
        <v>68.13</v>
      </c>
      <c r="CW25" s="745">
        <v>68.25</v>
      </c>
      <c r="CX25" s="745">
        <v>68.36</v>
      </c>
      <c r="CY25" s="745">
        <v>68.48</v>
      </c>
      <c r="CZ25" s="745">
        <v>68.59</v>
      </c>
      <c r="DA25" s="745">
        <v>68.709999999999994</v>
      </c>
      <c r="DB25" s="745">
        <v>68.819999999999993</v>
      </c>
      <c r="DC25" s="745">
        <v>68.930000000000007</v>
      </c>
      <c r="DD25" s="745">
        <v>69.040000000000006</v>
      </c>
      <c r="DE25" s="745">
        <v>69.150000000000006</v>
      </c>
      <c r="DF25" s="745">
        <v>69.260000000000005</v>
      </c>
      <c r="DG25" s="745">
        <v>69.37</v>
      </c>
      <c r="DH25" s="745">
        <v>69.48</v>
      </c>
      <c r="DI25" s="745">
        <v>69.58</v>
      </c>
      <c r="DJ25" s="745">
        <v>69.69</v>
      </c>
      <c r="DK25" s="745">
        <v>69.790000000000006</v>
      </c>
      <c r="DL25" s="745">
        <v>69.900000000000006</v>
      </c>
      <c r="DM25" s="745">
        <v>70</v>
      </c>
      <c r="DN25" s="745">
        <v>70.099999999999994</v>
      </c>
      <c r="DO25" s="745">
        <v>70.2</v>
      </c>
      <c r="DP25" s="745">
        <v>70.3</v>
      </c>
      <c r="DQ25" s="745">
        <v>70.400000000000006</v>
      </c>
      <c r="DR25" s="745">
        <v>70.5</v>
      </c>
    </row>
    <row r="26" spans="1:122">
      <c r="A26" s="918">
        <v>24</v>
      </c>
      <c r="B26" s="90"/>
      <c r="C26" s="90"/>
      <c r="D26" s="90"/>
      <c r="E26" s="90"/>
      <c r="F26" s="90"/>
      <c r="G26" s="90"/>
      <c r="H26" s="90"/>
      <c r="I26" s="90"/>
      <c r="J26" s="90"/>
      <c r="K26" s="90"/>
      <c r="L26" s="90"/>
      <c r="M26" s="90"/>
      <c r="N26" s="90"/>
      <c r="O26" s="90"/>
      <c r="P26" s="90"/>
      <c r="Q26" s="90"/>
      <c r="R26" s="90"/>
      <c r="S26" s="90"/>
      <c r="T26" s="90"/>
      <c r="U26" s="90"/>
      <c r="V26" s="745"/>
      <c r="W26" s="745">
        <v>54.81</v>
      </c>
      <c r="X26" s="745">
        <v>55.18</v>
      </c>
      <c r="Y26" s="745">
        <v>55.46</v>
      </c>
      <c r="Z26" s="745">
        <v>55.8</v>
      </c>
      <c r="AA26" s="745">
        <v>56.01</v>
      </c>
      <c r="AB26" s="745">
        <v>56.26</v>
      </c>
      <c r="AC26" s="745">
        <v>56.52</v>
      </c>
      <c r="AD26" s="745">
        <v>56.66</v>
      </c>
      <c r="AE26" s="745">
        <v>56.9</v>
      </c>
      <c r="AF26" s="745">
        <v>57.13</v>
      </c>
      <c r="AG26" s="745">
        <v>57.32</v>
      </c>
      <c r="AH26" s="745">
        <v>57.52</v>
      </c>
      <c r="AI26" s="745">
        <v>57.73</v>
      </c>
      <c r="AJ26" s="745">
        <v>58.01</v>
      </c>
      <c r="AK26" s="745">
        <v>58.29</v>
      </c>
      <c r="AL26" s="745">
        <v>58.6</v>
      </c>
      <c r="AM26" s="745">
        <v>58.88</v>
      </c>
      <c r="AN26" s="745">
        <v>59.09</v>
      </c>
      <c r="AO26" s="745">
        <v>59.26</v>
      </c>
      <c r="AP26" s="745">
        <v>59.41</v>
      </c>
      <c r="AQ26" s="745">
        <v>59.47</v>
      </c>
      <c r="AR26" s="745">
        <v>59.54</v>
      </c>
      <c r="AS26" s="745">
        <v>59.6</v>
      </c>
      <c r="AT26" s="745">
        <v>59.59</v>
      </c>
      <c r="AU26" s="745">
        <v>59.67</v>
      </c>
      <c r="AV26" s="745">
        <v>59.75</v>
      </c>
      <c r="AW26" s="745">
        <v>60</v>
      </c>
      <c r="AX26" s="745">
        <v>60.07</v>
      </c>
      <c r="AY26" s="745">
        <v>60.23</v>
      </c>
      <c r="AZ26" s="745">
        <v>60.37</v>
      </c>
      <c r="BA26" s="745">
        <v>60.51</v>
      </c>
      <c r="BB26" s="745">
        <v>60.65</v>
      </c>
      <c r="BC26" s="745">
        <v>60.76</v>
      </c>
      <c r="BD26" s="745">
        <v>60.89</v>
      </c>
      <c r="BE26" s="745">
        <v>61.02</v>
      </c>
      <c r="BF26" s="745">
        <v>61.19</v>
      </c>
      <c r="BG26" s="745">
        <v>61.35</v>
      </c>
      <c r="BH26" s="745">
        <v>61.54</v>
      </c>
      <c r="BI26" s="745">
        <v>61.68</v>
      </c>
      <c r="BJ26" s="745">
        <v>61.85</v>
      </c>
      <c r="BK26" s="745">
        <v>62.01</v>
      </c>
      <c r="BL26" s="745">
        <v>62.2</v>
      </c>
      <c r="BM26" s="745">
        <v>62.39</v>
      </c>
      <c r="BN26" s="745">
        <v>62.56</v>
      </c>
      <c r="BO26" s="745">
        <v>62.7</v>
      </c>
      <c r="BP26" s="745">
        <v>62.89</v>
      </c>
      <c r="BQ26" s="745">
        <v>63.03</v>
      </c>
      <c r="BR26" s="745">
        <v>63.18</v>
      </c>
      <c r="BS26" s="745">
        <v>63.35</v>
      </c>
      <c r="BT26" s="745">
        <v>63.5</v>
      </c>
      <c r="BU26" s="745">
        <v>63.64</v>
      </c>
      <c r="BV26" s="745">
        <v>63.77</v>
      </c>
      <c r="BW26" s="745">
        <v>63.92</v>
      </c>
      <c r="BX26" s="745">
        <v>64.06</v>
      </c>
      <c r="BY26" s="745">
        <v>64.2</v>
      </c>
      <c r="BZ26" s="745">
        <v>64.34</v>
      </c>
      <c r="CA26" s="745">
        <v>64.459999999999994</v>
      </c>
      <c r="CB26" s="745">
        <v>64.61</v>
      </c>
      <c r="CC26" s="745">
        <v>64.739999999999995</v>
      </c>
      <c r="CD26" s="745">
        <v>64.87</v>
      </c>
      <c r="CE26" s="745">
        <v>65</v>
      </c>
      <c r="CF26" s="745">
        <v>65.13</v>
      </c>
      <c r="CG26" s="745">
        <v>65.25</v>
      </c>
      <c r="CH26" s="745">
        <v>65.39</v>
      </c>
      <c r="CI26" s="745">
        <v>65.52</v>
      </c>
      <c r="CJ26" s="745">
        <v>65.64</v>
      </c>
      <c r="CK26" s="745">
        <v>65.78</v>
      </c>
      <c r="CL26" s="745">
        <v>65.900000000000006</v>
      </c>
      <c r="CM26" s="745">
        <v>66.03</v>
      </c>
      <c r="CN26" s="745">
        <v>66.16</v>
      </c>
      <c r="CO26" s="745">
        <v>66.290000000000006</v>
      </c>
      <c r="CP26" s="745">
        <v>66.41</v>
      </c>
      <c r="CQ26" s="745">
        <v>66.53</v>
      </c>
      <c r="CR26" s="745">
        <v>66.66</v>
      </c>
      <c r="CS26" s="745">
        <v>66.78</v>
      </c>
      <c r="CT26" s="745">
        <v>66.900000000000006</v>
      </c>
      <c r="CU26" s="745">
        <v>67.02</v>
      </c>
      <c r="CV26" s="745">
        <v>67.14</v>
      </c>
      <c r="CW26" s="745">
        <v>67.260000000000005</v>
      </c>
      <c r="CX26" s="745">
        <v>67.37</v>
      </c>
      <c r="CY26" s="745">
        <v>67.489999999999995</v>
      </c>
      <c r="CZ26" s="745">
        <v>67.599999999999994</v>
      </c>
      <c r="DA26" s="745">
        <v>67.72</v>
      </c>
      <c r="DB26" s="745">
        <v>67.83</v>
      </c>
      <c r="DC26" s="745">
        <v>67.94</v>
      </c>
      <c r="DD26" s="745">
        <v>68.05</v>
      </c>
      <c r="DE26" s="745">
        <v>68.16</v>
      </c>
      <c r="DF26" s="745">
        <v>68.27</v>
      </c>
      <c r="DG26" s="745">
        <v>68.38</v>
      </c>
      <c r="DH26" s="745">
        <v>68.48</v>
      </c>
      <c r="DI26" s="745">
        <v>68.59</v>
      </c>
      <c r="DJ26" s="745">
        <v>68.69</v>
      </c>
      <c r="DK26" s="745">
        <v>68.8</v>
      </c>
      <c r="DL26" s="745">
        <v>68.900000000000006</v>
      </c>
      <c r="DM26" s="745">
        <v>69</v>
      </c>
      <c r="DN26" s="745">
        <v>69.11</v>
      </c>
      <c r="DO26" s="745">
        <v>69.209999999999994</v>
      </c>
      <c r="DP26" s="745">
        <v>69.3</v>
      </c>
      <c r="DQ26" s="745">
        <v>69.400000000000006</v>
      </c>
      <c r="DR26" s="745">
        <v>69.5</v>
      </c>
    </row>
    <row r="27" spans="1:122">
      <c r="A27" s="918">
        <v>25</v>
      </c>
      <c r="B27" s="90"/>
      <c r="C27" s="90"/>
      <c r="D27" s="90"/>
      <c r="E27" s="90"/>
      <c r="F27" s="90"/>
      <c r="G27" s="90"/>
      <c r="H27" s="90"/>
      <c r="I27" s="90"/>
      <c r="J27" s="90"/>
      <c r="K27" s="90"/>
      <c r="L27" s="90"/>
      <c r="M27" s="90"/>
      <c r="N27" s="90"/>
      <c r="O27" s="90"/>
      <c r="P27" s="90"/>
      <c r="Q27" s="90"/>
      <c r="R27" s="90"/>
      <c r="S27" s="90"/>
      <c r="T27" s="90"/>
      <c r="U27" s="90"/>
      <c r="V27" s="745"/>
      <c r="W27" s="745">
        <v>54.04</v>
      </c>
      <c r="X27" s="745">
        <v>54.32</v>
      </c>
      <c r="Y27" s="745">
        <v>54.6</v>
      </c>
      <c r="Z27" s="745">
        <v>54.92</v>
      </c>
      <c r="AA27" s="745">
        <v>55.09</v>
      </c>
      <c r="AB27" s="745">
        <v>55.33</v>
      </c>
      <c r="AC27" s="745">
        <v>55.59</v>
      </c>
      <c r="AD27" s="745">
        <v>55.73</v>
      </c>
      <c r="AE27" s="745">
        <v>55.95</v>
      </c>
      <c r="AF27" s="745">
        <v>56.18</v>
      </c>
      <c r="AG27" s="745">
        <v>56.37</v>
      </c>
      <c r="AH27" s="745">
        <v>56.57</v>
      </c>
      <c r="AI27" s="745">
        <v>56.77</v>
      </c>
      <c r="AJ27" s="745">
        <v>57.05</v>
      </c>
      <c r="AK27" s="745">
        <v>57.33</v>
      </c>
      <c r="AL27" s="745">
        <v>57.64</v>
      </c>
      <c r="AM27" s="745">
        <v>57.92</v>
      </c>
      <c r="AN27" s="745">
        <v>58.12</v>
      </c>
      <c r="AO27" s="745">
        <v>58.3</v>
      </c>
      <c r="AP27" s="745">
        <v>58.44</v>
      </c>
      <c r="AQ27" s="745">
        <v>58.51</v>
      </c>
      <c r="AR27" s="745">
        <v>58.58</v>
      </c>
      <c r="AS27" s="745">
        <v>58.64</v>
      </c>
      <c r="AT27" s="745">
        <v>58.63</v>
      </c>
      <c r="AU27" s="745">
        <v>58.71</v>
      </c>
      <c r="AV27" s="745">
        <v>58.79</v>
      </c>
      <c r="AW27" s="745">
        <v>59.04</v>
      </c>
      <c r="AX27" s="745">
        <v>59.11</v>
      </c>
      <c r="AY27" s="745">
        <v>59.26</v>
      </c>
      <c r="AZ27" s="745">
        <v>59.4</v>
      </c>
      <c r="BA27" s="745">
        <v>59.55</v>
      </c>
      <c r="BB27" s="745">
        <v>59.68</v>
      </c>
      <c r="BC27" s="745">
        <v>59.8</v>
      </c>
      <c r="BD27" s="745">
        <v>59.93</v>
      </c>
      <c r="BE27" s="745">
        <v>60.05</v>
      </c>
      <c r="BF27" s="745">
        <v>60.22</v>
      </c>
      <c r="BG27" s="745">
        <v>60.38</v>
      </c>
      <c r="BH27" s="745">
        <v>60.57</v>
      </c>
      <c r="BI27" s="745">
        <v>60.71</v>
      </c>
      <c r="BJ27" s="745">
        <v>60.87</v>
      </c>
      <c r="BK27" s="745">
        <v>61.04</v>
      </c>
      <c r="BL27" s="745">
        <v>61.22</v>
      </c>
      <c r="BM27" s="745">
        <v>61.42</v>
      </c>
      <c r="BN27" s="745">
        <v>61.58</v>
      </c>
      <c r="BO27" s="745">
        <v>61.73</v>
      </c>
      <c r="BP27" s="745">
        <v>61.91</v>
      </c>
      <c r="BQ27" s="745">
        <v>62.06</v>
      </c>
      <c r="BR27" s="745">
        <v>62.2</v>
      </c>
      <c r="BS27" s="745">
        <v>62.37</v>
      </c>
      <c r="BT27" s="745">
        <v>62.52</v>
      </c>
      <c r="BU27" s="745">
        <v>62.66</v>
      </c>
      <c r="BV27" s="745">
        <v>62.79</v>
      </c>
      <c r="BW27" s="745">
        <v>62.94</v>
      </c>
      <c r="BX27" s="745">
        <v>63.08</v>
      </c>
      <c r="BY27" s="745">
        <v>63.22</v>
      </c>
      <c r="BZ27" s="745">
        <v>63.35</v>
      </c>
      <c r="CA27" s="745">
        <v>63.48</v>
      </c>
      <c r="CB27" s="745">
        <v>63.62</v>
      </c>
      <c r="CC27" s="745">
        <v>63.76</v>
      </c>
      <c r="CD27" s="745">
        <v>63.89</v>
      </c>
      <c r="CE27" s="745">
        <v>64.010000000000005</v>
      </c>
      <c r="CF27" s="745">
        <v>64.14</v>
      </c>
      <c r="CG27" s="745">
        <v>64.260000000000005</v>
      </c>
      <c r="CH27" s="745">
        <v>64.400000000000006</v>
      </c>
      <c r="CI27" s="745">
        <v>64.540000000000006</v>
      </c>
      <c r="CJ27" s="745">
        <v>64.650000000000006</v>
      </c>
      <c r="CK27" s="745">
        <v>64.790000000000006</v>
      </c>
      <c r="CL27" s="745">
        <v>64.92</v>
      </c>
      <c r="CM27" s="745">
        <v>65.040000000000006</v>
      </c>
      <c r="CN27" s="745">
        <v>65.17</v>
      </c>
      <c r="CO27" s="745">
        <v>65.3</v>
      </c>
      <c r="CP27" s="745">
        <v>65.42</v>
      </c>
      <c r="CQ27" s="745">
        <v>65.540000000000006</v>
      </c>
      <c r="CR27" s="745">
        <v>65.67</v>
      </c>
      <c r="CS27" s="745">
        <v>65.790000000000006</v>
      </c>
      <c r="CT27" s="745">
        <v>65.91</v>
      </c>
      <c r="CU27" s="745">
        <v>66.03</v>
      </c>
      <c r="CV27" s="745">
        <v>66.150000000000006</v>
      </c>
      <c r="CW27" s="745">
        <v>66.27</v>
      </c>
      <c r="CX27" s="745">
        <v>66.38</v>
      </c>
      <c r="CY27" s="745">
        <v>66.5</v>
      </c>
      <c r="CZ27" s="745">
        <v>66.61</v>
      </c>
      <c r="DA27" s="745">
        <v>66.73</v>
      </c>
      <c r="DB27" s="745">
        <v>66.84</v>
      </c>
      <c r="DC27" s="745">
        <v>66.95</v>
      </c>
      <c r="DD27" s="745">
        <v>67.06</v>
      </c>
      <c r="DE27" s="745">
        <v>67.17</v>
      </c>
      <c r="DF27" s="745">
        <v>67.28</v>
      </c>
      <c r="DG27" s="745">
        <v>67.38</v>
      </c>
      <c r="DH27" s="745">
        <v>67.489999999999995</v>
      </c>
      <c r="DI27" s="745">
        <v>67.599999999999994</v>
      </c>
      <c r="DJ27" s="745">
        <v>67.7</v>
      </c>
      <c r="DK27" s="745">
        <v>67.81</v>
      </c>
      <c r="DL27" s="745">
        <v>67.91</v>
      </c>
      <c r="DM27" s="745">
        <v>68.010000000000005</v>
      </c>
      <c r="DN27" s="745">
        <v>68.11</v>
      </c>
      <c r="DO27" s="745">
        <v>68.209999999999994</v>
      </c>
      <c r="DP27" s="745">
        <v>68.31</v>
      </c>
      <c r="DQ27" s="745">
        <v>68.41</v>
      </c>
      <c r="DR27" s="745">
        <v>68.510000000000005</v>
      </c>
    </row>
    <row r="28" spans="1:122">
      <c r="A28" s="918">
        <v>26</v>
      </c>
      <c r="B28" s="90"/>
      <c r="C28" s="90"/>
      <c r="D28" s="90"/>
      <c r="E28" s="90"/>
      <c r="F28" s="90"/>
      <c r="G28" s="90"/>
      <c r="H28" s="90"/>
      <c r="I28" s="90"/>
      <c r="J28" s="90"/>
      <c r="K28" s="90"/>
      <c r="L28" s="90"/>
      <c r="M28" s="90"/>
      <c r="N28" s="90"/>
      <c r="O28" s="90"/>
      <c r="P28" s="90"/>
      <c r="Q28" s="90"/>
      <c r="R28" s="90"/>
      <c r="S28" s="90"/>
      <c r="T28" s="90"/>
      <c r="U28" s="90"/>
      <c r="V28" s="745"/>
      <c r="W28" s="745">
        <v>53.18</v>
      </c>
      <c r="X28" s="745">
        <v>53.46</v>
      </c>
      <c r="Y28" s="745">
        <v>53.72</v>
      </c>
      <c r="Z28" s="745">
        <v>53.99</v>
      </c>
      <c r="AA28" s="745">
        <v>54.16</v>
      </c>
      <c r="AB28" s="745">
        <v>54.4</v>
      </c>
      <c r="AC28" s="745">
        <v>54.65</v>
      </c>
      <c r="AD28" s="745">
        <v>54.78</v>
      </c>
      <c r="AE28" s="745">
        <v>55</v>
      </c>
      <c r="AF28" s="745">
        <v>55.23</v>
      </c>
      <c r="AG28" s="745">
        <v>55.42</v>
      </c>
      <c r="AH28" s="745">
        <v>55.62</v>
      </c>
      <c r="AI28" s="745">
        <v>55.81</v>
      </c>
      <c r="AJ28" s="745">
        <v>56.1</v>
      </c>
      <c r="AK28" s="745">
        <v>56.37</v>
      </c>
      <c r="AL28" s="745">
        <v>56.68</v>
      </c>
      <c r="AM28" s="745">
        <v>56.96</v>
      </c>
      <c r="AN28" s="745">
        <v>57.16</v>
      </c>
      <c r="AO28" s="745">
        <v>57.33</v>
      </c>
      <c r="AP28" s="745">
        <v>57.48</v>
      </c>
      <c r="AQ28" s="745">
        <v>57.54</v>
      </c>
      <c r="AR28" s="745">
        <v>57.62</v>
      </c>
      <c r="AS28" s="745">
        <v>57.67</v>
      </c>
      <c r="AT28" s="745">
        <v>57.66</v>
      </c>
      <c r="AU28" s="745">
        <v>57.74</v>
      </c>
      <c r="AV28" s="745">
        <v>57.82</v>
      </c>
      <c r="AW28" s="745">
        <v>58.07</v>
      </c>
      <c r="AX28" s="745">
        <v>58.15</v>
      </c>
      <c r="AY28" s="745">
        <v>58.3</v>
      </c>
      <c r="AZ28" s="745">
        <v>58.43</v>
      </c>
      <c r="BA28" s="745">
        <v>58.58</v>
      </c>
      <c r="BB28" s="745">
        <v>58.72</v>
      </c>
      <c r="BC28" s="745">
        <v>58.83</v>
      </c>
      <c r="BD28" s="745">
        <v>58.96</v>
      </c>
      <c r="BE28" s="745">
        <v>59.08</v>
      </c>
      <c r="BF28" s="745">
        <v>59.24</v>
      </c>
      <c r="BG28" s="745">
        <v>59.41</v>
      </c>
      <c r="BH28" s="745">
        <v>59.6</v>
      </c>
      <c r="BI28" s="745">
        <v>59.74</v>
      </c>
      <c r="BJ28" s="745">
        <v>59.9</v>
      </c>
      <c r="BK28" s="745">
        <v>60.06</v>
      </c>
      <c r="BL28" s="745">
        <v>60.25</v>
      </c>
      <c r="BM28" s="745">
        <v>60.44</v>
      </c>
      <c r="BN28" s="745">
        <v>60.61</v>
      </c>
      <c r="BO28" s="745">
        <v>60.76</v>
      </c>
      <c r="BP28" s="745">
        <v>60.93</v>
      </c>
      <c r="BQ28" s="745">
        <v>61.08</v>
      </c>
      <c r="BR28" s="745">
        <v>61.23</v>
      </c>
      <c r="BS28" s="745">
        <v>61.39</v>
      </c>
      <c r="BT28" s="745">
        <v>61.54</v>
      </c>
      <c r="BU28" s="745">
        <v>61.68</v>
      </c>
      <c r="BV28" s="745">
        <v>61.81</v>
      </c>
      <c r="BW28" s="745">
        <v>61.97</v>
      </c>
      <c r="BX28" s="745">
        <v>62.09</v>
      </c>
      <c r="BY28" s="745">
        <v>62.24</v>
      </c>
      <c r="BZ28" s="745">
        <v>62.37</v>
      </c>
      <c r="CA28" s="745">
        <v>62.5</v>
      </c>
      <c r="CB28" s="745">
        <v>62.64</v>
      </c>
      <c r="CC28" s="745">
        <v>62.77</v>
      </c>
      <c r="CD28" s="745">
        <v>62.9</v>
      </c>
      <c r="CE28" s="745">
        <v>63.03</v>
      </c>
      <c r="CF28" s="745">
        <v>63.16</v>
      </c>
      <c r="CG28" s="745">
        <v>63.28</v>
      </c>
      <c r="CH28" s="745">
        <v>63.42</v>
      </c>
      <c r="CI28" s="745">
        <v>63.55</v>
      </c>
      <c r="CJ28" s="745">
        <v>63.67</v>
      </c>
      <c r="CK28" s="745">
        <v>63.8</v>
      </c>
      <c r="CL28" s="745">
        <v>63.93</v>
      </c>
      <c r="CM28" s="745">
        <v>64.06</v>
      </c>
      <c r="CN28" s="745">
        <v>64.180000000000007</v>
      </c>
      <c r="CO28" s="745">
        <v>64.31</v>
      </c>
      <c r="CP28" s="745">
        <v>64.44</v>
      </c>
      <c r="CQ28" s="745">
        <v>64.56</v>
      </c>
      <c r="CR28" s="745">
        <v>64.680000000000007</v>
      </c>
      <c r="CS28" s="745">
        <v>64.8</v>
      </c>
      <c r="CT28" s="745">
        <v>64.92</v>
      </c>
      <c r="CU28" s="745">
        <v>65.040000000000006</v>
      </c>
      <c r="CV28" s="745">
        <v>65.16</v>
      </c>
      <c r="CW28" s="745">
        <v>65.28</v>
      </c>
      <c r="CX28" s="745">
        <v>65.39</v>
      </c>
      <c r="CY28" s="745">
        <v>65.510000000000005</v>
      </c>
      <c r="CZ28" s="745">
        <v>65.62</v>
      </c>
      <c r="DA28" s="745">
        <v>65.73</v>
      </c>
      <c r="DB28" s="745">
        <v>65.849999999999994</v>
      </c>
      <c r="DC28" s="745">
        <v>65.959999999999994</v>
      </c>
      <c r="DD28" s="745">
        <v>66.069999999999993</v>
      </c>
      <c r="DE28" s="745">
        <v>66.180000000000007</v>
      </c>
      <c r="DF28" s="745">
        <v>66.290000000000006</v>
      </c>
      <c r="DG28" s="745">
        <v>66.39</v>
      </c>
      <c r="DH28" s="745">
        <v>66.5</v>
      </c>
      <c r="DI28" s="745">
        <v>66.599999999999994</v>
      </c>
      <c r="DJ28" s="745">
        <v>66.709999999999994</v>
      </c>
      <c r="DK28" s="745">
        <v>66.81</v>
      </c>
      <c r="DL28" s="745">
        <v>66.92</v>
      </c>
      <c r="DM28" s="745">
        <v>67.02</v>
      </c>
      <c r="DN28" s="745">
        <v>67.12</v>
      </c>
      <c r="DO28" s="745">
        <v>67.22</v>
      </c>
      <c r="DP28" s="745">
        <v>67.319999999999993</v>
      </c>
      <c r="DQ28" s="745">
        <v>67.41</v>
      </c>
      <c r="DR28" s="745">
        <v>67.510000000000005</v>
      </c>
    </row>
    <row r="29" spans="1:122">
      <c r="A29" s="918">
        <v>27</v>
      </c>
      <c r="B29" s="90"/>
      <c r="C29" s="90"/>
      <c r="D29" s="90"/>
      <c r="E29" s="90"/>
      <c r="F29" s="90"/>
      <c r="G29" s="90"/>
      <c r="H29" s="90"/>
      <c r="I29" s="90"/>
      <c r="J29" s="90"/>
      <c r="K29" s="90"/>
      <c r="L29" s="90"/>
      <c r="M29" s="90"/>
      <c r="N29" s="90"/>
      <c r="O29" s="90"/>
      <c r="P29" s="90"/>
      <c r="Q29" s="90"/>
      <c r="R29" s="90"/>
      <c r="S29" s="90"/>
      <c r="T29" s="90"/>
      <c r="U29" s="90"/>
      <c r="V29" s="745"/>
      <c r="W29" s="745">
        <v>52.31</v>
      </c>
      <c r="X29" s="745">
        <v>52.57</v>
      </c>
      <c r="Y29" s="745">
        <v>52.79</v>
      </c>
      <c r="Z29" s="745">
        <v>53.06</v>
      </c>
      <c r="AA29" s="745">
        <v>53.23</v>
      </c>
      <c r="AB29" s="745">
        <v>53.46</v>
      </c>
      <c r="AC29" s="745">
        <v>53.71</v>
      </c>
      <c r="AD29" s="745">
        <v>53.84</v>
      </c>
      <c r="AE29" s="745">
        <v>54.06</v>
      </c>
      <c r="AF29" s="745">
        <v>54.28</v>
      </c>
      <c r="AG29" s="745">
        <v>54.47</v>
      </c>
      <c r="AH29" s="745">
        <v>54.66</v>
      </c>
      <c r="AI29" s="745">
        <v>54.86</v>
      </c>
      <c r="AJ29" s="745">
        <v>55.14</v>
      </c>
      <c r="AK29" s="745">
        <v>55.42</v>
      </c>
      <c r="AL29" s="745">
        <v>55.72</v>
      </c>
      <c r="AM29" s="745">
        <v>55.99</v>
      </c>
      <c r="AN29" s="745">
        <v>56.2</v>
      </c>
      <c r="AO29" s="745">
        <v>56.37</v>
      </c>
      <c r="AP29" s="745">
        <v>56.52</v>
      </c>
      <c r="AQ29" s="745">
        <v>56.58</v>
      </c>
      <c r="AR29" s="745">
        <v>56.66</v>
      </c>
      <c r="AS29" s="745">
        <v>56.71</v>
      </c>
      <c r="AT29" s="745">
        <v>56.7</v>
      </c>
      <c r="AU29" s="745">
        <v>56.78</v>
      </c>
      <c r="AV29" s="745">
        <v>56.86</v>
      </c>
      <c r="AW29" s="745">
        <v>57.11</v>
      </c>
      <c r="AX29" s="745">
        <v>57.18</v>
      </c>
      <c r="AY29" s="745">
        <v>57.33</v>
      </c>
      <c r="AZ29" s="745">
        <v>57.47</v>
      </c>
      <c r="BA29" s="745">
        <v>57.61</v>
      </c>
      <c r="BB29" s="745">
        <v>57.75</v>
      </c>
      <c r="BC29" s="745">
        <v>57.86</v>
      </c>
      <c r="BD29" s="745">
        <v>58</v>
      </c>
      <c r="BE29" s="745">
        <v>58.12</v>
      </c>
      <c r="BF29" s="745">
        <v>58.27</v>
      </c>
      <c r="BG29" s="745">
        <v>58.44</v>
      </c>
      <c r="BH29" s="745">
        <v>58.63</v>
      </c>
      <c r="BI29" s="745">
        <v>58.76</v>
      </c>
      <c r="BJ29" s="745">
        <v>58.92</v>
      </c>
      <c r="BK29" s="745">
        <v>59.08</v>
      </c>
      <c r="BL29" s="745">
        <v>59.27</v>
      </c>
      <c r="BM29" s="745">
        <v>59.46</v>
      </c>
      <c r="BN29" s="745">
        <v>59.63</v>
      </c>
      <c r="BO29" s="745">
        <v>59.78</v>
      </c>
      <c r="BP29" s="745">
        <v>59.95</v>
      </c>
      <c r="BQ29" s="745">
        <v>60.11</v>
      </c>
      <c r="BR29" s="745">
        <v>60.25</v>
      </c>
      <c r="BS29" s="745">
        <v>60.41</v>
      </c>
      <c r="BT29" s="745">
        <v>60.56</v>
      </c>
      <c r="BU29" s="745">
        <v>60.7</v>
      </c>
      <c r="BV29" s="745">
        <v>60.83</v>
      </c>
      <c r="BW29" s="745">
        <v>60.98</v>
      </c>
      <c r="BX29" s="745">
        <v>61.11</v>
      </c>
      <c r="BY29" s="745">
        <v>61.25</v>
      </c>
      <c r="BZ29" s="745">
        <v>61.39</v>
      </c>
      <c r="CA29" s="745">
        <v>61.52</v>
      </c>
      <c r="CB29" s="745">
        <v>61.65</v>
      </c>
      <c r="CC29" s="745">
        <v>61.79</v>
      </c>
      <c r="CD29" s="745">
        <v>61.92</v>
      </c>
      <c r="CE29" s="745">
        <v>62.04</v>
      </c>
      <c r="CF29" s="745">
        <v>62.18</v>
      </c>
      <c r="CG29" s="745">
        <v>62.29</v>
      </c>
      <c r="CH29" s="745">
        <v>62.43</v>
      </c>
      <c r="CI29" s="745">
        <v>62.56</v>
      </c>
      <c r="CJ29" s="745">
        <v>62.68</v>
      </c>
      <c r="CK29" s="745">
        <v>62.81</v>
      </c>
      <c r="CL29" s="745">
        <v>62.94</v>
      </c>
      <c r="CM29" s="745">
        <v>63.07</v>
      </c>
      <c r="CN29" s="745">
        <v>63.2</v>
      </c>
      <c r="CO29" s="745">
        <v>63.32</v>
      </c>
      <c r="CP29" s="745">
        <v>63.45</v>
      </c>
      <c r="CQ29" s="745">
        <v>63.57</v>
      </c>
      <c r="CR29" s="745">
        <v>63.69</v>
      </c>
      <c r="CS29" s="745">
        <v>63.81</v>
      </c>
      <c r="CT29" s="745">
        <v>63.93</v>
      </c>
      <c r="CU29" s="745">
        <v>64.05</v>
      </c>
      <c r="CV29" s="745">
        <v>64.17</v>
      </c>
      <c r="CW29" s="745">
        <v>64.290000000000006</v>
      </c>
      <c r="CX29" s="745">
        <v>64.400000000000006</v>
      </c>
      <c r="CY29" s="745">
        <v>64.52</v>
      </c>
      <c r="CZ29" s="745">
        <v>64.63</v>
      </c>
      <c r="DA29" s="745">
        <v>64.739999999999995</v>
      </c>
      <c r="DB29" s="745">
        <v>64.849999999999994</v>
      </c>
      <c r="DC29" s="745">
        <v>64.97</v>
      </c>
      <c r="DD29" s="745">
        <v>65.08</v>
      </c>
      <c r="DE29" s="745">
        <v>65.180000000000007</v>
      </c>
      <c r="DF29" s="745">
        <v>65.290000000000006</v>
      </c>
      <c r="DG29" s="745">
        <v>65.400000000000006</v>
      </c>
      <c r="DH29" s="745">
        <v>65.510000000000005</v>
      </c>
      <c r="DI29" s="745">
        <v>65.61</v>
      </c>
      <c r="DJ29" s="745">
        <v>65.72</v>
      </c>
      <c r="DK29" s="745">
        <v>65.819999999999993</v>
      </c>
      <c r="DL29" s="745">
        <v>65.92</v>
      </c>
      <c r="DM29" s="745">
        <v>66.02</v>
      </c>
      <c r="DN29" s="745">
        <v>66.12</v>
      </c>
      <c r="DO29" s="745">
        <v>66.22</v>
      </c>
      <c r="DP29" s="745">
        <v>66.319999999999993</v>
      </c>
      <c r="DQ29" s="745">
        <v>66.42</v>
      </c>
      <c r="DR29" s="745">
        <v>66.52</v>
      </c>
    </row>
    <row r="30" spans="1:122">
      <c r="A30" s="918">
        <v>28</v>
      </c>
      <c r="B30" s="90"/>
      <c r="C30" s="90"/>
      <c r="D30" s="90"/>
      <c r="E30" s="90"/>
      <c r="F30" s="90"/>
      <c r="G30" s="90"/>
      <c r="H30" s="90"/>
      <c r="I30" s="90"/>
      <c r="J30" s="90"/>
      <c r="K30" s="90"/>
      <c r="L30" s="90"/>
      <c r="M30" s="90"/>
      <c r="N30" s="90"/>
      <c r="O30" s="90"/>
      <c r="P30" s="90"/>
      <c r="Q30" s="90"/>
      <c r="R30" s="90"/>
      <c r="S30" s="90"/>
      <c r="T30" s="90"/>
      <c r="U30" s="90"/>
      <c r="V30" s="745"/>
      <c r="W30" s="745">
        <v>51.42</v>
      </c>
      <c r="X30" s="745">
        <v>51.65</v>
      </c>
      <c r="Y30" s="745">
        <v>51.87</v>
      </c>
      <c r="Z30" s="745">
        <v>52.14</v>
      </c>
      <c r="AA30" s="745">
        <v>52.3</v>
      </c>
      <c r="AB30" s="745">
        <v>52.52</v>
      </c>
      <c r="AC30" s="745">
        <v>52.76</v>
      </c>
      <c r="AD30" s="745">
        <v>52.89</v>
      </c>
      <c r="AE30" s="745">
        <v>53.11</v>
      </c>
      <c r="AF30" s="745">
        <v>53.33</v>
      </c>
      <c r="AG30" s="745">
        <v>53.52</v>
      </c>
      <c r="AH30" s="745">
        <v>53.71</v>
      </c>
      <c r="AI30" s="745">
        <v>53.9</v>
      </c>
      <c r="AJ30" s="745">
        <v>54.19</v>
      </c>
      <c r="AK30" s="745">
        <v>54.46</v>
      </c>
      <c r="AL30" s="745">
        <v>54.76</v>
      </c>
      <c r="AM30" s="745">
        <v>55.03</v>
      </c>
      <c r="AN30" s="745">
        <v>55.24</v>
      </c>
      <c r="AO30" s="745">
        <v>55.41</v>
      </c>
      <c r="AP30" s="745">
        <v>55.56</v>
      </c>
      <c r="AQ30" s="745">
        <v>55.62</v>
      </c>
      <c r="AR30" s="745">
        <v>55.7</v>
      </c>
      <c r="AS30" s="745">
        <v>55.75</v>
      </c>
      <c r="AT30" s="745">
        <v>55.74</v>
      </c>
      <c r="AU30" s="745">
        <v>55.81</v>
      </c>
      <c r="AV30" s="745">
        <v>55.9</v>
      </c>
      <c r="AW30" s="745">
        <v>56.14</v>
      </c>
      <c r="AX30" s="745">
        <v>56.21</v>
      </c>
      <c r="AY30" s="745">
        <v>56.37</v>
      </c>
      <c r="AZ30" s="745">
        <v>56.51</v>
      </c>
      <c r="BA30" s="745">
        <v>56.65</v>
      </c>
      <c r="BB30" s="745">
        <v>56.78</v>
      </c>
      <c r="BC30" s="745">
        <v>56.9</v>
      </c>
      <c r="BD30" s="745">
        <v>57.03</v>
      </c>
      <c r="BE30" s="745">
        <v>57.15</v>
      </c>
      <c r="BF30" s="745">
        <v>57.3</v>
      </c>
      <c r="BG30" s="745">
        <v>57.47</v>
      </c>
      <c r="BH30" s="745">
        <v>57.65</v>
      </c>
      <c r="BI30" s="745">
        <v>57.79</v>
      </c>
      <c r="BJ30" s="745">
        <v>57.95</v>
      </c>
      <c r="BK30" s="745">
        <v>58.11</v>
      </c>
      <c r="BL30" s="745">
        <v>58.3</v>
      </c>
      <c r="BM30" s="745">
        <v>58.49</v>
      </c>
      <c r="BN30" s="745">
        <v>58.65</v>
      </c>
      <c r="BO30" s="745">
        <v>58.81</v>
      </c>
      <c r="BP30" s="745">
        <v>58.97</v>
      </c>
      <c r="BQ30" s="745">
        <v>59.13</v>
      </c>
      <c r="BR30" s="745">
        <v>59.27</v>
      </c>
      <c r="BS30" s="745">
        <v>59.43</v>
      </c>
      <c r="BT30" s="745">
        <v>59.58</v>
      </c>
      <c r="BU30" s="745">
        <v>59.72</v>
      </c>
      <c r="BV30" s="745">
        <v>59.85</v>
      </c>
      <c r="BW30" s="745">
        <v>60</v>
      </c>
      <c r="BX30" s="745">
        <v>60.13</v>
      </c>
      <c r="BY30" s="745">
        <v>60.27</v>
      </c>
      <c r="BZ30" s="745">
        <v>60.4</v>
      </c>
      <c r="CA30" s="745">
        <v>60.53</v>
      </c>
      <c r="CB30" s="745">
        <v>60.67</v>
      </c>
      <c r="CC30" s="745">
        <v>60.81</v>
      </c>
      <c r="CD30" s="745">
        <v>60.93</v>
      </c>
      <c r="CE30" s="745">
        <v>61.06</v>
      </c>
      <c r="CF30" s="745">
        <v>61.19</v>
      </c>
      <c r="CG30" s="745">
        <v>61.31</v>
      </c>
      <c r="CH30" s="745">
        <v>61.45</v>
      </c>
      <c r="CI30" s="745">
        <v>61.58</v>
      </c>
      <c r="CJ30" s="745">
        <v>61.69</v>
      </c>
      <c r="CK30" s="745">
        <v>61.83</v>
      </c>
      <c r="CL30" s="745">
        <v>61.96</v>
      </c>
      <c r="CM30" s="745">
        <v>62.08</v>
      </c>
      <c r="CN30" s="745">
        <v>62.21</v>
      </c>
      <c r="CO30" s="745">
        <v>62.33</v>
      </c>
      <c r="CP30" s="745">
        <v>62.46</v>
      </c>
      <c r="CQ30" s="745">
        <v>62.58</v>
      </c>
      <c r="CR30" s="745">
        <v>62.7</v>
      </c>
      <c r="CS30" s="745">
        <v>62.82</v>
      </c>
      <c r="CT30" s="745">
        <v>62.94</v>
      </c>
      <c r="CU30" s="745">
        <v>63.06</v>
      </c>
      <c r="CV30" s="745">
        <v>63.18</v>
      </c>
      <c r="CW30" s="745">
        <v>63.3</v>
      </c>
      <c r="CX30" s="745">
        <v>63.41</v>
      </c>
      <c r="CY30" s="745">
        <v>63.53</v>
      </c>
      <c r="CZ30" s="745">
        <v>63.64</v>
      </c>
      <c r="DA30" s="745">
        <v>63.75</v>
      </c>
      <c r="DB30" s="745">
        <v>63.86</v>
      </c>
      <c r="DC30" s="745">
        <v>63.97</v>
      </c>
      <c r="DD30" s="745">
        <v>64.08</v>
      </c>
      <c r="DE30" s="745">
        <v>64.19</v>
      </c>
      <c r="DF30" s="745">
        <v>64.3</v>
      </c>
      <c r="DG30" s="745">
        <v>64.41</v>
      </c>
      <c r="DH30" s="745">
        <v>64.510000000000005</v>
      </c>
      <c r="DI30" s="745">
        <v>64.62</v>
      </c>
      <c r="DJ30" s="745">
        <v>64.72</v>
      </c>
      <c r="DK30" s="745">
        <v>64.83</v>
      </c>
      <c r="DL30" s="745">
        <v>64.930000000000007</v>
      </c>
      <c r="DM30" s="745">
        <v>65.03</v>
      </c>
      <c r="DN30" s="745">
        <v>65.13</v>
      </c>
      <c r="DO30" s="745">
        <v>65.23</v>
      </c>
      <c r="DP30" s="745">
        <v>65.33</v>
      </c>
      <c r="DQ30" s="745">
        <v>65.430000000000007</v>
      </c>
      <c r="DR30" s="745">
        <v>65.52</v>
      </c>
    </row>
    <row r="31" spans="1:122">
      <c r="A31" s="918">
        <v>29</v>
      </c>
      <c r="B31" s="90"/>
      <c r="C31" s="90"/>
      <c r="D31" s="90"/>
      <c r="E31" s="90"/>
      <c r="F31" s="90"/>
      <c r="G31" s="90"/>
      <c r="H31" s="90"/>
      <c r="I31" s="90"/>
      <c r="J31" s="90"/>
      <c r="K31" s="90"/>
      <c r="L31" s="90"/>
      <c r="M31" s="90"/>
      <c r="N31" s="90"/>
      <c r="O31" s="90"/>
      <c r="P31" s="90"/>
      <c r="Q31" s="90"/>
      <c r="R31" s="90"/>
      <c r="S31" s="90"/>
      <c r="T31" s="90"/>
      <c r="U31" s="90"/>
      <c r="V31" s="745"/>
      <c r="W31" s="745">
        <v>50.5</v>
      </c>
      <c r="X31" s="745">
        <v>50.73</v>
      </c>
      <c r="Y31" s="745">
        <v>50.95</v>
      </c>
      <c r="Z31" s="745">
        <v>51.2</v>
      </c>
      <c r="AA31" s="745">
        <v>51.36</v>
      </c>
      <c r="AB31" s="745">
        <v>51.58</v>
      </c>
      <c r="AC31" s="745">
        <v>51.82</v>
      </c>
      <c r="AD31" s="745">
        <v>51.95</v>
      </c>
      <c r="AE31" s="745">
        <v>52.17</v>
      </c>
      <c r="AF31" s="745">
        <v>52.38</v>
      </c>
      <c r="AG31" s="745">
        <v>52.58</v>
      </c>
      <c r="AH31" s="745">
        <v>52.77</v>
      </c>
      <c r="AI31" s="745">
        <v>52.95</v>
      </c>
      <c r="AJ31" s="745">
        <v>53.23</v>
      </c>
      <c r="AK31" s="745">
        <v>53.5</v>
      </c>
      <c r="AL31" s="745">
        <v>53.8</v>
      </c>
      <c r="AM31" s="745">
        <v>54.07</v>
      </c>
      <c r="AN31" s="745">
        <v>54.28</v>
      </c>
      <c r="AO31" s="745">
        <v>54.45</v>
      </c>
      <c r="AP31" s="745">
        <v>54.59</v>
      </c>
      <c r="AQ31" s="745">
        <v>54.66</v>
      </c>
      <c r="AR31" s="745">
        <v>54.73</v>
      </c>
      <c r="AS31" s="745">
        <v>54.78</v>
      </c>
      <c r="AT31" s="745">
        <v>54.78</v>
      </c>
      <c r="AU31" s="745">
        <v>54.85</v>
      </c>
      <c r="AV31" s="745">
        <v>54.93</v>
      </c>
      <c r="AW31" s="745">
        <v>55.18</v>
      </c>
      <c r="AX31" s="745">
        <v>55.24</v>
      </c>
      <c r="AY31" s="745">
        <v>55.4</v>
      </c>
      <c r="AZ31" s="745">
        <v>55.54</v>
      </c>
      <c r="BA31" s="745">
        <v>55.68</v>
      </c>
      <c r="BB31" s="745">
        <v>55.82</v>
      </c>
      <c r="BC31" s="745">
        <v>55.93</v>
      </c>
      <c r="BD31" s="745">
        <v>56.06</v>
      </c>
      <c r="BE31" s="745">
        <v>56.18</v>
      </c>
      <c r="BF31" s="745">
        <v>56.33</v>
      </c>
      <c r="BG31" s="745">
        <v>56.5</v>
      </c>
      <c r="BH31" s="745">
        <v>56.68</v>
      </c>
      <c r="BI31" s="745">
        <v>56.82</v>
      </c>
      <c r="BJ31" s="745">
        <v>56.97</v>
      </c>
      <c r="BK31" s="745">
        <v>57.13</v>
      </c>
      <c r="BL31" s="745">
        <v>57.32</v>
      </c>
      <c r="BM31" s="745">
        <v>57.52</v>
      </c>
      <c r="BN31" s="745">
        <v>57.68</v>
      </c>
      <c r="BO31" s="745">
        <v>57.83</v>
      </c>
      <c r="BP31" s="745">
        <v>58</v>
      </c>
      <c r="BQ31" s="745">
        <v>58.15</v>
      </c>
      <c r="BR31" s="745">
        <v>58.29</v>
      </c>
      <c r="BS31" s="745">
        <v>58.46</v>
      </c>
      <c r="BT31" s="745">
        <v>58.6</v>
      </c>
      <c r="BU31" s="745">
        <v>58.74</v>
      </c>
      <c r="BV31" s="745">
        <v>58.87</v>
      </c>
      <c r="BW31" s="745">
        <v>59.02</v>
      </c>
      <c r="BX31" s="745">
        <v>59.15</v>
      </c>
      <c r="BY31" s="745">
        <v>59.29</v>
      </c>
      <c r="BZ31" s="745">
        <v>59.42</v>
      </c>
      <c r="CA31" s="745">
        <v>59.55</v>
      </c>
      <c r="CB31" s="745">
        <v>59.68</v>
      </c>
      <c r="CC31" s="745">
        <v>59.82</v>
      </c>
      <c r="CD31" s="745">
        <v>59.95</v>
      </c>
      <c r="CE31" s="745">
        <v>60.07</v>
      </c>
      <c r="CF31" s="745">
        <v>60.21</v>
      </c>
      <c r="CG31" s="745">
        <v>60.33</v>
      </c>
      <c r="CH31" s="745">
        <v>60.46</v>
      </c>
      <c r="CI31" s="745">
        <v>60.59</v>
      </c>
      <c r="CJ31" s="745">
        <v>60.71</v>
      </c>
      <c r="CK31" s="745">
        <v>60.84</v>
      </c>
      <c r="CL31" s="745">
        <v>60.97</v>
      </c>
      <c r="CM31" s="745">
        <v>61.1</v>
      </c>
      <c r="CN31" s="745">
        <v>61.22</v>
      </c>
      <c r="CO31" s="745">
        <v>61.35</v>
      </c>
      <c r="CP31" s="745">
        <v>61.47</v>
      </c>
      <c r="CQ31" s="745">
        <v>61.59</v>
      </c>
      <c r="CR31" s="745">
        <v>61.72</v>
      </c>
      <c r="CS31" s="745">
        <v>61.84</v>
      </c>
      <c r="CT31" s="745">
        <v>61.96</v>
      </c>
      <c r="CU31" s="745">
        <v>62.07</v>
      </c>
      <c r="CV31" s="745">
        <v>62.19</v>
      </c>
      <c r="CW31" s="745">
        <v>62.31</v>
      </c>
      <c r="CX31" s="745">
        <v>62.42</v>
      </c>
      <c r="CY31" s="745">
        <v>62.54</v>
      </c>
      <c r="CZ31" s="745">
        <v>62.65</v>
      </c>
      <c r="DA31" s="745">
        <v>62.76</v>
      </c>
      <c r="DB31" s="745">
        <v>62.87</v>
      </c>
      <c r="DC31" s="745">
        <v>62.98</v>
      </c>
      <c r="DD31" s="745">
        <v>63.09</v>
      </c>
      <c r="DE31" s="745">
        <v>63.2</v>
      </c>
      <c r="DF31" s="745">
        <v>63.31</v>
      </c>
      <c r="DG31" s="745">
        <v>63.42</v>
      </c>
      <c r="DH31" s="745">
        <v>63.52</v>
      </c>
      <c r="DI31" s="745">
        <v>63.63</v>
      </c>
      <c r="DJ31" s="745">
        <v>63.73</v>
      </c>
      <c r="DK31" s="745">
        <v>63.83</v>
      </c>
      <c r="DL31" s="745">
        <v>63.94</v>
      </c>
      <c r="DM31" s="745">
        <v>64.040000000000006</v>
      </c>
      <c r="DN31" s="745">
        <v>64.14</v>
      </c>
      <c r="DO31" s="745">
        <v>64.239999999999995</v>
      </c>
      <c r="DP31" s="745">
        <v>64.34</v>
      </c>
      <c r="DQ31" s="745">
        <v>64.430000000000007</v>
      </c>
      <c r="DR31" s="745">
        <v>64.53</v>
      </c>
    </row>
    <row r="32" spans="1:122">
      <c r="A32" s="918">
        <v>30</v>
      </c>
      <c r="B32" s="90"/>
      <c r="C32" s="90"/>
      <c r="D32" s="90"/>
      <c r="E32" s="90"/>
      <c r="F32" s="90"/>
      <c r="G32" s="90"/>
      <c r="H32" s="90"/>
      <c r="I32" s="90"/>
      <c r="J32" s="90"/>
      <c r="K32" s="90"/>
      <c r="L32" s="90"/>
      <c r="M32" s="90"/>
      <c r="N32" s="90"/>
      <c r="O32" s="90"/>
      <c r="P32" s="90"/>
      <c r="Q32" s="90"/>
      <c r="R32" s="90"/>
      <c r="S32" s="90"/>
      <c r="T32" s="90"/>
      <c r="U32" s="90"/>
      <c r="V32" s="745"/>
      <c r="W32" s="745">
        <v>49.58</v>
      </c>
      <c r="X32" s="745">
        <v>49.8</v>
      </c>
      <c r="Y32" s="745">
        <v>50.01</v>
      </c>
      <c r="Z32" s="745">
        <v>50.26</v>
      </c>
      <c r="AA32" s="745">
        <v>50.42</v>
      </c>
      <c r="AB32" s="745">
        <v>50.64</v>
      </c>
      <c r="AC32" s="745">
        <v>50.87</v>
      </c>
      <c r="AD32" s="745">
        <v>51</v>
      </c>
      <c r="AE32" s="745">
        <v>51.23</v>
      </c>
      <c r="AF32" s="745">
        <v>51.44</v>
      </c>
      <c r="AG32" s="745">
        <v>51.63</v>
      </c>
      <c r="AH32" s="745">
        <v>51.82</v>
      </c>
      <c r="AI32" s="745">
        <v>52</v>
      </c>
      <c r="AJ32" s="745">
        <v>52.28</v>
      </c>
      <c r="AK32" s="745">
        <v>52.55</v>
      </c>
      <c r="AL32" s="745">
        <v>52.85</v>
      </c>
      <c r="AM32" s="745">
        <v>53.11</v>
      </c>
      <c r="AN32" s="745">
        <v>53.32</v>
      </c>
      <c r="AO32" s="745">
        <v>53.49</v>
      </c>
      <c r="AP32" s="745">
        <v>53.63</v>
      </c>
      <c r="AQ32" s="745">
        <v>53.7</v>
      </c>
      <c r="AR32" s="745">
        <v>53.77</v>
      </c>
      <c r="AS32" s="745">
        <v>53.82</v>
      </c>
      <c r="AT32" s="745">
        <v>53.81</v>
      </c>
      <c r="AU32" s="745">
        <v>53.89</v>
      </c>
      <c r="AV32" s="745">
        <v>53.97</v>
      </c>
      <c r="AW32" s="745">
        <v>54.21</v>
      </c>
      <c r="AX32" s="745">
        <v>54.28</v>
      </c>
      <c r="AY32" s="745">
        <v>54.45</v>
      </c>
      <c r="AZ32" s="745">
        <v>54.58</v>
      </c>
      <c r="BA32" s="745">
        <v>54.71</v>
      </c>
      <c r="BB32" s="745">
        <v>54.85</v>
      </c>
      <c r="BC32" s="745">
        <v>54.96</v>
      </c>
      <c r="BD32" s="745">
        <v>55.09</v>
      </c>
      <c r="BE32" s="745">
        <v>55.22</v>
      </c>
      <c r="BF32" s="745">
        <v>55.36</v>
      </c>
      <c r="BG32" s="745">
        <v>55.52</v>
      </c>
      <c r="BH32" s="745">
        <v>55.71</v>
      </c>
      <c r="BI32" s="745">
        <v>55.85</v>
      </c>
      <c r="BJ32" s="745">
        <v>56</v>
      </c>
      <c r="BK32" s="745">
        <v>56.16</v>
      </c>
      <c r="BL32" s="745">
        <v>56.35</v>
      </c>
      <c r="BM32" s="745">
        <v>56.54</v>
      </c>
      <c r="BN32" s="745">
        <v>56.71</v>
      </c>
      <c r="BO32" s="745">
        <v>56.85</v>
      </c>
      <c r="BP32" s="745">
        <v>57.02</v>
      </c>
      <c r="BQ32" s="745">
        <v>57.17</v>
      </c>
      <c r="BR32" s="745">
        <v>57.31</v>
      </c>
      <c r="BS32" s="745">
        <v>57.48</v>
      </c>
      <c r="BT32" s="745">
        <v>57.62</v>
      </c>
      <c r="BU32" s="745">
        <v>57.76</v>
      </c>
      <c r="BV32" s="745">
        <v>57.89</v>
      </c>
      <c r="BW32" s="745">
        <v>58.04</v>
      </c>
      <c r="BX32" s="745">
        <v>58.17</v>
      </c>
      <c r="BY32" s="745">
        <v>58.3</v>
      </c>
      <c r="BZ32" s="745">
        <v>58.43</v>
      </c>
      <c r="CA32" s="745">
        <v>58.57</v>
      </c>
      <c r="CB32" s="745">
        <v>58.7</v>
      </c>
      <c r="CC32" s="745">
        <v>58.83</v>
      </c>
      <c r="CD32" s="745">
        <v>58.97</v>
      </c>
      <c r="CE32" s="745">
        <v>59.09</v>
      </c>
      <c r="CF32" s="745">
        <v>59.22</v>
      </c>
      <c r="CG32" s="745">
        <v>59.35</v>
      </c>
      <c r="CH32" s="745">
        <v>59.48</v>
      </c>
      <c r="CI32" s="745">
        <v>59.61</v>
      </c>
      <c r="CJ32" s="745">
        <v>59.73</v>
      </c>
      <c r="CK32" s="745">
        <v>59.86</v>
      </c>
      <c r="CL32" s="745">
        <v>59.99</v>
      </c>
      <c r="CM32" s="745">
        <v>60.11</v>
      </c>
      <c r="CN32" s="745">
        <v>60.24</v>
      </c>
      <c r="CO32" s="745">
        <v>60.36</v>
      </c>
      <c r="CP32" s="745">
        <v>60.49</v>
      </c>
      <c r="CQ32" s="745">
        <v>60.61</v>
      </c>
      <c r="CR32" s="745">
        <v>60.73</v>
      </c>
      <c r="CS32" s="745">
        <v>60.85</v>
      </c>
      <c r="CT32" s="745">
        <v>60.97</v>
      </c>
      <c r="CU32" s="745">
        <v>61.09</v>
      </c>
      <c r="CV32" s="745">
        <v>61.2</v>
      </c>
      <c r="CW32" s="745">
        <v>61.32</v>
      </c>
      <c r="CX32" s="745">
        <v>61.43</v>
      </c>
      <c r="CY32" s="745">
        <v>61.55</v>
      </c>
      <c r="CZ32" s="745">
        <v>61.66</v>
      </c>
      <c r="DA32" s="745">
        <v>61.77</v>
      </c>
      <c r="DB32" s="745">
        <v>61.88</v>
      </c>
      <c r="DC32" s="745">
        <v>61.99</v>
      </c>
      <c r="DD32" s="745">
        <v>62.1</v>
      </c>
      <c r="DE32" s="745">
        <v>62.21</v>
      </c>
      <c r="DF32" s="745">
        <v>62.32</v>
      </c>
      <c r="DG32" s="745">
        <v>62.43</v>
      </c>
      <c r="DH32" s="745">
        <v>62.53</v>
      </c>
      <c r="DI32" s="745">
        <v>62.64</v>
      </c>
      <c r="DJ32" s="745">
        <v>62.74</v>
      </c>
      <c r="DK32" s="745">
        <v>62.84</v>
      </c>
      <c r="DL32" s="745">
        <v>62.94</v>
      </c>
      <c r="DM32" s="745">
        <v>63.05</v>
      </c>
      <c r="DN32" s="745">
        <v>63.15</v>
      </c>
      <c r="DO32" s="745">
        <v>63.25</v>
      </c>
      <c r="DP32" s="745">
        <v>63.34</v>
      </c>
      <c r="DQ32" s="745">
        <v>63.44</v>
      </c>
      <c r="DR32" s="745">
        <v>63.54</v>
      </c>
    </row>
    <row r="33" spans="1:122">
      <c r="A33" s="918">
        <v>31</v>
      </c>
      <c r="B33" s="90"/>
      <c r="C33" s="90"/>
      <c r="D33" s="90"/>
      <c r="E33" s="90"/>
      <c r="F33" s="90"/>
      <c r="G33" s="90"/>
      <c r="H33" s="90"/>
      <c r="I33" s="90"/>
      <c r="J33" s="90"/>
      <c r="K33" s="90"/>
      <c r="L33" s="90"/>
      <c r="M33" s="90"/>
      <c r="N33" s="90"/>
      <c r="O33" s="90"/>
      <c r="P33" s="90"/>
      <c r="Q33" s="90"/>
      <c r="R33" s="90"/>
      <c r="S33" s="90"/>
      <c r="T33" s="90"/>
      <c r="U33" s="90"/>
      <c r="V33" s="745"/>
      <c r="W33" s="745">
        <v>48.66</v>
      </c>
      <c r="X33" s="745">
        <v>48.87</v>
      </c>
      <c r="Y33" s="745">
        <v>49.08</v>
      </c>
      <c r="Z33" s="745">
        <v>49.33</v>
      </c>
      <c r="AA33" s="745">
        <v>49.48</v>
      </c>
      <c r="AB33" s="745">
        <v>49.7</v>
      </c>
      <c r="AC33" s="745">
        <v>49.94</v>
      </c>
      <c r="AD33" s="745">
        <v>50.05</v>
      </c>
      <c r="AE33" s="745">
        <v>50.28</v>
      </c>
      <c r="AF33" s="745">
        <v>50.49</v>
      </c>
      <c r="AG33" s="745">
        <v>50.68</v>
      </c>
      <c r="AH33" s="745">
        <v>50.86</v>
      </c>
      <c r="AI33" s="745">
        <v>51.05</v>
      </c>
      <c r="AJ33" s="745">
        <v>51.33</v>
      </c>
      <c r="AK33" s="745">
        <v>51.6</v>
      </c>
      <c r="AL33" s="745">
        <v>51.89</v>
      </c>
      <c r="AM33" s="745">
        <v>52.16</v>
      </c>
      <c r="AN33" s="745">
        <v>52.37</v>
      </c>
      <c r="AO33" s="745">
        <v>52.54</v>
      </c>
      <c r="AP33" s="745">
        <v>52.68</v>
      </c>
      <c r="AQ33" s="745">
        <v>52.74</v>
      </c>
      <c r="AR33" s="745">
        <v>52.81</v>
      </c>
      <c r="AS33" s="745">
        <v>52.86</v>
      </c>
      <c r="AT33" s="745">
        <v>52.86</v>
      </c>
      <c r="AU33" s="745">
        <v>52.93</v>
      </c>
      <c r="AV33" s="745">
        <v>53.01</v>
      </c>
      <c r="AW33" s="745">
        <v>53.25</v>
      </c>
      <c r="AX33" s="745">
        <v>53.32</v>
      </c>
      <c r="AY33" s="745">
        <v>53.48</v>
      </c>
      <c r="AZ33" s="745">
        <v>53.61</v>
      </c>
      <c r="BA33" s="745">
        <v>53.75</v>
      </c>
      <c r="BB33" s="745">
        <v>53.88</v>
      </c>
      <c r="BC33" s="745">
        <v>53.99</v>
      </c>
      <c r="BD33" s="745">
        <v>54.12</v>
      </c>
      <c r="BE33" s="745">
        <v>54.25</v>
      </c>
      <c r="BF33" s="745">
        <v>54.39</v>
      </c>
      <c r="BG33" s="745">
        <v>54.55</v>
      </c>
      <c r="BH33" s="745">
        <v>54.74</v>
      </c>
      <c r="BI33" s="745">
        <v>54.88</v>
      </c>
      <c r="BJ33" s="745">
        <v>55.03</v>
      </c>
      <c r="BK33" s="745">
        <v>55.19</v>
      </c>
      <c r="BL33" s="745">
        <v>55.38</v>
      </c>
      <c r="BM33" s="745">
        <v>55.57</v>
      </c>
      <c r="BN33" s="745">
        <v>55.73</v>
      </c>
      <c r="BO33" s="745">
        <v>55.88</v>
      </c>
      <c r="BP33" s="745">
        <v>56.05</v>
      </c>
      <c r="BQ33" s="745">
        <v>56.2</v>
      </c>
      <c r="BR33" s="745">
        <v>56.33</v>
      </c>
      <c r="BS33" s="745">
        <v>56.5</v>
      </c>
      <c r="BT33" s="745">
        <v>56.64</v>
      </c>
      <c r="BU33" s="745">
        <v>56.78</v>
      </c>
      <c r="BV33" s="745">
        <v>56.91</v>
      </c>
      <c r="BW33" s="745">
        <v>57.06</v>
      </c>
      <c r="BX33" s="745">
        <v>57.19</v>
      </c>
      <c r="BY33" s="745">
        <v>57.32</v>
      </c>
      <c r="BZ33" s="745">
        <v>57.45</v>
      </c>
      <c r="CA33" s="745">
        <v>57.58</v>
      </c>
      <c r="CB33" s="745">
        <v>57.72</v>
      </c>
      <c r="CC33" s="745">
        <v>57.85</v>
      </c>
      <c r="CD33" s="745">
        <v>57.98</v>
      </c>
      <c r="CE33" s="745">
        <v>58.11</v>
      </c>
      <c r="CF33" s="745">
        <v>58.24</v>
      </c>
      <c r="CG33" s="745">
        <v>58.36</v>
      </c>
      <c r="CH33" s="745">
        <v>58.49</v>
      </c>
      <c r="CI33" s="745">
        <v>58.62</v>
      </c>
      <c r="CJ33" s="745">
        <v>58.75</v>
      </c>
      <c r="CK33" s="745">
        <v>58.88</v>
      </c>
      <c r="CL33" s="745">
        <v>59</v>
      </c>
      <c r="CM33" s="745">
        <v>59.13</v>
      </c>
      <c r="CN33" s="745">
        <v>59.25</v>
      </c>
      <c r="CO33" s="745">
        <v>59.38</v>
      </c>
      <c r="CP33" s="745">
        <v>59.5</v>
      </c>
      <c r="CQ33" s="745">
        <v>59.62</v>
      </c>
      <c r="CR33" s="745">
        <v>59.74</v>
      </c>
      <c r="CS33" s="745">
        <v>59.86</v>
      </c>
      <c r="CT33" s="745">
        <v>59.98</v>
      </c>
      <c r="CU33" s="745">
        <v>60.1</v>
      </c>
      <c r="CV33" s="745">
        <v>60.22</v>
      </c>
      <c r="CW33" s="745">
        <v>60.33</v>
      </c>
      <c r="CX33" s="745">
        <v>60.45</v>
      </c>
      <c r="CY33" s="745">
        <v>60.56</v>
      </c>
      <c r="CZ33" s="745">
        <v>60.67</v>
      </c>
      <c r="DA33" s="745">
        <v>60.78</v>
      </c>
      <c r="DB33" s="745">
        <v>60.9</v>
      </c>
      <c r="DC33" s="745">
        <v>61.01</v>
      </c>
      <c r="DD33" s="745">
        <v>61.11</v>
      </c>
      <c r="DE33" s="745">
        <v>61.22</v>
      </c>
      <c r="DF33" s="745">
        <v>61.33</v>
      </c>
      <c r="DG33" s="745">
        <v>61.44</v>
      </c>
      <c r="DH33" s="745">
        <v>61.54</v>
      </c>
      <c r="DI33" s="745">
        <v>61.65</v>
      </c>
      <c r="DJ33" s="745">
        <v>61.75</v>
      </c>
      <c r="DK33" s="745">
        <v>61.85</v>
      </c>
      <c r="DL33" s="745">
        <v>61.95</v>
      </c>
      <c r="DM33" s="745">
        <v>62.05</v>
      </c>
      <c r="DN33" s="745">
        <v>62.15</v>
      </c>
      <c r="DO33" s="745">
        <v>62.25</v>
      </c>
      <c r="DP33" s="745">
        <v>62.35</v>
      </c>
      <c r="DQ33" s="745">
        <v>62.45</v>
      </c>
      <c r="DR33" s="745">
        <v>62.54</v>
      </c>
    </row>
    <row r="34" spans="1:122">
      <c r="A34" s="918">
        <v>32</v>
      </c>
      <c r="B34" s="90"/>
      <c r="C34" s="90"/>
      <c r="D34" s="90"/>
      <c r="E34" s="90"/>
      <c r="F34" s="90"/>
      <c r="G34" s="90"/>
      <c r="H34" s="90"/>
      <c r="I34" s="90"/>
      <c r="J34" s="90"/>
      <c r="K34" s="90"/>
      <c r="L34" s="90"/>
      <c r="M34" s="90"/>
      <c r="N34" s="90"/>
      <c r="O34" s="90"/>
      <c r="P34" s="90"/>
      <c r="Q34" s="90"/>
      <c r="R34" s="90"/>
      <c r="S34" s="90"/>
      <c r="T34" s="90"/>
      <c r="U34" s="90"/>
      <c r="V34" s="745"/>
      <c r="W34" s="745">
        <v>47.73</v>
      </c>
      <c r="X34" s="745">
        <v>47.93</v>
      </c>
      <c r="Y34" s="745">
        <v>48.14</v>
      </c>
      <c r="Z34" s="745">
        <v>48.39</v>
      </c>
      <c r="AA34" s="745">
        <v>48.54</v>
      </c>
      <c r="AB34" s="745">
        <v>48.75</v>
      </c>
      <c r="AC34" s="745">
        <v>48.99</v>
      </c>
      <c r="AD34" s="745">
        <v>49.11</v>
      </c>
      <c r="AE34" s="745">
        <v>49.34</v>
      </c>
      <c r="AF34" s="745">
        <v>49.54</v>
      </c>
      <c r="AG34" s="745">
        <v>49.73</v>
      </c>
      <c r="AH34" s="745">
        <v>49.91</v>
      </c>
      <c r="AI34" s="745">
        <v>50.1</v>
      </c>
      <c r="AJ34" s="745">
        <v>50.38</v>
      </c>
      <c r="AK34" s="745">
        <v>50.64</v>
      </c>
      <c r="AL34" s="745">
        <v>50.93</v>
      </c>
      <c r="AM34" s="745">
        <v>51.2</v>
      </c>
      <c r="AN34" s="745">
        <v>51.41</v>
      </c>
      <c r="AO34" s="745">
        <v>51.58</v>
      </c>
      <c r="AP34" s="745">
        <v>51.72</v>
      </c>
      <c r="AQ34" s="745">
        <v>51.78</v>
      </c>
      <c r="AR34" s="745">
        <v>51.85</v>
      </c>
      <c r="AS34" s="745">
        <v>51.91</v>
      </c>
      <c r="AT34" s="745">
        <v>51.9</v>
      </c>
      <c r="AU34" s="745">
        <v>51.98</v>
      </c>
      <c r="AV34" s="745">
        <v>52.05</v>
      </c>
      <c r="AW34" s="745">
        <v>52.29</v>
      </c>
      <c r="AX34" s="745">
        <v>52.35</v>
      </c>
      <c r="AY34" s="745">
        <v>52.52</v>
      </c>
      <c r="AZ34" s="745">
        <v>52.65</v>
      </c>
      <c r="BA34" s="745">
        <v>52.79</v>
      </c>
      <c r="BB34" s="745">
        <v>52.92</v>
      </c>
      <c r="BC34" s="745">
        <v>53.03</v>
      </c>
      <c r="BD34" s="745">
        <v>53.15</v>
      </c>
      <c r="BE34" s="745">
        <v>53.28</v>
      </c>
      <c r="BF34" s="745">
        <v>53.42</v>
      </c>
      <c r="BG34" s="745">
        <v>53.58</v>
      </c>
      <c r="BH34" s="745">
        <v>53.77</v>
      </c>
      <c r="BI34" s="745">
        <v>53.91</v>
      </c>
      <c r="BJ34" s="745">
        <v>54.06</v>
      </c>
      <c r="BK34" s="745">
        <v>54.22</v>
      </c>
      <c r="BL34" s="745">
        <v>54.4</v>
      </c>
      <c r="BM34" s="745">
        <v>54.6</v>
      </c>
      <c r="BN34" s="745">
        <v>54.76</v>
      </c>
      <c r="BO34" s="745">
        <v>54.9</v>
      </c>
      <c r="BP34" s="745">
        <v>55.07</v>
      </c>
      <c r="BQ34" s="745">
        <v>55.22</v>
      </c>
      <c r="BR34" s="745">
        <v>55.36</v>
      </c>
      <c r="BS34" s="745">
        <v>55.52</v>
      </c>
      <c r="BT34" s="745">
        <v>55.66</v>
      </c>
      <c r="BU34" s="745">
        <v>55.8</v>
      </c>
      <c r="BV34" s="745">
        <v>55.93</v>
      </c>
      <c r="BW34" s="745">
        <v>56.08</v>
      </c>
      <c r="BX34" s="745">
        <v>56.2</v>
      </c>
      <c r="BY34" s="745">
        <v>56.34</v>
      </c>
      <c r="BZ34" s="745">
        <v>56.47</v>
      </c>
      <c r="CA34" s="745">
        <v>56.6</v>
      </c>
      <c r="CB34" s="745">
        <v>56.74</v>
      </c>
      <c r="CC34" s="745">
        <v>56.87</v>
      </c>
      <c r="CD34" s="745">
        <v>57</v>
      </c>
      <c r="CE34" s="745">
        <v>57.13</v>
      </c>
      <c r="CF34" s="745">
        <v>57.25</v>
      </c>
      <c r="CG34" s="745">
        <v>57.38</v>
      </c>
      <c r="CH34" s="745">
        <v>57.51</v>
      </c>
      <c r="CI34" s="745">
        <v>57.64</v>
      </c>
      <c r="CJ34" s="745">
        <v>57.77</v>
      </c>
      <c r="CK34" s="745">
        <v>57.9</v>
      </c>
      <c r="CL34" s="745">
        <v>58.02</v>
      </c>
      <c r="CM34" s="745">
        <v>58.15</v>
      </c>
      <c r="CN34" s="745">
        <v>58.27</v>
      </c>
      <c r="CO34" s="745">
        <v>58.39</v>
      </c>
      <c r="CP34" s="745">
        <v>58.52</v>
      </c>
      <c r="CQ34" s="745">
        <v>58.64</v>
      </c>
      <c r="CR34" s="745">
        <v>58.76</v>
      </c>
      <c r="CS34" s="745">
        <v>58.88</v>
      </c>
      <c r="CT34" s="745">
        <v>59</v>
      </c>
      <c r="CU34" s="745">
        <v>59.11</v>
      </c>
      <c r="CV34" s="745">
        <v>59.23</v>
      </c>
      <c r="CW34" s="745">
        <v>59.35</v>
      </c>
      <c r="CX34" s="745">
        <v>59.46</v>
      </c>
      <c r="CY34" s="745">
        <v>59.57</v>
      </c>
      <c r="CZ34" s="745">
        <v>59.69</v>
      </c>
      <c r="DA34" s="745">
        <v>59.8</v>
      </c>
      <c r="DB34" s="745">
        <v>59.91</v>
      </c>
      <c r="DC34" s="745">
        <v>60.02</v>
      </c>
      <c r="DD34" s="745">
        <v>60.13</v>
      </c>
      <c r="DE34" s="745">
        <v>60.23</v>
      </c>
      <c r="DF34" s="745">
        <v>60.34</v>
      </c>
      <c r="DG34" s="745">
        <v>60.45</v>
      </c>
      <c r="DH34" s="745">
        <v>60.55</v>
      </c>
      <c r="DI34" s="745">
        <v>60.66</v>
      </c>
      <c r="DJ34" s="745">
        <v>60.76</v>
      </c>
      <c r="DK34" s="745">
        <v>60.86</v>
      </c>
      <c r="DL34" s="745">
        <v>60.96</v>
      </c>
      <c r="DM34" s="745">
        <v>61.06</v>
      </c>
      <c r="DN34" s="745">
        <v>61.16</v>
      </c>
      <c r="DO34" s="745">
        <v>61.26</v>
      </c>
      <c r="DP34" s="745">
        <v>61.36</v>
      </c>
      <c r="DQ34" s="745">
        <v>61.46</v>
      </c>
      <c r="DR34" s="745">
        <v>61.55</v>
      </c>
    </row>
    <row r="35" spans="1:122">
      <c r="A35" s="918">
        <v>33</v>
      </c>
      <c r="B35" s="90"/>
      <c r="C35" s="90"/>
      <c r="D35" s="90"/>
      <c r="E35" s="90"/>
      <c r="F35" s="90"/>
      <c r="G35" s="90"/>
      <c r="H35" s="90"/>
      <c r="I35" s="90"/>
      <c r="J35" s="90"/>
      <c r="K35" s="90"/>
      <c r="L35" s="90"/>
      <c r="M35" s="90"/>
      <c r="N35" s="90"/>
      <c r="O35" s="90"/>
      <c r="P35" s="90"/>
      <c r="Q35" s="90"/>
      <c r="R35" s="90"/>
      <c r="S35" s="90"/>
      <c r="T35" s="90"/>
      <c r="U35" s="90"/>
      <c r="V35" s="745"/>
      <c r="W35" s="745">
        <v>46.8</v>
      </c>
      <c r="X35" s="745">
        <v>47</v>
      </c>
      <c r="Y35" s="745">
        <v>47.21</v>
      </c>
      <c r="Z35" s="745">
        <v>47.45</v>
      </c>
      <c r="AA35" s="745">
        <v>47.6</v>
      </c>
      <c r="AB35" s="745">
        <v>47.81</v>
      </c>
      <c r="AC35" s="745">
        <v>48.04</v>
      </c>
      <c r="AD35" s="745">
        <v>48.16</v>
      </c>
      <c r="AE35" s="745">
        <v>48.39</v>
      </c>
      <c r="AF35" s="745">
        <v>48.59</v>
      </c>
      <c r="AG35" s="745">
        <v>48.78</v>
      </c>
      <c r="AH35" s="745">
        <v>48.96</v>
      </c>
      <c r="AI35" s="745">
        <v>49.15</v>
      </c>
      <c r="AJ35" s="745">
        <v>49.43</v>
      </c>
      <c r="AK35" s="745">
        <v>49.69</v>
      </c>
      <c r="AL35" s="745">
        <v>49.98</v>
      </c>
      <c r="AM35" s="745">
        <v>50.25</v>
      </c>
      <c r="AN35" s="745">
        <v>50.45</v>
      </c>
      <c r="AO35" s="745">
        <v>50.62</v>
      </c>
      <c r="AP35" s="745">
        <v>50.76</v>
      </c>
      <c r="AQ35" s="745">
        <v>50.83</v>
      </c>
      <c r="AR35" s="745">
        <v>50.9</v>
      </c>
      <c r="AS35" s="745">
        <v>50.95</v>
      </c>
      <c r="AT35" s="745">
        <v>50.94</v>
      </c>
      <c r="AU35" s="745">
        <v>51.02</v>
      </c>
      <c r="AV35" s="745">
        <v>51.09</v>
      </c>
      <c r="AW35" s="745">
        <v>51.33</v>
      </c>
      <c r="AX35" s="745">
        <v>51.4</v>
      </c>
      <c r="AY35" s="745">
        <v>51.56</v>
      </c>
      <c r="AZ35" s="745">
        <v>51.69</v>
      </c>
      <c r="BA35" s="745">
        <v>51.82</v>
      </c>
      <c r="BB35" s="745">
        <v>51.95</v>
      </c>
      <c r="BC35" s="745">
        <v>52.06</v>
      </c>
      <c r="BD35" s="745">
        <v>52.18</v>
      </c>
      <c r="BE35" s="745">
        <v>52.31</v>
      </c>
      <c r="BF35" s="745">
        <v>52.46</v>
      </c>
      <c r="BG35" s="745">
        <v>52.62</v>
      </c>
      <c r="BH35" s="745">
        <v>52.8</v>
      </c>
      <c r="BI35" s="745">
        <v>52.94</v>
      </c>
      <c r="BJ35" s="745">
        <v>53.09</v>
      </c>
      <c r="BK35" s="745">
        <v>53.26</v>
      </c>
      <c r="BL35" s="745">
        <v>53.43</v>
      </c>
      <c r="BM35" s="745">
        <v>53.63</v>
      </c>
      <c r="BN35" s="745">
        <v>53.79</v>
      </c>
      <c r="BO35" s="745">
        <v>53.93</v>
      </c>
      <c r="BP35" s="745">
        <v>54.09</v>
      </c>
      <c r="BQ35" s="745">
        <v>54.24</v>
      </c>
      <c r="BR35" s="745">
        <v>54.38</v>
      </c>
      <c r="BS35" s="745">
        <v>54.54</v>
      </c>
      <c r="BT35" s="745">
        <v>54.68</v>
      </c>
      <c r="BU35" s="745">
        <v>54.82</v>
      </c>
      <c r="BV35" s="745">
        <v>54.95</v>
      </c>
      <c r="BW35" s="745">
        <v>55.1</v>
      </c>
      <c r="BX35" s="745">
        <v>55.22</v>
      </c>
      <c r="BY35" s="745">
        <v>55.36</v>
      </c>
      <c r="BZ35" s="745">
        <v>55.49</v>
      </c>
      <c r="CA35" s="745">
        <v>55.62</v>
      </c>
      <c r="CB35" s="745">
        <v>55.76</v>
      </c>
      <c r="CC35" s="745">
        <v>55.89</v>
      </c>
      <c r="CD35" s="745">
        <v>56.02</v>
      </c>
      <c r="CE35" s="745">
        <v>56.15</v>
      </c>
      <c r="CF35" s="745">
        <v>56.27</v>
      </c>
      <c r="CG35" s="745">
        <v>56.4</v>
      </c>
      <c r="CH35" s="745">
        <v>56.53</v>
      </c>
      <c r="CI35" s="745">
        <v>56.66</v>
      </c>
      <c r="CJ35" s="745">
        <v>56.79</v>
      </c>
      <c r="CK35" s="745">
        <v>56.91</v>
      </c>
      <c r="CL35" s="745">
        <v>57.04</v>
      </c>
      <c r="CM35" s="745">
        <v>57.16</v>
      </c>
      <c r="CN35" s="745">
        <v>57.29</v>
      </c>
      <c r="CO35" s="745">
        <v>57.41</v>
      </c>
      <c r="CP35" s="745">
        <v>57.53</v>
      </c>
      <c r="CQ35" s="745">
        <v>57.65</v>
      </c>
      <c r="CR35" s="745">
        <v>57.77</v>
      </c>
      <c r="CS35" s="745">
        <v>57.89</v>
      </c>
      <c r="CT35" s="745">
        <v>58.01</v>
      </c>
      <c r="CU35" s="745">
        <v>58.13</v>
      </c>
      <c r="CV35" s="745">
        <v>58.24</v>
      </c>
      <c r="CW35" s="745">
        <v>58.36</v>
      </c>
      <c r="CX35" s="745">
        <v>58.47</v>
      </c>
      <c r="CY35" s="745">
        <v>58.59</v>
      </c>
      <c r="CZ35" s="745">
        <v>58.7</v>
      </c>
      <c r="DA35" s="745">
        <v>58.81</v>
      </c>
      <c r="DB35" s="745">
        <v>58.92</v>
      </c>
      <c r="DC35" s="745">
        <v>59.03</v>
      </c>
      <c r="DD35" s="745">
        <v>59.14</v>
      </c>
      <c r="DE35" s="745">
        <v>59.25</v>
      </c>
      <c r="DF35" s="745">
        <v>59.35</v>
      </c>
      <c r="DG35" s="745">
        <v>59.46</v>
      </c>
      <c r="DH35" s="745">
        <v>59.56</v>
      </c>
      <c r="DI35" s="745">
        <v>59.67</v>
      </c>
      <c r="DJ35" s="745">
        <v>59.77</v>
      </c>
      <c r="DK35" s="745">
        <v>59.87</v>
      </c>
      <c r="DL35" s="745">
        <v>59.97</v>
      </c>
      <c r="DM35" s="745">
        <v>60.07</v>
      </c>
      <c r="DN35" s="745">
        <v>60.17</v>
      </c>
      <c r="DO35" s="745">
        <v>60.27</v>
      </c>
      <c r="DP35" s="745">
        <v>60.37</v>
      </c>
      <c r="DQ35" s="745">
        <v>60.47</v>
      </c>
      <c r="DR35" s="745">
        <v>60.56</v>
      </c>
    </row>
    <row r="36" spans="1:122">
      <c r="A36" s="918">
        <v>34</v>
      </c>
      <c r="B36" s="90"/>
      <c r="C36" s="90"/>
      <c r="D36" s="90"/>
      <c r="E36" s="90"/>
      <c r="F36" s="90"/>
      <c r="G36" s="90"/>
      <c r="H36" s="90"/>
      <c r="I36" s="90"/>
      <c r="J36" s="90"/>
      <c r="K36" s="90"/>
      <c r="L36" s="90"/>
      <c r="M36" s="90"/>
      <c r="N36" s="90"/>
      <c r="O36" s="90"/>
      <c r="P36" s="90"/>
      <c r="Q36" s="90"/>
      <c r="R36" s="90"/>
      <c r="S36" s="90"/>
      <c r="T36" s="90"/>
      <c r="U36" s="90"/>
      <c r="V36" s="745"/>
      <c r="W36" s="745">
        <v>45.86</v>
      </c>
      <c r="X36" s="745">
        <v>46.07</v>
      </c>
      <c r="Y36" s="745">
        <v>46.27</v>
      </c>
      <c r="Z36" s="745">
        <v>46.51</v>
      </c>
      <c r="AA36" s="745">
        <v>46.66</v>
      </c>
      <c r="AB36" s="745">
        <v>46.87</v>
      </c>
      <c r="AC36" s="745">
        <v>47.1</v>
      </c>
      <c r="AD36" s="745">
        <v>47.22</v>
      </c>
      <c r="AE36" s="745">
        <v>47.45</v>
      </c>
      <c r="AF36" s="745">
        <v>47.64</v>
      </c>
      <c r="AG36" s="745">
        <v>47.83</v>
      </c>
      <c r="AH36" s="745">
        <v>48.01</v>
      </c>
      <c r="AI36" s="745">
        <v>48.21</v>
      </c>
      <c r="AJ36" s="745">
        <v>48.48</v>
      </c>
      <c r="AK36" s="745">
        <v>48.74</v>
      </c>
      <c r="AL36" s="745">
        <v>49.03</v>
      </c>
      <c r="AM36" s="745">
        <v>49.3</v>
      </c>
      <c r="AN36" s="745">
        <v>49.5</v>
      </c>
      <c r="AO36" s="745">
        <v>49.67</v>
      </c>
      <c r="AP36" s="745">
        <v>49.81</v>
      </c>
      <c r="AQ36" s="745">
        <v>49.87</v>
      </c>
      <c r="AR36" s="745">
        <v>49.94</v>
      </c>
      <c r="AS36" s="745">
        <v>49.99</v>
      </c>
      <c r="AT36" s="745">
        <v>49.99</v>
      </c>
      <c r="AU36" s="745">
        <v>50.07</v>
      </c>
      <c r="AV36" s="745">
        <v>50.14</v>
      </c>
      <c r="AW36" s="745">
        <v>50.37</v>
      </c>
      <c r="AX36" s="745">
        <v>50.43</v>
      </c>
      <c r="AY36" s="745">
        <v>50.6</v>
      </c>
      <c r="AZ36" s="745">
        <v>50.73</v>
      </c>
      <c r="BA36" s="745">
        <v>50.86</v>
      </c>
      <c r="BB36" s="745">
        <v>50.99</v>
      </c>
      <c r="BC36" s="745">
        <v>51.1</v>
      </c>
      <c r="BD36" s="745">
        <v>51.22</v>
      </c>
      <c r="BE36" s="745">
        <v>51.35</v>
      </c>
      <c r="BF36" s="745">
        <v>51.49</v>
      </c>
      <c r="BG36" s="745">
        <v>51.66</v>
      </c>
      <c r="BH36" s="745">
        <v>51.84</v>
      </c>
      <c r="BI36" s="745">
        <v>51.98</v>
      </c>
      <c r="BJ36" s="745">
        <v>52.13</v>
      </c>
      <c r="BK36" s="745">
        <v>52.29</v>
      </c>
      <c r="BL36" s="745">
        <v>52.46</v>
      </c>
      <c r="BM36" s="745">
        <v>52.65</v>
      </c>
      <c r="BN36" s="745">
        <v>52.82</v>
      </c>
      <c r="BO36" s="745">
        <v>52.95</v>
      </c>
      <c r="BP36" s="745">
        <v>53.12</v>
      </c>
      <c r="BQ36" s="745">
        <v>53.27</v>
      </c>
      <c r="BR36" s="745">
        <v>53.4</v>
      </c>
      <c r="BS36" s="745">
        <v>53.56</v>
      </c>
      <c r="BT36" s="745">
        <v>53.7</v>
      </c>
      <c r="BU36" s="745">
        <v>53.84</v>
      </c>
      <c r="BV36" s="745">
        <v>53.97</v>
      </c>
      <c r="BW36" s="745">
        <v>54.12</v>
      </c>
      <c r="BX36" s="745">
        <v>54.24</v>
      </c>
      <c r="BY36" s="745">
        <v>54.38</v>
      </c>
      <c r="BZ36" s="745">
        <v>54.51</v>
      </c>
      <c r="CA36" s="745">
        <v>54.64</v>
      </c>
      <c r="CB36" s="745">
        <v>54.78</v>
      </c>
      <c r="CC36" s="745">
        <v>54.91</v>
      </c>
      <c r="CD36" s="745">
        <v>55.04</v>
      </c>
      <c r="CE36" s="745">
        <v>55.17</v>
      </c>
      <c r="CF36" s="745">
        <v>55.29</v>
      </c>
      <c r="CG36" s="745">
        <v>55.42</v>
      </c>
      <c r="CH36" s="745">
        <v>55.55</v>
      </c>
      <c r="CI36" s="745">
        <v>55.68</v>
      </c>
      <c r="CJ36" s="745">
        <v>55.81</v>
      </c>
      <c r="CK36" s="745">
        <v>55.93</v>
      </c>
      <c r="CL36" s="745">
        <v>56.06</v>
      </c>
      <c r="CM36" s="745">
        <v>56.18</v>
      </c>
      <c r="CN36" s="745">
        <v>56.31</v>
      </c>
      <c r="CO36" s="745">
        <v>56.43</v>
      </c>
      <c r="CP36" s="745">
        <v>56.55</v>
      </c>
      <c r="CQ36" s="745">
        <v>56.67</v>
      </c>
      <c r="CR36" s="745">
        <v>56.79</v>
      </c>
      <c r="CS36" s="745">
        <v>56.91</v>
      </c>
      <c r="CT36" s="745">
        <v>57.03</v>
      </c>
      <c r="CU36" s="745">
        <v>57.14</v>
      </c>
      <c r="CV36" s="745">
        <v>57.26</v>
      </c>
      <c r="CW36" s="745">
        <v>57.37</v>
      </c>
      <c r="CX36" s="745">
        <v>57.49</v>
      </c>
      <c r="CY36" s="745">
        <v>57.6</v>
      </c>
      <c r="CZ36" s="745">
        <v>57.71</v>
      </c>
      <c r="DA36" s="745">
        <v>57.82</v>
      </c>
      <c r="DB36" s="745">
        <v>57.93</v>
      </c>
      <c r="DC36" s="745">
        <v>58.04</v>
      </c>
      <c r="DD36" s="745">
        <v>58.15</v>
      </c>
      <c r="DE36" s="745">
        <v>58.26</v>
      </c>
      <c r="DF36" s="745">
        <v>58.36</v>
      </c>
      <c r="DG36" s="745">
        <v>58.47</v>
      </c>
      <c r="DH36" s="745">
        <v>58.57</v>
      </c>
      <c r="DI36" s="745">
        <v>58.68</v>
      </c>
      <c r="DJ36" s="745">
        <v>58.78</v>
      </c>
      <c r="DK36" s="745">
        <v>58.88</v>
      </c>
      <c r="DL36" s="745">
        <v>58.98</v>
      </c>
      <c r="DM36" s="745">
        <v>59.08</v>
      </c>
      <c r="DN36" s="745">
        <v>59.18</v>
      </c>
      <c r="DO36" s="745">
        <v>59.28</v>
      </c>
      <c r="DP36" s="745">
        <v>59.38</v>
      </c>
      <c r="DQ36" s="745">
        <v>59.48</v>
      </c>
      <c r="DR36" s="745">
        <v>59.57</v>
      </c>
    </row>
    <row r="37" spans="1:122">
      <c r="A37" s="918">
        <v>35</v>
      </c>
      <c r="B37" s="90"/>
      <c r="C37" s="90"/>
      <c r="D37" s="90"/>
      <c r="E37" s="90"/>
      <c r="F37" s="90"/>
      <c r="G37" s="90"/>
      <c r="H37" s="90"/>
      <c r="I37" s="90"/>
      <c r="J37" s="90"/>
      <c r="K37" s="90"/>
      <c r="L37" s="90"/>
      <c r="M37" s="90"/>
      <c r="N37" s="90"/>
      <c r="O37" s="90"/>
      <c r="P37" s="90"/>
      <c r="Q37" s="90"/>
      <c r="R37" s="90"/>
      <c r="S37" s="90"/>
      <c r="T37" s="90"/>
      <c r="U37" s="90"/>
      <c r="V37" s="745"/>
      <c r="W37" s="745">
        <v>44.94</v>
      </c>
      <c r="X37" s="745">
        <v>45.13</v>
      </c>
      <c r="Y37" s="745">
        <v>45.34</v>
      </c>
      <c r="Z37" s="745">
        <v>45.58</v>
      </c>
      <c r="AA37" s="745">
        <v>45.72</v>
      </c>
      <c r="AB37" s="745">
        <v>45.93</v>
      </c>
      <c r="AC37" s="745">
        <v>46.16</v>
      </c>
      <c r="AD37" s="745">
        <v>46.27</v>
      </c>
      <c r="AE37" s="745">
        <v>46.51</v>
      </c>
      <c r="AF37" s="745">
        <v>46.7</v>
      </c>
      <c r="AG37" s="745">
        <v>46.89</v>
      </c>
      <c r="AH37" s="745">
        <v>47.07</v>
      </c>
      <c r="AI37" s="745">
        <v>47.26</v>
      </c>
      <c r="AJ37" s="745">
        <v>47.53</v>
      </c>
      <c r="AK37" s="745">
        <v>47.79</v>
      </c>
      <c r="AL37" s="745">
        <v>48.08</v>
      </c>
      <c r="AM37" s="745">
        <v>48.35</v>
      </c>
      <c r="AN37" s="745">
        <v>48.55</v>
      </c>
      <c r="AO37" s="745">
        <v>48.72</v>
      </c>
      <c r="AP37" s="745">
        <v>48.86</v>
      </c>
      <c r="AQ37" s="745">
        <v>48.92</v>
      </c>
      <c r="AR37" s="745">
        <v>48.99</v>
      </c>
      <c r="AS37" s="745">
        <v>49.04</v>
      </c>
      <c r="AT37" s="745">
        <v>49.04</v>
      </c>
      <c r="AU37" s="745">
        <v>49.11</v>
      </c>
      <c r="AV37" s="745">
        <v>49.18</v>
      </c>
      <c r="AW37" s="745">
        <v>49.41</v>
      </c>
      <c r="AX37" s="745">
        <v>49.47</v>
      </c>
      <c r="AY37" s="745">
        <v>49.64</v>
      </c>
      <c r="AZ37" s="745">
        <v>49.76</v>
      </c>
      <c r="BA37" s="745">
        <v>49.9</v>
      </c>
      <c r="BB37" s="745">
        <v>50.02</v>
      </c>
      <c r="BC37" s="745">
        <v>50.14</v>
      </c>
      <c r="BD37" s="745">
        <v>50.25</v>
      </c>
      <c r="BE37" s="745">
        <v>50.39</v>
      </c>
      <c r="BF37" s="745">
        <v>50.53</v>
      </c>
      <c r="BG37" s="745">
        <v>50.7</v>
      </c>
      <c r="BH37" s="745">
        <v>50.88</v>
      </c>
      <c r="BI37" s="745">
        <v>51.01</v>
      </c>
      <c r="BJ37" s="745">
        <v>51.17</v>
      </c>
      <c r="BK37" s="745">
        <v>51.32</v>
      </c>
      <c r="BL37" s="745">
        <v>51.5</v>
      </c>
      <c r="BM37" s="745">
        <v>51.68</v>
      </c>
      <c r="BN37" s="745">
        <v>51.84</v>
      </c>
      <c r="BO37" s="745">
        <v>51.98</v>
      </c>
      <c r="BP37" s="745">
        <v>52.15</v>
      </c>
      <c r="BQ37" s="745">
        <v>52.29</v>
      </c>
      <c r="BR37" s="745">
        <v>52.43</v>
      </c>
      <c r="BS37" s="745">
        <v>52.59</v>
      </c>
      <c r="BT37" s="745">
        <v>52.72</v>
      </c>
      <c r="BU37" s="745">
        <v>52.86</v>
      </c>
      <c r="BV37" s="745">
        <v>52.99</v>
      </c>
      <c r="BW37" s="745">
        <v>53.14</v>
      </c>
      <c r="BX37" s="745">
        <v>53.27</v>
      </c>
      <c r="BY37" s="745">
        <v>53.4</v>
      </c>
      <c r="BZ37" s="745">
        <v>53.53</v>
      </c>
      <c r="CA37" s="745">
        <v>53.67</v>
      </c>
      <c r="CB37" s="745">
        <v>53.8</v>
      </c>
      <c r="CC37" s="745">
        <v>53.93</v>
      </c>
      <c r="CD37" s="745">
        <v>54.06</v>
      </c>
      <c r="CE37" s="745">
        <v>54.19</v>
      </c>
      <c r="CF37" s="745">
        <v>54.31</v>
      </c>
      <c r="CG37" s="745">
        <v>54.44</v>
      </c>
      <c r="CH37" s="745">
        <v>54.57</v>
      </c>
      <c r="CI37" s="745">
        <v>54.7</v>
      </c>
      <c r="CJ37" s="745">
        <v>54.83</v>
      </c>
      <c r="CK37" s="745">
        <v>54.95</v>
      </c>
      <c r="CL37" s="745">
        <v>55.08</v>
      </c>
      <c r="CM37" s="745">
        <v>55.2</v>
      </c>
      <c r="CN37" s="745">
        <v>55.33</v>
      </c>
      <c r="CO37" s="745">
        <v>55.45</v>
      </c>
      <c r="CP37" s="745">
        <v>55.57</v>
      </c>
      <c r="CQ37" s="745">
        <v>55.69</v>
      </c>
      <c r="CR37" s="745">
        <v>55.81</v>
      </c>
      <c r="CS37" s="745">
        <v>55.93</v>
      </c>
      <c r="CT37" s="745">
        <v>56.04</v>
      </c>
      <c r="CU37" s="745">
        <v>56.16</v>
      </c>
      <c r="CV37" s="745">
        <v>56.28</v>
      </c>
      <c r="CW37" s="745">
        <v>56.39</v>
      </c>
      <c r="CX37" s="745">
        <v>56.5</v>
      </c>
      <c r="CY37" s="745">
        <v>56.62</v>
      </c>
      <c r="CZ37" s="745">
        <v>56.73</v>
      </c>
      <c r="DA37" s="745">
        <v>56.84</v>
      </c>
      <c r="DB37" s="745">
        <v>56.95</v>
      </c>
      <c r="DC37" s="745">
        <v>57.06</v>
      </c>
      <c r="DD37" s="745">
        <v>57.16</v>
      </c>
      <c r="DE37" s="745">
        <v>57.27</v>
      </c>
      <c r="DF37" s="745">
        <v>57.38</v>
      </c>
      <c r="DG37" s="745">
        <v>57.48</v>
      </c>
      <c r="DH37" s="745">
        <v>57.59</v>
      </c>
      <c r="DI37" s="745">
        <v>57.69</v>
      </c>
      <c r="DJ37" s="745">
        <v>57.79</v>
      </c>
      <c r="DK37" s="745">
        <v>57.89</v>
      </c>
      <c r="DL37" s="745">
        <v>58</v>
      </c>
      <c r="DM37" s="745">
        <v>58.09</v>
      </c>
      <c r="DN37" s="745">
        <v>58.19</v>
      </c>
      <c r="DO37" s="745">
        <v>58.29</v>
      </c>
      <c r="DP37" s="745">
        <v>58.39</v>
      </c>
      <c r="DQ37" s="745">
        <v>58.49</v>
      </c>
      <c r="DR37" s="745">
        <v>58.58</v>
      </c>
    </row>
    <row r="38" spans="1:122">
      <c r="A38" s="918">
        <v>36</v>
      </c>
      <c r="B38" s="90"/>
      <c r="C38" s="90"/>
      <c r="D38" s="90"/>
      <c r="E38" s="90"/>
      <c r="F38" s="90"/>
      <c r="G38" s="90"/>
      <c r="H38" s="90"/>
      <c r="I38" s="90"/>
      <c r="J38" s="90"/>
      <c r="K38" s="90"/>
      <c r="L38" s="90"/>
      <c r="M38" s="90"/>
      <c r="N38" s="90"/>
      <c r="O38" s="90"/>
      <c r="P38" s="90"/>
      <c r="Q38" s="90"/>
      <c r="R38" s="90"/>
      <c r="S38" s="90"/>
      <c r="T38" s="90"/>
      <c r="U38" s="90"/>
      <c r="V38" s="745"/>
      <c r="W38" s="745">
        <v>44</v>
      </c>
      <c r="X38" s="745">
        <v>44.2</v>
      </c>
      <c r="Y38" s="745">
        <v>44.4</v>
      </c>
      <c r="Z38" s="745">
        <v>44.64</v>
      </c>
      <c r="AA38" s="745">
        <v>44.79</v>
      </c>
      <c r="AB38" s="745">
        <v>45</v>
      </c>
      <c r="AC38" s="745">
        <v>45.22</v>
      </c>
      <c r="AD38" s="745">
        <v>45.33</v>
      </c>
      <c r="AE38" s="745">
        <v>45.57</v>
      </c>
      <c r="AF38" s="745">
        <v>45.76</v>
      </c>
      <c r="AG38" s="745">
        <v>45.94</v>
      </c>
      <c r="AH38" s="745">
        <v>46.13</v>
      </c>
      <c r="AI38" s="745">
        <v>46.31</v>
      </c>
      <c r="AJ38" s="745">
        <v>46.59</v>
      </c>
      <c r="AK38" s="745">
        <v>46.85</v>
      </c>
      <c r="AL38" s="745">
        <v>47.13</v>
      </c>
      <c r="AM38" s="745">
        <v>47.39</v>
      </c>
      <c r="AN38" s="745">
        <v>47.6</v>
      </c>
      <c r="AO38" s="745">
        <v>47.77</v>
      </c>
      <c r="AP38" s="745">
        <v>47.91</v>
      </c>
      <c r="AQ38" s="745">
        <v>47.97</v>
      </c>
      <c r="AR38" s="745">
        <v>48.04</v>
      </c>
      <c r="AS38" s="745">
        <v>48.09</v>
      </c>
      <c r="AT38" s="745">
        <v>48.09</v>
      </c>
      <c r="AU38" s="745">
        <v>48.16</v>
      </c>
      <c r="AV38" s="745">
        <v>48.23</v>
      </c>
      <c r="AW38" s="745">
        <v>48.46</v>
      </c>
      <c r="AX38" s="745">
        <v>48.52</v>
      </c>
      <c r="AY38" s="745">
        <v>48.69</v>
      </c>
      <c r="AZ38" s="745">
        <v>48.8</v>
      </c>
      <c r="BA38" s="745">
        <v>48.94</v>
      </c>
      <c r="BB38" s="745">
        <v>49.06</v>
      </c>
      <c r="BC38" s="745">
        <v>49.18</v>
      </c>
      <c r="BD38" s="745">
        <v>49.29</v>
      </c>
      <c r="BE38" s="745">
        <v>49.43</v>
      </c>
      <c r="BF38" s="745">
        <v>49.57</v>
      </c>
      <c r="BG38" s="745">
        <v>49.74</v>
      </c>
      <c r="BH38" s="745">
        <v>49.91</v>
      </c>
      <c r="BI38" s="745">
        <v>50.05</v>
      </c>
      <c r="BJ38" s="745">
        <v>50.21</v>
      </c>
      <c r="BK38" s="745">
        <v>50.36</v>
      </c>
      <c r="BL38" s="745">
        <v>50.53</v>
      </c>
      <c r="BM38" s="745">
        <v>50.72</v>
      </c>
      <c r="BN38" s="745">
        <v>50.87</v>
      </c>
      <c r="BO38" s="745">
        <v>51.01</v>
      </c>
      <c r="BP38" s="745">
        <v>51.18</v>
      </c>
      <c r="BQ38" s="745">
        <v>51.32</v>
      </c>
      <c r="BR38" s="745">
        <v>51.45</v>
      </c>
      <c r="BS38" s="745">
        <v>51.61</v>
      </c>
      <c r="BT38" s="745">
        <v>51.75</v>
      </c>
      <c r="BU38" s="745">
        <v>51.88</v>
      </c>
      <c r="BV38" s="745">
        <v>52.01</v>
      </c>
      <c r="BW38" s="745">
        <v>52.16</v>
      </c>
      <c r="BX38" s="745">
        <v>52.29</v>
      </c>
      <c r="BY38" s="745">
        <v>52.42</v>
      </c>
      <c r="BZ38" s="745">
        <v>52.56</v>
      </c>
      <c r="CA38" s="745">
        <v>52.69</v>
      </c>
      <c r="CB38" s="745">
        <v>52.82</v>
      </c>
      <c r="CC38" s="745">
        <v>52.95</v>
      </c>
      <c r="CD38" s="745">
        <v>53.08</v>
      </c>
      <c r="CE38" s="745">
        <v>53.21</v>
      </c>
      <c r="CF38" s="745">
        <v>53.34</v>
      </c>
      <c r="CG38" s="745">
        <v>53.47</v>
      </c>
      <c r="CH38" s="745">
        <v>53.6</v>
      </c>
      <c r="CI38" s="745">
        <v>53.72</v>
      </c>
      <c r="CJ38" s="745">
        <v>53.85</v>
      </c>
      <c r="CK38" s="745">
        <v>53.98</v>
      </c>
      <c r="CL38" s="745">
        <v>54.1</v>
      </c>
      <c r="CM38" s="745">
        <v>54.22</v>
      </c>
      <c r="CN38" s="745">
        <v>54.35</v>
      </c>
      <c r="CO38" s="745">
        <v>54.47</v>
      </c>
      <c r="CP38" s="745">
        <v>54.59</v>
      </c>
      <c r="CQ38" s="745">
        <v>54.71</v>
      </c>
      <c r="CR38" s="745">
        <v>54.83</v>
      </c>
      <c r="CS38" s="745">
        <v>54.95</v>
      </c>
      <c r="CT38" s="745">
        <v>55.06</v>
      </c>
      <c r="CU38" s="745">
        <v>55.18</v>
      </c>
      <c r="CV38" s="745">
        <v>55.29</v>
      </c>
      <c r="CW38" s="745">
        <v>55.41</v>
      </c>
      <c r="CX38" s="745">
        <v>55.52</v>
      </c>
      <c r="CY38" s="745">
        <v>55.63</v>
      </c>
      <c r="CZ38" s="745">
        <v>55.74</v>
      </c>
      <c r="DA38" s="745">
        <v>55.85</v>
      </c>
      <c r="DB38" s="745">
        <v>55.96</v>
      </c>
      <c r="DC38" s="745">
        <v>56.07</v>
      </c>
      <c r="DD38" s="745">
        <v>56.18</v>
      </c>
      <c r="DE38" s="745">
        <v>56.29</v>
      </c>
      <c r="DF38" s="745">
        <v>56.39</v>
      </c>
      <c r="DG38" s="745">
        <v>56.5</v>
      </c>
      <c r="DH38" s="745">
        <v>56.6</v>
      </c>
      <c r="DI38" s="745">
        <v>56.7</v>
      </c>
      <c r="DJ38" s="745">
        <v>56.81</v>
      </c>
      <c r="DK38" s="745">
        <v>56.91</v>
      </c>
      <c r="DL38" s="745">
        <v>57.01</v>
      </c>
      <c r="DM38" s="745">
        <v>57.11</v>
      </c>
      <c r="DN38" s="745">
        <v>57.21</v>
      </c>
      <c r="DO38" s="745">
        <v>57.3</v>
      </c>
      <c r="DP38" s="745">
        <v>57.4</v>
      </c>
      <c r="DQ38" s="745">
        <v>57.5</v>
      </c>
      <c r="DR38" s="745">
        <v>57.59</v>
      </c>
    </row>
    <row r="39" spans="1:122">
      <c r="A39" s="918">
        <v>37</v>
      </c>
      <c r="B39" s="90"/>
      <c r="C39" s="90"/>
      <c r="D39" s="90"/>
      <c r="E39" s="90"/>
      <c r="F39" s="90"/>
      <c r="G39" s="90"/>
      <c r="H39" s="90"/>
      <c r="I39" s="90"/>
      <c r="J39" s="90"/>
      <c r="K39" s="90"/>
      <c r="L39" s="90"/>
      <c r="M39" s="90"/>
      <c r="N39" s="90"/>
      <c r="O39" s="90"/>
      <c r="P39" s="90"/>
      <c r="Q39" s="90"/>
      <c r="R39" s="90"/>
      <c r="S39" s="90"/>
      <c r="T39" s="90"/>
      <c r="U39" s="90"/>
      <c r="V39" s="745"/>
      <c r="W39" s="745">
        <v>43.07</v>
      </c>
      <c r="X39" s="745">
        <v>43.27</v>
      </c>
      <c r="Y39" s="745">
        <v>43.47</v>
      </c>
      <c r="Z39" s="745">
        <v>43.71</v>
      </c>
      <c r="AA39" s="745">
        <v>43.85</v>
      </c>
      <c r="AB39" s="745">
        <v>44.06</v>
      </c>
      <c r="AC39" s="745">
        <v>44.28</v>
      </c>
      <c r="AD39" s="745">
        <v>44.4</v>
      </c>
      <c r="AE39" s="745">
        <v>44.62</v>
      </c>
      <c r="AF39" s="745">
        <v>44.82</v>
      </c>
      <c r="AG39" s="745">
        <v>45</v>
      </c>
      <c r="AH39" s="745">
        <v>45.18</v>
      </c>
      <c r="AI39" s="745">
        <v>45.38</v>
      </c>
      <c r="AJ39" s="745">
        <v>45.65</v>
      </c>
      <c r="AK39" s="745">
        <v>45.9</v>
      </c>
      <c r="AL39" s="745">
        <v>46.19</v>
      </c>
      <c r="AM39" s="745">
        <v>46.45</v>
      </c>
      <c r="AN39" s="745">
        <v>46.66</v>
      </c>
      <c r="AO39" s="745">
        <v>46.83</v>
      </c>
      <c r="AP39" s="745">
        <v>46.96</v>
      </c>
      <c r="AQ39" s="745">
        <v>47.02</v>
      </c>
      <c r="AR39" s="745">
        <v>47.09</v>
      </c>
      <c r="AS39" s="745">
        <v>47.14</v>
      </c>
      <c r="AT39" s="745">
        <v>47.14</v>
      </c>
      <c r="AU39" s="745">
        <v>47.21</v>
      </c>
      <c r="AV39" s="745">
        <v>47.28</v>
      </c>
      <c r="AW39" s="745">
        <v>47.51</v>
      </c>
      <c r="AX39" s="745">
        <v>47.57</v>
      </c>
      <c r="AY39" s="745">
        <v>47.73</v>
      </c>
      <c r="AZ39" s="745">
        <v>47.84</v>
      </c>
      <c r="BA39" s="745">
        <v>47.98</v>
      </c>
      <c r="BB39" s="745">
        <v>48.11</v>
      </c>
      <c r="BC39" s="745">
        <v>48.22</v>
      </c>
      <c r="BD39" s="745">
        <v>48.34</v>
      </c>
      <c r="BE39" s="745">
        <v>48.48</v>
      </c>
      <c r="BF39" s="745">
        <v>48.61</v>
      </c>
      <c r="BG39" s="745">
        <v>48.78</v>
      </c>
      <c r="BH39" s="745">
        <v>48.95</v>
      </c>
      <c r="BI39" s="745">
        <v>49.09</v>
      </c>
      <c r="BJ39" s="745">
        <v>49.24</v>
      </c>
      <c r="BK39" s="745">
        <v>49.4</v>
      </c>
      <c r="BL39" s="745">
        <v>49.57</v>
      </c>
      <c r="BM39" s="745">
        <v>49.75</v>
      </c>
      <c r="BN39" s="745">
        <v>49.91</v>
      </c>
      <c r="BO39" s="745">
        <v>50.04</v>
      </c>
      <c r="BP39" s="745">
        <v>50.21</v>
      </c>
      <c r="BQ39" s="745">
        <v>50.35</v>
      </c>
      <c r="BR39" s="745">
        <v>50.48</v>
      </c>
      <c r="BS39" s="745">
        <v>50.64</v>
      </c>
      <c r="BT39" s="745">
        <v>50.77</v>
      </c>
      <c r="BU39" s="745">
        <v>50.91</v>
      </c>
      <c r="BV39" s="745">
        <v>51.04</v>
      </c>
      <c r="BW39" s="745">
        <v>51.19</v>
      </c>
      <c r="BX39" s="745">
        <v>51.31</v>
      </c>
      <c r="BY39" s="745">
        <v>51.44</v>
      </c>
      <c r="BZ39" s="745">
        <v>51.58</v>
      </c>
      <c r="CA39" s="745">
        <v>51.71</v>
      </c>
      <c r="CB39" s="745">
        <v>51.84</v>
      </c>
      <c r="CC39" s="745">
        <v>51.97</v>
      </c>
      <c r="CD39" s="745">
        <v>52.11</v>
      </c>
      <c r="CE39" s="745">
        <v>52.23</v>
      </c>
      <c r="CF39" s="745">
        <v>52.36</v>
      </c>
      <c r="CG39" s="745">
        <v>52.49</v>
      </c>
      <c r="CH39" s="745">
        <v>52.62</v>
      </c>
      <c r="CI39" s="745">
        <v>52.75</v>
      </c>
      <c r="CJ39" s="745">
        <v>52.87</v>
      </c>
      <c r="CK39" s="745">
        <v>53</v>
      </c>
      <c r="CL39" s="745">
        <v>53.12</v>
      </c>
      <c r="CM39" s="745">
        <v>53.25</v>
      </c>
      <c r="CN39" s="745">
        <v>53.37</v>
      </c>
      <c r="CO39" s="745">
        <v>53.49</v>
      </c>
      <c r="CP39" s="745">
        <v>53.61</v>
      </c>
      <c r="CQ39" s="745">
        <v>53.73</v>
      </c>
      <c r="CR39" s="745">
        <v>53.85</v>
      </c>
      <c r="CS39" s="745">
        <v>53.96</v>
      </c>
      <c r="CT39" s="745">
        <v>54.08</v>
      </c>
      <c r="CU39" s="745">
        <v>54.2</v>
      </c>
      <c r="CV39" s="745">
        <v>54.31</v>
      </c>
      <c r="CW39" s="745">
        <v>54.42</v>
      </c>
      <c r="CX39" s="745">
        <v>54.54</v>
      </c>
      <c r="CY39" s="745">
        <v>54.65</v>
      </c>
      <c r="CZ39" s="745">
        <v>54.76</v>
      </c>
      <c r="DA39" s="745">
        <v>54.87</v>
      </c>
      <c r="DB39" s="745">
        <v>54.98</v>
      </c>
      <c r="DC39" s="745">
        <v>55.09</v>
      </c>
      <c r="DD39" s="745">
        <v>55.19</v>
      </c>
      <c r="DE39" s="745">
        <v>55.3</v>
      </c>
      <c r="DF39" s="745">
        <v>55.41</v>
      </c>
      <c r="DG39" s="745">
        <v>55.51</v>
      </c>
      <c r="DH39" s="745">
        <v>55.61</v>
      </c>
      <c r="DI39" s="745">
        <v>55.72</v>
      </c>
      <c r="DJ39" s="745">
        <v>55.82</v>
      </c>
      <c r="DK39" s="745">
        <v>55.92</v>
      </c>
      <c r="DL39" s="745">
        <v>56.02</v>
      </c>
      <c r="DM39" s="745">
        <v>56.12</v>
      </c>
      <c r="DN39" s="745">
        <v>56.22</v>
      </c>
      <c r="DO39" s="745">
        <v>56.31</v>
      </c>
      <c r="DP39" s="745">
        <v>56.41</v>
      </c>
      <c r="DQ39" s="745">
        <v>56.51</v>
      </c>
      <c r="DR39" s="745">
        <v>56.6</v>
      </c>
    </row>
    <row r="40" spans="1:122">
      <c r="A40" s="918">
        <v>38</v>
      </c>
      <c r="B40" s="90"/>
      <c r="C40" s="90"/>
      <c r="D40" s="90"/>
      <c r="E40" s="90"/>
      <c r="F40" s="90"/>
      <c r="G40" s="90"/>
      <c r="H40" s="90"/>
      <c r="I40" s="90"/>
      <c r="J40" s="90"/>
      <c r="K40" s="90"/>
      <c r="L40" s="90"/>
      <c r="M40" s="90"/>
      <c r="N40" s="90"/>
      <c r="O40" s="90"/>
      <c r="P40" s="90"/>
      <c r="Q40" s="90"/>
      <c r="R40" s="90"/>
      <c r="S40" s="90"/>
      <c r="T40" s="90"/>
      <c r="U40" s="90"/>
      <c r="V40" s="745"/>
      <c r="W40" s="745">
        <v>42.15</v>
      </c>
      <c r="X40" s="745">
        <v>42.34</v>
      </c>
      <c r="Y40" s="745">
        <v>42.55</v>
      </c>
      <c r="Z40" s="745">
        <v>42.78</v>
      </c>
      <c r="AA40" s="745">
        <v>42.92</v>
      </c>
      <c r="AB40" s="745">
        <v>43.12</v>
      </c>
      <c r="AC40" s="745">
        <v>43.35</v>
      </c>
      <c r="AD40" s="745">
        <v>43.47</v>
      </c>
      <c r="AE40" s="745">
        <v>43.69</v>
      </c>
      <c r="AF40" s="745">
        <v>43.88</v>
      </c>
      <c r="AG40" s="745">
        <v>44.07</v>
      </c>
      <c r="AH40" s="745">
        <v>44.25</v>
      </c>
      <c r="AI40" s="745">
        <v>44.44</v>
      </c>
      <c r="AJ40" s="745">
        <v>44.71</v>
      </c>
      <c r="AK40" s="745">
        <v>44.97</v>
      </c>
      <c r="AL40" s="745">
        <v>45.25</v>
      </c>
      <c r="AM40" s="745">
        <v>45.5</v>
      </c>
      <c r="AN40" s="745">
        <v>45.71</v>
      </c>
      <c r="AO40" s="745">
        <v>45.88</v>
      </c>
      <c r="AP40" s="745">
        <v>46.01</v>
      </c>
      <c r="AQ40" s="745">
        <v>46.07</v>
      </c>
      <c r="AR40" s="745">
        <v>46.15</v>
      </c>
      <c r="AS40" s="745">
        <v>46.2</v>
      </c>
      <c r="AT40" s="745">
        <v>46.19</v>
      </c>
      <c r="AU40" s="745">
        <v>46.26</v>
      </c>
      <c r="AV40" s="745">
        <v>46.33</v>
      </c>
      <c r="AW40" s="745">
        <v>46.56</v>
      </c>
      <c r="AX40" s="745">
        <v>46.61</v>
      </c>
      <c r="AY40" s="745">
        <v>46.78</v>
      </c>
      <c r="AZ40" s="745">
        <v>46.89</v>
      </c>
      <c r="BA40" s="745">
        <v>47.03</v>
      </c>
      <c r="BB40" s="745">
        <v>47.15</v>
      </c>
      <c r="BC40" s="745">
        <v>47.27</v>
      </c>
      <c r="BD40" s="745">
        <v>47.39</v>
      </c>
      <c r="BE40" s="745">
        <v>47.52</v>
      </c>
      <c r="BF40" s="745">
        <v>47.66</v>
      </c>
      <c r="BG40" s="745">
        <v>47.82</v>
      </c>
      <c r="BH40" s="745">
        <v>47.99</v>
      </c>
      <c r="BI40" s="745">
        <v>48.13</v>
      </c>
      <c r="BJ40" s="745">
        <v>48.28</v>
      </c>
      <c r="BK40" s="745">
        <v>48.44</v>
      </c>
      <c r="BL40" s="745">
        <v>48.6</v>
      </c>
      <c r="BM40" s="745">
        <v>48.78</v>
      </c>
      <c r="BN40" s="745">
        <v>48.94</v>
      </c>
      <c r="BO40" s="745">
        <v>49.07</v>
      </c>
      <c r="BP40" s="745">
        <v>49.24</v>
      </c>
      <c r="BQ40" s="745">
        <v>49.38</v>
      </c>
      <c r="BR40" s="745">
        <v>49.51</v>
      </c>
      <c r="BS40" s="745">
        <v>49.67</v>
      </c>
      <c r="BT40" s="745">
        <v>49.8</v>
      </c>
      <c r="BU40" s="745">
        <v>49.93</v>
      </c>
      <c r="BV40" s="745">
        <v>50.06</v>
      </c>
      <c r="BW40" s="745">
        <v>50.21</v>
      </c>
      <c r="BX40" s="745">
        <v>50.34</v>
      </c>
      <c r="BY40" s="745">
        <v>50.47</v>
      </c>
      <c r="BZ40" s="745">
        <v>50.6</v>
      </c>
      <c r="CA40" s="745">
        <v>50.74</v>
      </c>
      <c r="CB40" s="745">
        <v>50.87</v>
      </c>
      <c r="CC40" s="745">
        <v>51</v>
      </c>
      <c r="CD40" s="745">
        <v>51.13</v>
      </c>
      <c r="CE40" s="745">
        <v>51.26</v>
      </c>
      <c r="CF40" s="745">
        <v>51.39</v>
      </c>
      <c r="CG40" s="745">
        <v>51.52</v>
      </c>
      <c r="CH40" s="745">
        <v>51.65</v>
      </c>
      <c r="CI40" s="745">
        <v>51.77</v>
      </c>
      <c r="CJ40" s="745">
        <v>51.9</v>
      </c>
      <c r="CK40" s="745">
        <v>52.02</v>
      </c>
      <c r="CL40" s="745">
        <v>52.15</v>
      </c>
      <c r="CM40" s="745">
        <v>52.27</v>
      </c>
      <c r="CN40" s="745">
        <v>52.39</v>
      </c>
      <c r="CO40" s="745">
        <v>52.51</v>
      </c>
      <c r="CP40" s="745">
        <v>52.63</v>
      </c>
      <c r="CQ40" s="745">
        <v>52.75</v>
      </c>
      <c r="CR40" s="745">
        <v>52.87</v>
      </c>
      <c r="CS40" s="745">
        <v>52.98</v>
      </c>
      <c r="CT40" s="745">
        <v>53.1</v>
      </c>
      <c r="CU40" s="745">
        <v>53.22</v>
      </c>
      <c r="CV40" s="745">
        <v>53.33</v>
      </c>
      <c r="CW40" s="745">
        <v>53.44</v>
      </c>
      <c r="CX40" s="745">
        <v>53.56</v>
      </c>
      <c r="CY40" s="745">
        <v>53.67</v>
      </c>
      <c r="CZ40" s="745">
        <v>53.78</v>
      </c>
      <c r="DA40" s="745">
        <v>53.89</v>
      </c>
      <c r="DB40" s="745">
        <v>54</v>
      </c>
      <c r="DC40" s="745">
        <v>54.1</v>
      </c>
      <c r="DD40" s="745">
        <v>54.21</v>
      </c>
      <c r="DE40" s="745">
        <v>54.32</v>
      </c>
      <c r="DF40" s="745">
        <v>54.42</v>
      </c>
      <c r="DG40" s="745">
        <v>54.53</v>
      </c>
      <c r="DH40" s="745">
        <v>54.63</v>
      </c>
      <c r="DI40" s="745">
        <v>54.73</v>
      </c>
      <c r="DJ40" s="745">
        <v>54.83</v>
      </c>
      <c r="DK40" s="745">
        <v>54.93</v>
      </c>
      <c r="DL40" s="745">
        <v>55.03</v>
      </c>
      <c r="DM40" s="745">
        <v>55.13</v>
      </c>
      <c r="DN40" s="745">
        <v>55.23</v>
      </c>
      <c r="DO40" s="745">
        <v>55.33</v>
      </c>
      <c r="DP40" s="745">
        <v>55.42</v>
      </c>
      <c r="DQ40" s="745">
        <v>55.52</v>
      </c>
      <c r="DR40" s="745">
        <v>55.61</v>
      </c>
    </row>
    <row r="41" spans="1:122">
      <c r="A41" s="918">
        <v>39</v>
      </c>
      <c r="B41" s="90"/>
      <c r="C41" s="90"/>
      <c r="D41" s="90"/>
      <c r="E41" s="90"/>
      <c r="F41" s="90"/>
      <c r="G41" s="90"/>
      <c r="H41" s="90"/>
      <c r="I41" s="90"/>
      <c r="J41" s="90"/>
      <c r="K41" s="90"/>
      <c r="L41" s="90"/>
      <c r="M41" s="90"/>
      <c r="N41" s="90"/>
      <c r="O41" s="90"/>
      <c r="P41" s="90"/>
      <c r="Q41" s="90"/>
      <c r="R41" s="90"/>
      <c r="S41" s="90"/>
      <c r="T41" s="90"/>
      <c r="U41" s="90"/>
      <c r="V41" s="745"/>
      <c r="W41" s="745">
        <v>41.22</v>
      </c>
      <c r="X41" s="745">
        <v>41.42</v>
      </c>
      <c r="Y41" s="745">
        <v>41.61</v>
      </c>
      <c r="Z41" s="745">
        <v>41.85</v>
      </c>
      <c r="AA41" s="745">
        <v>41.99</v>
      </c>
      <c r="AB41" s="745">
        <v>42.19</v>
      </c>
      <c r="AC41" s="745">
        <v>42.42</v>
      </c>
      <c r="AD41" s="745">
        <v>42.54</v>
      </c>
      <c r="AE41" s="745">
        <v>42.76</v>
      </c>
      <c r="AF41" s="745">
        <v>42.95</v>
      </c>
      <c r="AG41" s="745">
        <v>43.14</v>
      </c>
      <c r="AH41" s="745">
        <v>43.32</v>
      </c>
      <c r="AI41" s="745">
        <v>43.51</v>
      </c>
      <c r="AJ41" s="745">
        <v>43.78</v>
      </c>
      <c r="AK41" s="745">
        <v>44.03</v>
      </c>
      <c r="AL41" s="745">
        <v>44.31</v>
      </c>
      <c r="AM41" s="745">
        <v>44.57</v>
      </c>
      <c r="AN41" s="745">
        <v>44.77</v>
      </c>
      <c r="AO41" s="745">
        <v>44.94</v>
      </c>
      <c r="AP41" s="745">
        <v>45.06</v>
      </c>
      <c r="AQ41" s="745">
        <v>45.13</v>
      </c>
      <c r="AR41" s="745">
        <v>45.2</v>
      </c>
      <c r="AS41" s="745">
        <v>45.25</v>
      </c>
      <c r="AT41" s="745">
        <v>45.25</v>
      </c>
      <c r="AU41" s="745">
        <v>45.31</v>
      </c>
      <c r="AV41" s="745">
        <v>45.38</v>
      </c>
      <c r="AW41" s="745">
        <v>45.61</v>
      </c>
      <c r="AX41" s="745">
        <v>45.66</v>
      </c>
      <c r="AY41" s="745">
        <v>45.83</v>
      </c>
      <c r="AZ41" s="745">
        <v>45.94</v>
      </c>
      <c r="BA41" s="745">
        <v>46.08</v>
      </c>
      <c r="BB41" s="745">
        <v>46.2</v>
      </c>
      <c r="BC41" s="745">
        <v>46.32</v>
      </c>
      <c r="BD41" s="745">
        <v>46.44</v>
      </c>
      <c r="BE41" s="745">
        <v>46.57</v>
      </c>
      <c r="BF41" s="745">
        <v>46.7</v>
      </c>
      <c r="BG41" s="745">
        <v>46.87</v>
      </c>
      <c r="BH41" s="745">
        <v>47.04</v>
      </c>
      <c r="BI41" s="745">
        <v>47.17</v>
      </c>
      <c r="BJ41" s="745">
        <v>47.32</v>
      </c>
      <c r="BK41" s="745">
        <v>47.48</v>
      </c>
      <c r="BL41" s="745">
        <v>47.64</v>
      </c>
      <c r="BM41" s="745">
        <v>47.82</v>
      </c>
      <c r="BN41" s="745">
        <v>47.98</v>
      </c>
      <c r="BO41" s="745">
        <v>48.11</v>
      </c>
      <c r="BP41" s="745">
        <v>48.27</v>
      </c>
      <c r="BQ41" s="745">
        <v>48.41</v>
      </c>
      <c r="BR41" s="745">
        <v>48.54</v>
      </c>
      <c r="BS41" s="745">
        <v>48.7</v>
      </c>
      <c r="BT41" s="745">
        <v>48.83</v>
      </c>
      <c r="BU41" s="745">
        <v>48.96</v>
      </c>
      <c r="BV41" s="745">
        <v>49.09</v>
      </c>
      <c r="BW41" s="745">
        <v>49.24</v>
      </c>
      <c r="BX41" s="745">
        <v>49.37</v>
      </c>
      <c r="BY41" s="745">
        <v>49.5</v>
      </c>
      <c r="BZ41" s="745">
        <v>49.63</v>
      </c>
      <c r="CA41" s="745">
        <v>49.77</v>
      </c>
      <c r="CB41" s="745">
        <v>49.9</v>
      </c>
      <c r="CC41" s="745">
        <v>50.03</v>
      </c>
      <c r="CD41" s="745">
        <v>50.16</v>
      </c>
      <c r="CE41" s="745">
        <v>50.29</v>
      </c>
      <c r="CF41" s="745">
        <v>50.42</v>
      </c>
      <c r="CG41" s="745">
        <v>50.55</v>
      </c>
      <c r="CH41" s="745">
        <v>50.67</v>
      </c>
      <c r="CI41" s="745">
        <v>50.8</v>
      </c>
      <c r="CJ41" s="745">
        <v>50.92</v>
      </c>
      <c r="CK41" s="745">
        <v>51.05</v>
      </c>
      <c r="CL41" s="745">
        <v>51.17</v>
      </c>
      <c r="CM41" s="745">
        <v>51.29</v>
      </c>
      <c r="CN41" s="745">
        <v>51.41</v>
      </c>
      <c r="CO41" s="745">
        <v>51.53</v>
      </c>
      <c r="CP41" s="745">
        <v>51.65</v>
      </c>
      <c r="CQ41" s="745">
        <v>51.77</v>
      </c>
      <c r="CR41" s="745">
        <v>51.89</v>
      </c>
      <c r="CS41" s="745">
        <v>52.01</v>
      </c>
      <c r="CT41" s="745">
        <v>52.12</v>
      </c>
      <c r="CU41" s="745">
        <v>52.24</v>
      </c>
      <c r="CV41" s="745">
        <v>52.35</v>
      </c>
      <c r="CW41" s="745">
        <v>52.46</v>
      </c>
      <c r="CX41" s="745">
        <v>52.57</v>
      </c>
      <c r="CY41" s="745">
        <v>52.68</v>
      </c>
      <c r="CZ41" s="745">
        <v>52.79</v>
      </c>
      <c r="DA41" s="745">
        <v>52.9</v>
      </c>
      <c r="DB41" s="745">
        <v>53.01</v>
      </c>
      <c r="DC41" s="745">
        <v>53.12</v>
      </c>
      <c r="DD41" s="745">
        <v>53.23</v>
      </c>
      <c r="DE41" s="745">
        <v>53.33</v>
      </c>
      <c r="DF41" s="745">
        <v>53.44</v>
      </c>
      <c r="DG41" s="745">
        <v>53.54</v>
      </c>
      <c r="DH41" s="745">
        <v>53.64</v>
      </c>
      <c r="DI41" s="745">
        <v>53.75</v>
      </c>
      <c r="DJ41" s="745">
        <v>53.85</v>
      </c>
      <c r="DK41" s="745">
        <v>53.95</v>
      </c>
      <c r="DL41" s="745">
        <v>54.05</v>
      </c>
      <c r="DM41" s="745">
        <v>54.15</v>
      </c>
      <c r="DN41" s="745">
        <v>54.24</v>
      </c>
      <c r="DO41" s="745">
        <v>54.34</v>
      </c>
      <c r="DP41" s="745">
        <v>54.44</v>
      </c>
      <c r="DQ41" s="745">
        <v>54.53</v>
      </c>
      <c r="DR41" s="745">
        <v>54.63</v>
      </c>
    </row>
    <row r="42" spans="1:122">
      <c r="A42" s="918">
        <v>40</v>
      </c>
      <c r="B42" s="90"/>
      <c r="C42" s="90"/>
      <c r="D42" s="90"/>
      <c r="E42" s="90"/>
      <c r="F42" s="90"/>
      <c r="G42" s="90"/>
      <c r="H42" s="90"/>
      <c r="I42" s="90"/>
      <c r="J42" s="90"/>
      <c r="K42" s="90"/>
      <c r="L42" s="90"/>
      <c r="M42" s="90"/>
      <c r="N42" s="90"/>
      <c r="O42" s="90"/>
      <c r="P42" s="90"/>
      <c r="Q42" s="90"/>
      <c r="R42" s="90"/>
      <c r="S42" s="90"/>
      <c r="T42" s="90"/>
      <c r="U42" s="90"/>
      <c r="V42" s="745"/>
      <c r="W42" s="745">
        <v>40.299999999999997</v>
      </c>
      <c r="X42" s="745">
        <v>40.5</v>
      </c>
      <c r="Y42" s="745">
        <v>40.69</v>
      </c>
      <c r="Z42" s="745">
        <v>40.92</v>
      </c>
      <c r="AA42" s="745">
        <v>41.07</v>
      </c>
      <c r="AB42" s="745">
        <v>41.26</v>
      </c>
      <c r="AC42" s="745">
        <v>41.49</v>
      </c>
      <c r="AD42" s="745">
        <v>41.61</v>
      </c>
      <c r="AE42" s="745">
        <v>41.83</v>
      </c>
      <c r="AF42" s="745">
        <v>42.02</v>
      </c>
      <c r="AG42" s="745">
        <v>42.21</v>
      </c>
      <c r="AH42" s="745">
        <v>42.39</v>
      </c>
      <c r="AI42" s="745">
        <v>42.58</v>
      </c>
      <c r="AJ42" s="745">
        <v>42.84</v>
      </c>
      <c r="AK42" s="745">
        <v>43.09</v>
      </c>
      <c r="AL42" s="745">
        <v>43.37</v>
      </c>
      <c r="AM42" s="745">
        <v>43.63</v>
      </c>
      <c r="AN42" s="745">
        <v>43.83</v>
      </c>
      <c r="AO42" s="745">
        <v>44</v>
      </c>
      <c r="AP42" s="745">
        <v>44.13</v>
      </c>
      <c r="AQ42" s="745">
        <v>44.19</v>
      </c>
      <c r="AR42" s="745">
        <v>44.26</v>
      </c>
      <c r="AS42" s="745">
        <v>44.31</v>
      </c>
      <c r="AT42" s="745">
        <v>44.3</v>
      </c>
      <c r="AU42" s="745">
        <v>44.37</v>
      </c>
      <c r="AV42" s="745">
        <v>44.44</v>
      </c>
      <c r="AW42" s="745">
        <v>44.66</v>
      </c>
      <c r="AX42" s="745">
        <v>44.71</v>
      </c>
      <c r="AY42" s="745">
        <v>44.88</v>
      </c>
      <c r="AZ42" s="745">
        <v>45</v>
      </c>
      <c r="BA42" s="745">
        <v>45.13</v>
      </c>
      <c r="BB42" s="745">
        <v>45.26</v>
      </c>
      <c r="BC42" s="745">
        <v>45.37</v>
      </c>
      <c r="BD42" s="745">
        <v>45.49</v>
      </c>
      <c r="BE42" s="745">
        <v>45.62</v>
      </c>
      <c r="BF42" s="745">
        <v>45.75</v>
      </c>
      <c r="BG42" s="745">
        <v>45.91</v>
      </c>
      <c r="BH42" s="745">
        <v>46.08</v>
      </c>
      <c r="BI42" s="745">
        <v>46.22</v>
      </c>
      <c r="BJ42" s="745">
        <v>46.37</v>
      </c>
      <c r="BK42" s="745">
        <v>46.52</v>
      </c>
      <c r="BL42" s="745">
        <v>46.68</v>
      </c>
      <c r="BM42" s="745">
        <v>46.86</v>
      </c>
      <c r="BN42" s="745">
        <v>47.01</v>
      </c>
      <c r="BO42" s="745">
        <v>47.14</v>
      </c>
      <c r="BP42" s="745">
        <v>47.3</v>
      </c>
      <c r="BQ42" s="745">
        <v>47.44</v>
      </c>
      <c r="BR42" s="745">
        <v>47.57</v>
      </c>
      <c r="BS42" s="745">
        <v>47.73</v>
      </c>
      <c r="BT42" s="745">
        <v>47.86</v>
      </c>
      <c r="BU42" s="745">
        <v>47.99</v>
      </c>
      <c r="BV42" s="745">
        <v>48.12</v>
      </c>
      <c r="BW42" s="745">
        <v>48.27</v>
      </c>
      <c r="BX42" s="745">
        <v>48.4</v>
      </c>
      <c r="BY42" s="745">
        <v>48.53</v>
      </c>
      <c r="BZ42" s="745">
        <v>48.66</v>
      </c>
      <c r="CA42" s="745">
        <v>48.8</v>
      </c>
      <c r="CB42" s="745">
        <v>48.93</v>
      </c>
      <c r="CC42" s="745">
        <v>49.06</v>
      </c>
      <c r="CD42" s="745">
        <v>49.19</v>
      </c>
      <c r="CE42" s="745">
        <v>49.32</v>
      </c>
      <c r="CF42" s="745">
        <v>49.45</v>
      </c>
      <c r="CG42" s="745">
        <v>49.57</v>
      </c>
      <c r="CH42" s="745">
        <v>49.7</v>
      </c>
      <c r="CI42" s="745">
        <v>49.82</v>
      </c>
      <c r="CJ42" s="745">
        <v>49.95</v>
      </c>
      <c r="CK42" s="745">
        <v>50.07</v>
      </c>
      <c r="CL42" s="745">
        <v>50.2</v>
      </c>
      <c r="CM42" s="745">
        <v>50.32</v>
      </c>
      <c r="CN42" s="745">
        <v>50.44</v>
      </c>
      <c r="CO42" s="745">
        <v>50.56</v>
      </c>
      <c r="CP42" s="745">
        <v>50.68</v>
      </c>
      <c r="CQ42" s="745">
        <v>50.79</v>
      </c>
      <c r="CR42" s="745">
        <v>50.91</v>
      </c>
      <c r="CS42" s="745">
        <v>51.03</v>
      </c>
      <c r="CT42" s="745">
        <v>51.14</v>
      </c>
      <c r="CU42" s="745">
        <v>51.26</v>
      </c>
      <c r="CV42" s="745">
        <v>51.37</v>
      </c>
      <c r="CW42" s="745">
        <v>51.48</v>
      </c>
      <c r="CX42" s="745">
        <v>51.59</v>
      </c>
      <c r="CY42" s="745">
        <v>51.7</v>
      </c>
      <c r="CZ42" s="745">
        <v>51.81</v>
      </c>
      <c r="DA42" s="745">
        <v>51.92</v>
      </c>
      <c r="DB42" s="745">
        <v>52.03</v>
      </c>
      <c r="DC42" s="745">
        <v>52.14</v>
      </c>
      <c r="DD42" s="745">
        <v>52.24</v>
      </c>
      <c r="DE42" s="745">
        <v>52.35</v>
      </c>
      <c r="DF42" s="745">
        <v>52.45</v>
      </c>
      <c r="DG42" s="745">
        <v>52.56</v>
      </c>
      <c r="DH42" s="745">
        <v>52.66</v>
      </c>
      <c r="DI42" s="745">
        <v>52.76</v>
      </c>
      <c r="DJ42" s="745">
        <v>52.86</v>
      </c>
      <c r="DK42" s="745">
        <v>52.96</v>
      </c>
      <c r="DL42" s="745">
        <v>53.06</v>
      </c>
      <c r="DM42" s="745">
        <v>53.16</v>
      </c>
      <c r="DN42" s="745">
        <v>53.26</v>
      </c>
      <c r="DO42" s="745">
        <v>53.35</v>
      </c>
      <c r="DP42" s="745">
        <v>53.45</v>
      </c>
      <c r="DQ42" s="745">
        <v>53.55</v>
      </c>
      <c r="DR42" s="745">
        <v>53.64</v>
      </c>
    </row>
    <row r="43" spans="1:122">
      <c r="A43" s="918">
        <v>41</v>
      </c>
      <c r="B43" s="90"/>
      <c r="C43" s="90"/>
      <c r="D43" s="90"/>
      <c r="E43" s="90"/>
      <c r="F43" s="90"/>
      <c r="G43" s="90"/>
      <c r="H43" s="90"/>
      <c r="I43" s="90"/>
      <c r="J43" s="90"/>
      <c r="K43" s="90"/>
      <c r="L43" s="90"/>
      <c r="M43" s="90"/>
      <c r="N43" s="90"/>
      <c r="O43" s="90"/>
      <c r="P43" s="90"/>
      <c r="Q43" s="90"/>
      <c r="R43" s="90"/>
      <c r="S43" s="90"/>
      <c r="T43" s="90"/>
      <c r="U43" s="90"/>
      <c r="V43" s="745"/>
      <c r="W43" s="745">
        <v>39.380000000000003</v>
      </c>
      <c r="X43" s="745">
        <v>39.58</v>
      </c>
      <c r="Y43" s="745">
        <v>39.770000000000003</v>
      </c>
      <c r="Z43" s="745">
        <v>40</v>
      </c>
      <c r="AA43" s="745">
        <v>40.14</v>
      </c>
      <c r="AB43" s="745">
        <v>40.340000000000003</v>
      </c>
      <c r="AC43" s="745">
        <v>40.56</v>
      </c>
      <c r="AD43" s="745">
        <v>40.68</v>
      </c>
      <c r="AE43" s="745">
        <v>40.909999999999997</v>
      </c>
      <c r="AF43" s="745">
        <v>41.1</v>
      </c>
      <c r="AG43" s="745">
        <v>41.28</v>
      </c>
      <c r="AH43" s="745">
        <v>41.46</v>
      </c>
      <c r="AI43" s="745">
        <v>41.65</v>
      </c>
      <c r="AJ43" s="745">
        <v>41.91</v>
      </c>
      <c r="AK43" s="745">
        <v>42.17</v>
      </c>
      <c r="AL43" s="745">
        <v>42.44</v>
      </c>
      <c r="AM43" s="745">
        <v>42.69</v>
      </c>
      <c r="AN43" s="745">
        <v>42.9</v>
      </c>
      <c r="AO43" s="745">
        <v>43.06</v>
      </c>
      <c r="AP43" s="745">
        <v>43.19</v>
      </c>
      <c r="AQ43" s="745">
        <v>43.25</v>
      </c>
      <c r="AR43" s="745">
        <v>43.32</v>
      </c>
      <c r="AS43" s="745">
        <v>43.37</v>
      </c>
      <c r="AT43" s="745">
        <v>43.36</v>
      </c>
      <c r="AU43" s="745">
        <v>43.43</v>
      </c>
      <c r="AV43" s="745">
        <v>43.49</v>
      </c>
      <c r="AW43" s="745">
        <v>43.72</v>
      </c>
      <c r="AX43" s="745">
        <v>43.77</v>
      </c>
      <c r="AY43" s="745">
        <v>43.93</v>
      </c>
      <c r="AZ43" s="745">
        <v>44.06</v>
      </c>
      <c r="BA43" s="745">
        <v>44.18</v>
      </c>
      <c r="BB43" s="745">
        <v>44.31</v>
      </c>
      <c r="BC43" s="745">
        <v>44.43</v>
      </c>
      <c r="BD43" s="745">
        <v>44.54</v>
      </c>
      <c r="BE43" s="745">
        <v>44.67</v>
      </c>
      <c r="BF43" s="745">
        <v>44.81</v>
      </c>
      <c r="BG43" s="745">
        <v>44.96</v>
      </c>
      <c r="BH43" s="745">
        <v>45.13</v>
      </c>
      <c r="BI43" s="745">
        <v>45.26</v>
      </c>
      <c r="BJ43" s="745">
        <v>45.41</v>
      </c>
      <c r="BK43" s="745">
        <v>45.56</v>
      </c>
      <c r="BL43" s="745">
        <v>45.72</v>
      </c>
      <c r="BM43" s="745">
        <v>45.9</v>
      </c>
      <c r="BN43" s="745">
        <v>46.05</v>
      </c>
      <c r="BO43" s="745">
        <v>46.18</v>
      </c>
      <c r="BP43" s="745">
        <v>46.34</v>
      </c>
      <c r="BQ43" s="745">
        <v>46.47</v>
      </c>
      <c r="BR43" s="745">
        <v>46.6</v>
      </c>
      <c r="BS43" s="745">
        <v>46.76</v>
      </c>
      <c r="BT43" s="745">
        <v>46.89</v>
      </c>
      <c r="BU43" s="745">
        <v>47.03</v>
      </c>
      <c r="BV43" s="745">
        <v>47.16</v>
      </c>
      <c r="BW43" s="745">
        <v>47.3</v>
      </c>
      <c r="BX43" s="745">
        <v>47.43</v>
      </c>
      <c r="BY43" s="745">
        <v>47.56</v>
      </c>
      <c r="BZ43" s="745">
        <v>47.69</v>
      </c>
      <c r="CA43" s="745">
        <v>47.83</v>
      </c>
      <c r="CB43" s="745">
        <v>47.96</v>
      </c>
      <c r="CC43" s="745">
        <v>48.09</v>
      </c>
      <c r="CD43" s="745">
        <v>48.22</v>
      </c>
      <c r="CE43" s="745">
        <v>48.35</v>
      </c>
      <c r="CF43" s="745">
        <v>48.48</v>
      </c>
      <c r="CG43" s="745">
        <v>48.6</v>
      </c>
      <c r="CH43" s="745">
        <v>48.73</v>
      </c>
      <c r="CI43" s="745">
        <v>48.85</v>
      </c>
      <c r="CJ43" s="745">
        <v>48.98</v>
      </c>
      <c r="CK43" s="745">
        <v>49.1</v>
      </c>
      <c r="CL43" s="745">
        <v>49.22</v>
      </c>
      <c r="CM43" s="745">
        <v>49.34</v>
      </c>
      <c r="CN43" s="745">
        <v>49.46</v>
      </c>
      <c r="CO43" s="745">
        <v>49.58</v>
      </c>
      <c r="CP43" s="745">
        <v>49.7</v>
      </c>
      <c r="CQ43" s="745">
        <v>49.82</v>
      </c>
      <c r="CR43" s="745">
        <v>49.93</v>
      </c>
      <c r="CS43" s="745">
        <v>50.05</v>
      </c>
      <c r="CT43" s="745">
        <v>50.16</v>
      </c>
      <c r="CU43" s="745">
        <v>50.28</v>
      </c>
      <c r="CV43" s="745">
        <v>50.39</v>
      </c>
      <c r="CW43" s="745">
        <v>50.5</v>
      </c>
      <c r="CX43" s="745">
        <v>50.61</v>
      </c>
      <c r="CY43" s="745">
        <v>50.72</v>
      </c>
      <c r="CZ43" s="745">
        <v>50.83</v>
      </c>
      <c r="DA43" s="745">
        <v>50.94</v>
      </c>
      <c r="DB43" s="745">
        <v>51.05</v>
      </c>
      <c r="DC43" s="745">
        <v>51.16</v>
      </c>
      <c r="DD43" s="745">
        <v>51.26</v>
      </c>
      <c r="DE43" s="745">
        <v>51.37</v>
      </c>
      <c r="DF43" s="745">
        <v>51.47</v>
      </c>
      <c r="DG43" s="745">
        <v>51.57</v>
      </c>
      <c r="DH43" s="745">
        <v>51.68</v>
      </c>
      <c r="DI43" s="745">
        <v>51.78</v>
      </c>
      <c r="DJ43" s="745">
        <v>51.88</v>
      </c>
      <c r="DK43" s="745">
        <v>51.98</v>
      </c>
      <c r="DL43" s="745">
        <v>52.08</v>
      </c>
      <c r="DM43" s="745">
        <v>52.18</v>
      </c>
      <c r="DN43" s="745">
        <v>52.27</v>
      </c>
      <c r="DO43" s="745">
        <v>52.37</v>
      </c>
      <c r="DP43" s="745">
        <v>52.46</v>
      </c>
      <c r="DQ43" s="745">
        <v>52.56</v>
      </c>
      <c r="DR43" s="745">
        <v>52.65</v>
      </c>
    </row>
    <row r="44" spans="1:122">
      <c r="A44" s="918">
        <v>42</v>
      </c>
      <c r="B44" s="90"/>
      <c r="C44" s="90"/>
      <c r="D44" s="90"/>
      <c r="E44" s="90"/>
      <c r="F44" s="90"/>
      <c r="G44" s="90"/>
      <c r="H44" s="90"/>
      <c r="I44" s="90"/>
      <c r="J44" s="90"/>
      <c r="K44" s="90"/>
      <c r="L44" s="90"/>
      <c r="M44" s="90"/>
      <c r="N44" s="90"/>
      <c r="O44" s="90"/>
      <c r="P44" s="90"/>
      <c r="Q44" s="90"/>
      <c r="R44" s="90"/>
      <c r="S44" s="90"/>
      <c r="T44" s="90"/>
      <c r="U44" s="90"/>
      <c r="V44" s="745"/>
      <c r="W44" s="745">
        <v>38.46</v>
      </c>
      <c r="X44" s="745">
        <v>38.659999999999997</v>
      </c>
      <c r="Y44" s="745">
        <v>38.85</v>
      </c>
      <c r="Z44" s="745">
        <v>39.08</v>
      </c>
      <c r="AA44" s="745">
        <v>39.22</v>
      </c>
      <c r="AB44" s="745">
        <v>39.42</v>
      </c>
      <c r="AC44" s="745">
        <v>39.64</v>
      </c>
      <c r="AD44" s="745">
        <v>39.76</v>
      </c>
      <c r="AE44" s="745">
        <v>39.99</v>
      </c>
      <c r="AF44" s="745">
        <v>40.17</v>
      </c>
      <c r="AG44" s="745">
        <v>40.35</v>
      </c>
      <c r="AH44" s="745">
        <v>40.53</v>
      </c>
      <c r="AI44" s="745">
        <v>40.729999999999997</v>
      </c>
      <c r="AJ44" s="745">
        <v>40.99</v>
      </c>
      <c r="AK44" s="745">
        <v>41.24</v>
      </c>
      <c r="AL44" s="745">
        <v>41.51</v>
      </c>
      <c r="AM44" s="745">
        <v>41.76</v>
      </c>
      <c r="AN44" s="745">
        <v>41.97</v>
      </c>
      <c r="AO44" s="745">
        <v>42.12</v>
      </c>
      <c r="AP44" s="745">
        <v>42.25</v>
      </c>
      <c r="AQ44" s="745">
        <v>42.31</v>
      </c>
      <c r="AR44" s="745">
        <v>42.38</v>
      </c>
      <c r="AS44" s="745">
        <v>42.44</v>
      </c>
      <c r="AT44" s="745">
        <v>42.42</v>
      </c>
      <c r="AU44" s="745">
        <v>42.49</v>
      </c>
      <c r="AV44" s="745">
        <v>42.55</v>
      </c>
      <c r="AW44" s="745">
        <v>42.78</v>
      </c>
      <c r="AX44" s="745">
        <v>42.83</v>
      </c>
      <c r="AY44" s="745">
        <v>42.99</v>
      </c>
      <c r="AZ44" s="745">
        <v>43.12</v>
      </c>
      <c r="BA44" s="745">
        <v>43.24</v>
      </c>
      <c r="BB44" s="745">
        <v>43.37</v>
      </c>
      <c r="BC44" s="745">
        <v>43.49</v>
      </c>
      <c r="BD44" s="745">
        <v>43.6</v>
      </c>
      <c r="BE44" s="745">
        <v>43.73</v>
      </c>
      <c r="BF44" s="745">
        <v>43.86</v>
      </c>
      <c r="BG44" s="745">
        <v>44.01</v>
      </c>
      <c r="BH44" s="745">
        <v>44.18</v>
      </c>
      <c r="BI44" s="745">
        <v>44.31</v>
      </c>
      <c r="BJ44" s="745">
        <v>44.46</v>
      </c>
      <c r="BK44" s="745">
        <v>44.61</v>
      </c>
      <c r="BL44" s="745">
        <v>44.77</v>
      </c>
      <c r="BM44" s="745">
        <v>44.94</v>
      </c>
      <c r="BN44" s="745">
        <v>45.09</v>
      </c>
      <c r="BO44" s="745">
        <v>45.22</v>
      </c>
      <c r="BP44" s="745">
        <v>45.38</v>
      </c>
      <c r="BQ44" s="745">
        <v>45.51</v>
      </c>
      <c r="BR44" s="745">
        <v>45.64</v>
      </c>
      <c r="BS44" s="745">
        <v>45.8</v>
      </c>
      <c r="BT44" s="745">
        <v>45.93</v>
      </c>
      <c r="BU44" s="745">
        <v>46.06</v>
      </c>
      <c r="BV44" s="745">
        <v>46.19</v>
      </c>
      <c r="BW44" s="745">
        <v>46.34</v>
      </c>
      <c r="BX44" s="745">
        <v>46.46</v>
      </c>
      <c r="BY44" s="745">
        <v>46.6</v>
      </c>
      <c r="BZ44" s="745">
        <v>46.73</v>
      </c>
      <c r="CA44" s="745">
        <v>46.86</v>
      </c>
      <c r="CB44" s="745">
        <v>46.99</v>
      </c>
      <c r="CC44" s="745">
        <v>47.12</v>
      </c>
      <c r="CD44" s="745">
        <v>47.25</v>
      </c>
      <c r="CE44" s="745">
        <v>47.38</v>
      </c>
      <c r="CF44" s="745">
        <v>47.51</v>
      </c>
      <c r="CG44" s="745">
        <v>47.63</v>
      </c>
      <c r="CH44" s="745">
        <v>47.76</v>
      </c>
      <c r="CI44" s="745">
        <v>47.88</v>
      </c>
      <c r="CJ44" s="745">
        <v>48</v>
      </c>
      <c r="CK44" s="745">
        <v>48.13</v>
      </c>
      <c r="CL44" s="745">
        <v>48.25</v>
      </c>
      <c r="CM44" s="745">
        <v>48.37</v>
      </c>
      <c r="CN44" s="745">
        <v>48.49</v>
      </c>
      <c r="CO44" s="745">
        <v>48.61</v>
      </c>
      <c r="CP44" s="745">
        <v>48.73</v>
      </c>
      <c r="CQ44" s="745">
        <v>48.84</v>
      </c>
      <c r="CR44" s="745">
        <v>48.96</v>
      </c>
      <c r="CS44" s="745">
        <v>49.07</v>
      </c>
      <c r="CT44" s="745">
        <v>49.19</v>
      </c>
      <c r="CU44" s="745">
        <v>49.3</v>
      </c>
      <c r="CV44" s="745">
        <v>49.41</v>
      </c>
      <c r="CW44" s="745">
        <v>49.53</v>
      </c>
      <c r="CX44" s="745">
        <v>49.64</v>
      </c>
      <c r="CY44" s="745">
        <v>49.75</v>
      </c>
      <c r="CZ44" s="745">
        <v>49.85</v>
      </c>
      <c r="DA44" s="745">
        <v>49.96</v>
      </c>
      <c r="DB44" s="745">
        <v>50.07</v>
      </c>
      <c r="DC44" s="745">
        <v>50.18</v>
      </c>
      <c r="DD44" s="745">
        <v>50.28</v>
      </c>
      <c r="DE44" s="745">
        <v>50.39</v>
      </c>
      <c r="DF44" s="745">
        <v>50.49</v>
      </c>
      <c r="DG44" s="745">
        <v>50.59</v>
      </c>
      <c r="DH44" s="745">
        <v>50.69</v>
      </c>
      <c r="DI44" s="745">
        <v>50.8</v>
      </c>
      <c r="DJ44" s="745">
        <v>50.9</v>
      </c>
      <c r="DK44" s="745">
        <v>50.99</v>
      </c>
      <c r="DL44" s="745">
        <v>51.09</v>
      </c>
      <c r="DM44" s="745">
        <v>51.19</v>
      </c>
      <c r="DN44" s="745">
        <v>51.29</v>
      </c>
      <c r="DO44" s="745">
        <v>51.38</v>
      </c>
      <c r="DP44" s="745">
        <v>51.48</v>
      </c>
      <c r="DQ44" s="745">
        <v>51.57</v>
      </c>
      <c r="DR44" s="745">
        <v>51.67</v>
      </c>
    </row>
    <row r="45" spans="1:122">
      <c r="A45" s="918">
        <v>43</v>
      </c>
      <c r="B45" s="90"/>
      <c r="C45" s="90"/>
      <c r="D45" s="90"/>
      <c r="E45" s="90"/>
      <c r="F45" s="90"/>
      <c r="G45" s="90"/>
      <c r="H45" s="90"/>
      <c r="I45" s="90"/>
      <c r="J45" s="90"/>
      <c r="K45" s="90"/>
      <c r="L45" s="90"/>
      <c r="M45" s="90"/>
      <c r="N45" s="90"/>
      <c r="O45" s="90"/>
      <c r="P45" s="90"/>
      <c r="Q45" s="90"/>
      <c r="R45" s="90"/>
      <c r="S45" s="90"/>
      <c r="T45" s="90"/>
      <c r="U45" s="90"/>
      <c r="V45" s="745"/>
      <c r="W45" s="745">
        <v>37.549999999999997</v>
      </c>
      <c r="X45" s="745">
        <v>37.75</v>
      </c>
      <c r="Y45" s="745">
        <v>37.94</v>
      </c>
      <c r="Z45" s="745">
        <v>38.17</v>
      </c>
      <c r="AA45" s="745">
        <v>38.31</v>
      </c>
      <c r="AB45" s="745">
        <v>38.5</v>
      </c>
      <c r="AC45" s="745">
        <v>38.729999999999997</v>
      </c>
      <c r="AD45" s="745">
        <v>38.85</v>
      </c>
      <c r="AE45" s="745">
        <v>39.08</v>
      </c>
      <c r="AF45" s="745">
        <v>39.26</v>
      </c>
      <c r="AG45" s="745">
        <v>39.44</v>
      </c>
      <c r="AH45" s="745">
        <v>39.61</v>
      </c>
      <c r="AI45" s="745">
        <v>39.799999999999997</v>
      </c>
      <c r="AJ45" s="745">
        <v>40.07</v>
      </c>
      <c r="AK45" s="745">
        <v>40.31</v>
      </c>
      <c r="AL45" s="745">
        <v>40.58</v>
      </c>
      <c r="AM45" s="745">
        <v>40.840000000000003</v>
      </c>
      <c r="AN45" s="745">
        <v>41.03</v>
      </c>
      <c r="AO45" s="745">
        <v>41.2</v>
      </c>
      <c r="AP45" s="745">
        <v>41.32</v>
      </c>
      <c r="AQ45" s="745">
        <v>41.38</v>
      </c>
      <c r="AR45" s="745">
        <v>41.45</v>
      </c>
      <c r="AS45" s="745">
        <v>41.5</v>
      </c>
      <c r="AT45" s="745">
        <v>41.49</v>
      </c>
      <c r="AU45" s="745">
        <v>41.55</v>
      </c>
      <c r="AV45" s="745">
        <v>41.62</v>
      </c>
      <c r="AW45" s="745">
        <v>41.84</v>
      </c>
      <c r="AX45" s="745">
        <v>41.9</v>
      </c>
      <c r="AY45" s="745">
        <v>42.06</v>
      </c>
      <c r="AZ45" s="745">
        <v>42.18</v>
      </c>
      <c r="BA45" s="745">
        <v>42.31</v>
      </c>
      <c r="BB45" s="745">
        <v>42.43</v>
      </c>
      <c r="BC45" s="745">
        <v>42.55</v>
      </c>
      <c r="BD45" s="745">
        <v>42.66</v>
      </c>
      <c r="BE45" s="745">
        <v>42.78</v>
      </c>
      <c r="BF45" s="745">
        <v>42.92</v>
      </c>
      <c r="BG45" s="745">
        <v>43.07</v>
      </c>
      <c r="BH45" s="745">
        <v>43.24</v>
      </c>
      <c r="BI45" s="745">
        <v>43.36</v>
      </c>
      <c r="BJ45" s="745">
        <v>43.51</v>
      </c>
      <c r="BK45" s="745">
        <v>43.66</v>
      </c>
      <c r="BL45" s="745">
        <v>43.82</v>
      </c>
      <c r="BM45" s="745">
        <v>43.98</v>
      </c>
      <c r="BN45" s="745">
        <v>44.13</v>
      </c>
      <c r="BO45" s="745">
        <v>44.27</v>
      </c>
      <c r="BP45" s="745">
        <v>44.42</v>
      </c>
      <c r="BQ45" s="745">
        <v>44.55</v>
      </c>
      <c r="BR45" s="745">
        <v>44.68</v>
      </c>
      <c r="BS45" s="745">
        <v>44.84</v>
      </c>
      <c r="BT45" s="745">
        <v>44.97</v>
      </c>
      <c r="BU45" s="745">
        <v>45.1</v>
      </c>
      <c r="BV45" s="745">
        <v>45.23</v>
      </c>
      <c r="BW45" s="745">
        <v>45.38</v>
      </c>
      <c r="BX45" s="745">
        <v>45.5</v>
      </c>
      <c r="BY45" s="745">
        <v>45.63</v>
      </c>
      <c r="BZ45" s="745">
        <v>45.77</v>
      </c>
      <c r="CA45" s="745">
        <v>45.9</v>
      </c>
      <c r="CB45" s="745">
        <v>46.03</v>
      </c>
      <c r="CC45" s="745">
        <v>46.16</v>
      </c>
      <c r="CD45" s="745">
        <v>46.28</v>
      </c>
      <c r="CE45" s="745">
        <v>46.41</v>
      </c>
      <c r="CF45" s="745">
        <v>46.54</v>
      </c>
      <c r="CG45" s="745">
        <v>46.66</v>
      </c>
      <c r="CH45" s="745">
        <v>46.79</v>
      </c>
      <c r="CI45" s="745">
        <v>46.91</v>
      </c>
      <c r="CJ45" s="745">
        <v>47.03</v>
      </c>
      <c r="CK45" s="745">
        <v>47.16</v>
      </c>
      <c r="CL45" s="745">
        <v>47.28</v>
      </c>
      <c r="CM45" s="745">
        <v>47.4</v>
      </c>
      <c r="CN45" s="745">
        <v>47.52</v>
      </c>
      <c r="CO45" s="745">
        <v>47.64</v>
      </c>
      <c r="CP45" s="745">
        <v>47.75</v>
      </c>
      <c r="CQ45" s="745">
        <v>47.87</v>
      </c>
      <c r="CR45" s="745">
        <v>47.98</v>
      </c>
      <c r="CS45" s="745">
        <v>48.1</v>
      </c>
      <c r="CT45" s="745">
        <v>48.21</v>
      </c>
      <c r="CU45" s="745">
        <v>48.33</v>
      </c>
      <c r="CV45" s="745">
        <v>48.44</v>
      </c>
      <c r="CW45" s="745">
        <v>48.55</v>
      </c>
      <c r="CX45" s="745">
        <v>48.66</v>
      </c>
      <c r="CY45" s="745">
        <v>48.77</v>
      </c>
      <c r="CZ45" s="745">
        <v>48.88</v>
      </c>
      <c r="DA45" s="745">
        <v>48.98</v>
      </c>
      <c r="DB45" s="745">
        <v>49.09</v>
      </c>
      <c r="DC45" s="745">
        <v>49.2</v>
      </c>
      <c r="DD45" s="745">
        <v>49.3</v>
      </c>
      <c r="DE45" s="745">
        <v>49.41</v>
      </c>
      <c r="DF45" s="745">
        <v>49.51</v>
      </c>
      <c r="DG45" s="745">
        <v>49.61</v>
      </c>
      <c r="DH45" s="745">
        <v>49.71</v>
      </c>
      <c r="DI45" s="745">
        <v>49.81</v>
      </c>
      <c r="DJ45" s="745">
        <v>49.91</v>
      </c>
      <c r="DK45" s="745">
        <v>50.01</v>
      </c>
      <c r="DL45" s="745">
        <v>50.11</v>
      </c>
      <c r="DM45" s="745">
        <v>50.21</v>
      </c>
      <c r="DN45" s="745">
        <v>50.31</v>
      </c>
      <c r="DO45" s="745">
        <v>50.4</v>
      </c>
      <c r="DP45" s="745">
        <v>50.5</v>
      </c>
      <c r="DQ45" s="745">
        <v>50.59</v>
      </c>
      <c r="DR45" s="745">
        <v>50.68</v>
      </c>
    </row>
    <row r="46" spans="1:122">
      <c r="A46" s="918">
        <v>44</v>
      </c>
      <c r="B46" s="90"/>
      <c r="C46" s="90"/>
      <c r="D46" s="90"/>
      <c r="E46" s="90"/>
      <c r="F46" s="90"/>
      <c r="G46" s="90"/>
      <c r="H46" s="90"/>
      <c r="I46" s="90"/>
      <c r="J46" s="90"/>
      <c r="K46" s="90"/>
      <c r="L46" s="90"/>
      <c r="M46" s="90"/>
      <c r="N46" s="90"/>
      <c r="O46" s="90"/>
      <c r="P46" s="90"/>
      <c r="Q46" s="90"/>
      <c r="R46" s="90"/>
      <c r="S46" s="90"/>
      <c r="T46" s="90"/>
      <c r="U46" s="90"/>
      <c r="V46" s="745"/>
      <c r="W46" s="745">
        <v>36.64</v>
      </c>
      <c r="X46" s="745">
        <v>36.840000000000003</v>
      </c>
      <c r="Y46" s="745">
        <v>37.03</v>
      </c>
      <c r="Z46" s="745">
        <v>37.26</v>
      </c>
      <c r="AA46" s="745">
        <v>37.4</v>
      </c>
      <c r="AB46" s="745">
        <v>37.6</v>
      </c>
      <c r="AC46" s="745">
        <v>37.83</v>
      </c>
      <c r="AD46" s="745">
        <v>37.93</v>
      </c>
      <c r="AE46" s="745">
        <v>38.17</v>
      </c>
      <c r="AF46" s="745">
        <v>38.35</v>
      </c>
      <c r="AG46" s="745">
        <v>38.53</v>
      </c>
      <c r="AH46" s="745">
        <v>38.700000000000003</v>
      </c>
      <c r="AI46" s="745">
        <v>38.89</v>
      </c>
      <c r="AJ46" s="745">
        <v>39.15</v>
      </c>
      <c r="AK46" s="745">
        <v>39.4</v>
      </c>
      <c r="AL46" s="745">
        <v>39.659999999999997</v>
      </c>
      <c r="AM46" s="745">
        <v>39.909999999999997</v>
      </c>
      <c r="AN46" s="745">
        <v>40.11</v>
      </c>
      <c r="AO46" s="745">
        <v>40.270000000000003</v>
      </c>
      <c r="AP46" s="745">
        <v>40.39</v>
      </c>
      <c r="AQ46" s="745">
        <v>40.450000000000003</v>
      </c>
      <c r="AR46" s="745">
        <v>40.51</v>
      </c>
      <c r="AS46" s="745">
        <v>40.57</v>
      </c>
      <c r="AT46" s="745">
        <v>40.56</v>
      </c>
      <c r="AU46" s="745">
        <v>40.619999999999997</v>
      </c>
      <c r="AV46" s="745">
        <v>40.68</v>
      </c>
      <c r="AW46" s="745">
        <v>40.909999999999997</v>
      </c>
      <c r="AX46" s="745">
        <v>40.97</v>
      </c>
      <c r="AY46" s="745">
        <v>41.13</v>
      </c>
      <c r="AZ46" s="745">
        <v>41.25</v>
      </c>
      <c r="BA46" s="745">
        <v>41.37</v>
      </c>
      <c r="BB46" s="745">
        <v>41.49</v>
      </c>
      <c r="BC46" s="745">
        <v>41.62</v>
      </c>
      <c r="BD46" s="745">
        <v>41.73</v>
      </c>
      <c r="BE46" s="745">
        <v>41.85</v>
      </c>
      <c r="BF46" s="745">
        <v>41.98</v>
      </c>
      <c r="BG46" s="745">
        <v>42.13</v>
      </c>
      <c r="BH46" s="745">
        <v>42.29</v>
      </c>
      <c r="BI46" s="745">
        <v>42.42</v>
      </c>
      <c r="BJ46" s="745">
        <v>42.57</v>
      </c>
      <c r="BK46" s="745">
        <v>42.71</v>
      </c>
      <c r="BL46" s="745">
        <v>42.87</v>
      </c>
      <c r="BM46" s="745">
        <v>43.03</v>
      </c>
      <c r="BN46" s="745">
        <v>43.18</v>
      </c>
      <c r="BO46" s="745">
        <v>43.31</v>
      </c>
      <c r="BP46" s="745">
        <v>43.46</v>
      </c>
      <c r="BQ46" s="745">
        <v>43.59</v>
      </c>
      <c r="BR46" s="745">
        <v>43.73</v>
      </c>
      <c r="BS46" s="745">
        <v>43.88</v>
      </c>
      <c r="BT46" s="745">
        <v>44.01</v>
      </c>
      <c r="BU46" s="745">
        <v>44.14</v>
      </c>
      <c r="BV46" s="745">
        <v>44.27</v>
      </c>
      <c r="BW46" s="745">
        <v>44.41</v>
      </c>
      <c r="BX46" s="745">
        <v>44.54</v>
      </c>
      <c r="BY46" s="745">
        <v>44.67</v>
      </c>
      <c r="BZ46" s="745">
        <v>44.81</v>
      </c>
      <c r="CA46" s="745">
        <v>44.94</v>
      </c>
      <c r="CB46" s="745">
        <v>45.06</v>
      </c>
      <c r="CC46" s="745">
        <v>45.19</v>
      </c>
      <c r="CD46" s="745">
        <v>45.32</v>
      </c>
      <c r="CE46" s="745">
        <v>45.45</v>
      </c>
      <c r="CF46" s="745">
        <v>45.57</v>
      </c>
      <c r="CG46" s="745">
        <v>45.7</v>
      </c>
      <c r="CH46" s="745">
        <v>45.82</v>
      </c>
      <c r="CI46" s="745">
        <v>45.94</v>
      </c>
      <c r="CJ46" s="745">
        <v>46.07</v>
      </c>
      <c r="CK46" s="745">
        <v>46.19</v>
      </c>
      <c r="CL46" s="745">
        <v>46.31</v>
      </c>
      <c r="CM46" s="745">
        <v>46.43</v>
      </c>
      <c r="CN46" s="745">
        <v>46.55</v>
      </c>
      <c r="CO46" s="745">
        <v>46.66</v>
      </c>
      <c r="CP46" s="745">
        <v>46.78</v>
      </c>
      <c r="CQ46" s="745">
        <v>46.9</v>
      </c>
      <c r="CR46" s="745">
        <v>47.01</v>
      </c>
      <c r="CS46" s="745">
        <v>47.13</v>
      </c>
      <c r="CT46" s="745">
        <v>47.24</v>
      </c>
      <c r="CU46" s="745">
        <v>47.35</v>
      </c>
      <c r="CV46" s="745">
        <v>47.46</v>
      </c>
      <c r="CW46" s="745">
        <v>47.57</v>
      </c>
      <c r="CX46" s="745">
        <v>47.68</v>
      </c>
      <c r="CY46" s="745">
        <v>47.79</v>
      </c>
      <c r="CZ46" s="745">
        <v>47.9</v>
      </c>
      <c r="DA46" s="745">
        <v>48.01</v>
      </c>
      <c r="DB46" s="745">
        <v>48.11</v>
      </c>
      <c r="DC46" s="745">
        <v>48.22</v>
      </c>
      <c r="DD46" s="745">
        <v>48.32</v>
      </c>
      <c r="DE46" s="745">
        <v>48.43</v>
      </c>
      <c r="DF46" s="745">
        <v>48.53</v>
      </c>
      <c r="DG46" s="745">
        <v>48.63</v>
      </c>
      <c r="DH46" s="745">
        <v>48.73</v>
      </c>
      <c r="DI46" s="745">
        <v>48.83</v>
      </c>
      <c r="DJ46" s="745">
        <v>48.93</v>
      </c>
      <c r="DK46" s="745">
        <v>49.03</v>
      </c>
      <c r="DL46" s="745">
        <v>49.13</v>
      </c>
      <c r="DM46" s="745">
        <v>49.23</v>
      </c>
      <c r="DN46" s="745">
        <v>49.32</v>
      </c>
      <c r="DO46" s="745">
        <v>49.42</v>
      </c>
      <c r="DP46" s="745">
        <v>49.51</v>
      </c>
      <c r="DQ46" s="745">
        <v>49.61</v>
      </c>
      <c r="DR46" s="745">
        <v>49.7</v>
      </c>
    </row>
    <row r="47" spans="1:122">
      <c r="A47" s="918">
        <v>45</v>
      </c>
      <c r="B47" s="90"/>
      <c r="C47" s="90"/>
      <c r="D47" s="90"/>
      <c r="E47" s="90"/>
      <c r="F47" s="90"/>
      <c r="G47" s="90"/>
      <c r="H47" s="90"/>
      <c r="I47" s="90"/>
      <c r="J47" s="90"/>
      <c r="K47" s="90"/>
      <c r="L47" s="90"/>
      <c r="M47" s="90"/>
      <c r="N47" s="90"/>
      <c r="O47" s="90"/>
      <c r="P47" s="90"/>
      <c r="Q47" s="90"/>
      <c r="R47" s="90"/>
      <c r="S47" s="90"/>
      <c r="T47" s="90"/>
      <c r="U47" s="90"/>
      <c r="V47" s="745"/>
      <c r="W47" s="745">
        <v>35.74</v>
      </c>
      <c r="X47" s="745">
        <v>35.94</v>
      </c>
      <c r="Y47" s="745">
        <v>36.130000000000003</v>
      </c>
      <c r="Z47" s="745">
        <v>36.36</v>
      </c>
      <c r="AA47" s="745">
        <v>36.5</v>
      </c>
      <c r="AB47" s="745">
        <v>36.69</v>
      </c>
      <c r="AC47" s="745">
        <v>36.92</v>
      </c>
      <c r="AD47" s="745">
        <v>37.03</v>
      </c>
      <c r="AE47" s="745">
        <v>37.270000000000003</v>
      </c>
      <c r="AF47" s="745">
        <v>37.44</v>
      </c>
      <c r="AG47" s="745">
        <v>37.619999999999997</v>
      </c>
      <c r="AH47" s="745">
        <v>37.79</v>
      </c>
      <c r="AI47" s="745">
        <v>37.979999999999997</v>
      </c>
      <c r="AJ47" s="745">
        <v>38.24</v>
      </c>
      <c r="AK47" s="745">
        <v>38.479999999999997</v>
      </c>
      <c r="AL47" s="745">
        <v>38.74</v>
      </c>
      <c r="AM47" s="745">
        <v>38.99</v>
      </c>
      <c r="AN47" s="745">
        <v>39.19</v>
      </c>
      <c r="AO47" s="745">
        <v>39.35</v>
      </c>
      <c r="AP47" s="745">
        <v>39.47</v>
      </c>
      <c r="AQ47" s="745">
        <v>39.53</v>
      </c>
      <c r="AR47" s="745">
        <v>39.590000000000003</v>
      </c>
      <c r="AS47" s="745">
        <v>39.65</v>
      </c>
      <c r="AT47" s="745">
        <v>39.630000000000003</v>
      </c>
      <c r="AU47" s="745">
        <v>39.69</v>
      </c>
      <c r="AV47" s="745">
        <v>39.76</v>
      </c>
      <c r="AW47" s="745">
        <v>39.979999999999997</v>
      </c>
      <c r="AX47" s="745">
        <v>40.04</v>
      </c>
      <c r="AY47" s="745">
        <v>40.200000000000003</v>
      </c>
      <c r="AZ47" s="745">
        <v>40.33</v>
      </c>
      <c r="BA47" s="745">
        <v>40.450000000000003</v>
      </c>
      <c r="BB47" s="745">
        <v>40.56</v>
      </c>
      <c r="BC47" s="745">
        <v>40.69</v>
      </c>
      <c r="BD47" s="745">
        <v>40.79</v>
      </c>
      <c r="BE47" s="745">
        <v>40.909999999999997</v>
      </c>
      <c r="BF47" s="745">
        <v>41.04</v>
      </c>
      <c r="BG47" s="745">
        <v>41.19</v>
      </c>
      <c r="BH47" s="745">
        <v>41.36</v>
      </c>
      <c r="BI47" s="745">
        <v>41.48</v>
      </c>
      <c r="BJ47" s="745">
        <v>41.62</v>
      </c>
      <c r="BK47" s="745">
        <v>41.76</v>
      </c>
      <c r="BL47" s="745">
        <v>41.92</v>
      </c>
      <c r="BM47" s="745">
        <v>42.08</v>
      </c>
      <c r="BN47" s="745">
        <v>42.23</v>
      </c>
      <c r="BO47" s="745">
        <v>42.36</v>
      </c>
      <c r="BP47" s="745">
        <v>42.51</v>
      </c>
      <c r="BQ47" s="745">
        <v>42.64</v>
      </c>
      <c r="BR47" s="745">
        <v>42.77</v>
      </c>
      <c r="BS47" s="745">
        <v>42.93</v>
      </c>
      <c r="BT47" s="745">
        <v>43.06</v>
      </c>
      <c r="BU47" s="745">
        <v>43.19</v>
      </c>
      <c r="BV47" s="745">
        <v>43.32</v>
      </c>
      <c r="BW47" s="745">
        <v>43.46</v>
      </c>
      <c r="BX47" s="745">
        <v>43.58</v>
      </c>
      <c r="BY47" s="745">
        <v>43.72</v>
      </c>
      <c r="BZ47" s="745">
        <v>43.85</v>
      </c>
      <c r="CA47" s="745">
        <v>43.98</v>
      </c>
      <c r="CB47" s="745">
        <v>44.1</v>
      </c>
      <c r="CC47" s="745">
        <v>44.23</v>
      </c>
      <c r="CD47" s="745">
        <v>44.36</v>
      </c>
      <c r="CE47" s="745">
        <v>44.48</v>
      </c>
      <c r="CF47" s="745">
        <v>44.61</v>
      </c>
      <c r="CG47" s="745">
        <v>44.73</v>
      </c>
      <c r="CH47" s="745">
        <v>44.86</v>
      </c>
      <c r="CI47" s="745">
        <v>44.98</v>
      </c>
      <c r="CJ47" s="745">
        <v>45.1</v>
      </c>
      <c r="CK47" s="745">
        <v>45.22</v>
      </c>
      <c r="CL47" s="745">
        <v>45.34</v>
      </c>
      <c r="CM47" s="745">
        <v>45.46</v>
      </c>
      <c r="CN47" s="745">
        <v>45.58</v>
      </c>
      <c r="CO47" s="745">
        <v>45.7</v>
      </c>
      <c r="CP47" s="745">
        <v>45.81</v>
      </c>
      <c r="CQ47" s="745">
        <v>45.93</v>
      </c>
      <c r="CR47" s="745">
        <v>46.04</v>
      </c>
      <c r="CS47" s="745">
        <v>46.16</v>
      </c>
      <c r="CT47" s="745">
        <v>46.27</v>
      </c>
      <c r="CU47" s="745">
        <v>46.38</v>
      </c>
      <c r="CV47" s="745">
        <v>46.49</v>
      </c>
      <c r="CW47" s="745">
        <v>46.6</v>
      </c>
      <c r="CX47" s="745">
        <v>46.71</v>
      </c>
      <c r="CY47" s="745">
        <v>46.82</v>
      </c>
      <c r="CZ47" s="745">
        <v>46.93</v>
      </c>
      <c r="DA47" s="745">
        <v>47.03</v>
      </c>
      <c r="DB47" s="745">
        <v>47.14</v>
      </c>
      <c r="DC47" s="745">
        <v>47.24</v>
      </c>
      <c r="DD47" s="745">
        <v>47.35</v>
      </c>
      <c r="DE47" s="745">
        <v>47.45</v>
      </c>
      <c r="DF47" s="745">
        <v>47.55</v>
      </c>
      <c r="DG47" s="745">
        <v>47.65</v>
      </c>
      <c r="DH47" s="745">
        <v>47.76</v>
      </c>
      <c r="DI47" s="745">
        <v>47.86</v>
      </c>
      <c r="DJ47" s="745">
        <v>47.95</v>
      </c>
      <c r="DK47" s="745">
        <v>48.05</v>
      </c>
      <c r="DL47" s="745">
        <v>48.15</v>
      </c>
      <c r="DM47" s="745">
        <v>48.25</v>
      </c>
      <c r="DN47" s="745">
        <v>48.34</v>
      </c>
      <c r="DO47" s="745">
        <v>48.44</v>
      </c>
      <c r="DP47" s="745">
        <v>48.53</v>
      </c>
      <c r="DQ47" s="745">
        <v>48.63</v>
      </c>
      <c r="DR47" s="745">
        <v>48.72</v>
      </c>
    </row>
    <row r="48" spans="1:122">
      <c r="A48" s="918">
        <v>46</v>
      </c>
      <c r="B48" s="90"/>
      <c r="C48" s="90"/>
      <c r="D48" s="90"/>
      <c r="E48" s="90"/>
      <c r="F48" s="90"/>
      <c r="G48" s="90"/>
      <c r="H48" s="90"/>
      <c r="I48" s="90"/>
      <c r="J48" s="90"/>
      <c r="K48" s="90"/>
      <c r="L48" s="90"/>
      <c r="M48" s="90"/>
      <c r="N48" s="90"/>
      <c r="O48" s="90"/>
      <c r="P48" s="90"/>
      <c r="Q48" s="90"/>
      <c r="R48" s="90"/>
      <c r="S48" s="90"/>
      <c r="T48" s="90"/>
      <c r="U48" s="90"/>
      <c r="V48" s="745"/>
      <c r="W48" s="745">
        <v>34.840000000000003</v>
      </c>
      <c r="X48" s="745">
        <v>35.04</v>
      </c>
      <c r="Y48" s="745">
        <v>35.229999999999997</v>
      </c>
      <c r="Z48" s="745">
        <v>35.46</v>
      </c>
      <c r="AA48" s="745">
        <v>35.6</v>
      </c>
      <c r="AB48" s="745">
        <v>35.79</v>
      </c>
      <c r="AC48" s="745">
        <v>36.020000000000003</v>
      </c>
      <c r="AD48" s="745">
        <v>36.130000000000003</v>
      </c>
      <c r="AE48" s="745">
        <v>36.36</v>
      </c>
      <c r="AF48" s="745">
        <v>36.53</v>
      </c>
      <c r="AG48" s="745">
        <v>36.71</v>
      </c>
      <c r="AH48" s="745">
        <v>36.89</v>
      </c>
      <c r="AI48" s="745">
        <v>37.08</v>
      </c>
      <c r="AJ48" s="745">
        <v>37.33</v>
      </c>
      <c r="AK48" s="745">
        <v>37.57</v>
      </c>
      <c r="AL48" s="745">
        <v>37.83</v>
      </c>
      <c r="AM48" s="745">
        <v>38.08</v>
      </c>
      <c r="AN48" s="745">
        <v>38.270000000000003</v>
      </c>
      <c r="AO48" s="745">
        <v>38.43</v>
      </c>
      <c r="AP48" s="745">
        <v>38.54</v>
      </c>
      <c r="AQ48" s="745">
        <v>38.61</v>
      </c>
      <c r="AR48" s="745">
        <v>38.67</v>
      </c>
      <c r="AS48" s="745">
        <v>38.72</v>
      </c>
      <c r="AT48" s="745">
        <v>38.71</v>
      </c>
      <c r="AU48" s="745">
        <v>38.78</v>
      </c>
      <c r="AV48" s="745">
        <v>38.840000000000003</v>
      </c>
      <c r="AW48" s="745">
        <v>39.06</v>
      </c>
      <c r="AX48" s="745">
        <v>39.119999999999997</v>
      </c>
      <c r="AY48" s="745">
        <v>39.28</v>
      </c>
      <c r="AZ48" s="745">
        <v>39.4</v>
      </c>
      <c r="BA48" s="745">
        <v>39.520000000000003</v>
      </c>
      <c r="BB48" s="745">
        <v>39.630000000000003</v>
      </c>
      <c r="BC48" s="745">
        <v>39.76</v>
      </c>
      <c r="BD48" s="745">
        <v>39.86</v>
      </c>
      <c r="BE48" s="745">
        <v>39.979999999999997</v>
      </c>
      <c r="BF48" s="745">
        <v>40.11</v>
      </c>
      <c r="BG48" s="745">
        <v>40.26</v>
      </c>
      <c r="BH48" s="745">
        <v>40.42</v>
      </c>
      <c r="BI48" s="745">
        <v>40.54</v>
      </c>
      <c r="BJ48" s="745">
        <v>40.68</v>
      </c>
      <c r="BK48" s="745">
        <v>40.82</v>
      </c>
      <c r="BL48" s="745">
        <v>40.98</v>
      </c>
      <c r="BM48" s="745">
        <v>41.13</v>
      </c>
      <c r="BN48" s="745">
        <v>41.28</v>
      </c>
      <c r="BO48" s="745">
        <v>41.41</v>
      </c>
      <c r="BP48" s="745">
        <v>41.56</v>
      </c>
      <c r="BQ48" s="745">
        <v>41.69</v>
      </c>
      <c r="BR48" s="745">
        <v>41.82</v>
      </c>
      <c r="BS48" s="745">
        <v>41.97</v>
      </c>
      <c r="BT48" s="745">
        <v>42.1</v>
      </c>
      <c r="BU48" s="745">
        <v>42.23</v>
      </c>
      <c r="BV48" s="745">
        <v>42.37</v>
      </c>
      <c r="BW48" s="745">
        <v>42.5</v>
      </c>
      <c r="BX48" s="745">
        <v>42.63</v>
      </c>
      <c r="BY48" s="745">
        <v>42.76</v>
      </c>
      <c r="BZ48" s="745">
        <v>42.89</v>
      </c>
      <c r="CA48" s="745">
        <v>43.02</v>
      </c>
      <c r="CB48" s="745">
        <v>43.15</v>
      </c>
      <c r="CC48" s="745">
        <v>43.27</v>
      </c>
      <c r="CD48" s="745">
        <v>43.4</v>
      </c>
      <c r="CE48" s="745">
        <v>43.53</v>
      </c>
      <c r="CF48" s="745">
        <v>43.65</v>
      </c>
      <c r="CG48" s="745">
        <v>43.77</v>
      </c>
      <c r="CH48" s="745">
        <v>43.9</v>
      </c>
      <c r="CI48" s="745">
        <v>44.02</v>
      </c>
      <c r="CJ48" s="745">
        <v>44.14</v>
      </c>
      <c r="CK48" s="745">
        <v>44.26</v>
      </c>
      <c r="CL48" s="745">
        <v>44.38</v>
      </c>
      <c r="CM48" s="745">
        <v>44.5</v>
      </c>
      <c r="CN48" s="745">
        <v>44.61</v>
      </c>
      <c r="CO48" s="745">
        <v>44.73</v>
      </c>
      <c r="CP48" s="745">
        <v>44.85</v>
      </c>
      <c r="CQ48" s="745">
        <v>44.96</v>
      </c>
      <c r="CR48" s="745">
        <v>45.07</v>
      </c>
      <c r="CS48" s="745">
        <v>45.19</v>
      </c>
      <c r="CT48" s="745">
        <v>45.3</v>
      </c>
      <c r="CU48" s="745">
        <v>45.41</v>
      </c>
      <c r="CV48" s="745">
        <v>45.52</v>
      </c>
      <c r="CW48" s="745">
        <v>45.63</v>
      </c>
      <c r="CX48" s="745">
        <v>45.74</v>
      </c>
      <c r="CY48" s="745">
        <v>45.85</v>
      </c>
      <c r="CZ48" s="745">
        <v>45.95</v>
      </c>
      <c r="DA48" s="745">
        <v>46.06</v>
      </c>
      <c r="DB48" s="745">
        <v>46.17</v>
      </c>
      <c r="DC48" s="745">
        <v>46.27</v>
      </c>
      <c r="DD48" s="745">
        <v>46.37</v>
      </c>
      <c r="DE48" s="745">
        <v>46.48</v>
      </c>
      <c r="DF48" s="745">
        <v>46.58</v>
      </c>
      <c r="DG48" s="745">
        <v>46.68</v>
      </c>
      <c r="DH48" s="745">
        <v>46.78</v>
      </c>
      <c r="DI48" s="745">
        <v>46.88</v>
      </c>
      <c r="DJ48" s="745">
        <v>46.98</v>
      </c>
      <c r="DK48" s="745">
        <v>47.08</v>
      </c>
      <c r="DL48" s="745">
        <v>47.17</v>
      </c>
      <c r="DM48" s="745">
        <v>47.27</v>
      </c>
      <c r="DN48" s="745">
        <v>47.36</v>
      </c>
      <c r="DO48" s="745">
        <v>47.46</v>
      </c>
      <c r="DP48" s="745">
        <v>47.55</v>
      </c>
      <c r="DQ48" s="745">
        <v>47.65</v>
      </c>
      <c r="DR48" s="745">
        <v>47.74</v>
      </c>
    </row>
    <row r="49" spans="1:122">
      <c r="A49" s="918">
        <v>47</v>
      </c>
      <c r="B49" s="90"/>
      <c r="C49" s="90"/>
      <c r="D49" s="90"/>
      <c r="E49" s="90"/>
      <c r="F49" s="90"/>
      <c r="G49" s="90"/>
      <c r="H49" s="90"/>
      <c r="I49" s="90"/>
      <c r="J49" s="90"/>
      <c r="K49" s="90"/>
      <c r="L49" s="90"/>
      <c r="M49" s="90"/>
      <c r="N49" s="90"/>
      <c r="O49" s="90"/>
      <c r="P49" s="90"/>
      <c r="Q49" s="90"/>
      <c r="R49" s="90"/>
      <c r="S49" s="90"/>
      <c r="T49" s="90"/>
      <c r="U49" s="90"/>
      <c r="V49" s="745"/>
      <c r="W49" s="745">
        <v>33.950000000000003</v>
      </c>
      <c r="X49" s="745">
        <v>34.15</v>
      </c>
      <c r="Y49" s="745">
        <v>34.35</v>
      </c>
      <c r="Z49" s="745">
        <v>34.57</v>
      </c>
      <c r="AA49" s="745">
        <v>34.71</v>
      </c>
      <c r="AB49" s="745">
        <v>34.9</v>
      </c>
      <c r="AC49" s="745">
        <v>35.119999999999997</v>
      </c>
      <c r="AD49" s="745">
        <v>35.24</v>
      </c>
      <c r="AE49" s="745">
        <v>35.47</v>
      </c>
      <c r="AF49" s="745">
        <v>35.630000000000003</v>
      </c>
      <c r="AG49" s="745">
        <v>35.81</v>
      </c>
      <c r="AH49" s="745">
        <v>35.99</v>
      </c>
      <c r="AI49" s="745">
        <v>36.17</v>
      </c>
      <c r="AJ49" s="745">
        <v>36.43</v>
      </c>
      <c r="AK49" s="745">
        <v>36.659999999999997</v>
      </c>
      <c r="AL49" s="745">
        <v>36.92</v>
      </c>
      <c r="AM49" s="745">
        <v>37.159999999999997</v>
      </c>
      <c r="AN49" s="745">
        <v>37.36</v>
      </c>
      <c r="AO49" s="745">
        <v>37.51</v>
      </c>
      <c r="AP49" s="745">
        <v>37.630000000000003</v>
      </c>
      <c r="AQ49" s="745">
        <v>37.69</v>
      </c>
      <c r="AR49" s="745">
        <v>37.75</v>
      </c>
      <c r="AS49" s="745">
        <v>37.799999999999997</v>
      </c>
      <c r="AT49" s="745">
        <v>37.799999999999997</v>
      </c>
      <c r="AU49" s="745">
        <v>37.86</v>
      </c>
      <c r="AV49" s="745">
        <v>37.92</v>
      </c>
      <c r="AW49" s="745">
        <v>38.14</v>
      </c>
      <c r="AX49" s="745">
        <v>38.200000000000003</v>
      </c>
      <c r="AY49" s="745">
        <v>38.36</v>
      </c>
      <c r="AZ49" s="745">
        <v>38.479999999999997</v>
      </c>
      <c r="BA49" s="745">
        <v>38.6</v>
      </c>
      <c r="BB49" s="745">
        <v>38.71</v>
      </c>
      <c r="BC49" s="745">
        <v>38.83</v>
      </c>
      <c r="BD49" s="745">
        <v>38.94</v>
      </c>
      <c r="BE49" s="745">
        <v>39.049999999999997</v>
      </c>
      <c r="BF49" s="745">
        <v>39.18</v>
      </c>
      <c r="BG49" s="745">
        <v>39.33</v>
      </c>
      <c r="BH49" s="745">
        <v>39.49</v>
      </c>
      <c r="BI49" s="745">
        <v>39.61</v>
      </c>
      <c r="BJ49" s="745">
        <v>39.75</v>
      </c>
      <c r="BK49" s="745">
        <v>39.880000000000003</v>
      </c>
      <c r="BL49" s="745">
        <v>40.04</v>
      </c>
      <c r="BM49" s="745">
        <v>40.19</v>
      </c>
      <c r="BN49" s="745">
        <v>40.340000000000003</v>
      </c>
      <c r="BO49" s="745">
        <v>40.47</v>
      </c>
      <c r="BP49" s="745">
        <v>40.61</v>
      </c>
      <c r="BQ49" s="745">
        <v>40.74</v>
      </c>
      <c r="BR49" s="745">
        <v>40.880000000000003</v>
      </c>
      <c r="BS49" s="745">
        <v>41.02</v>
      </c>
      <c r="BT49" s="745">
        <v>41.16</v>
      </c>
      <c r="BU49" s="745">
        <v>41.28</v>
      </c>
      <c r="BV49" s="745">
        <v>41.42</v>
      </c>
      <c r="BW49" s="745">
        <v>41.55</v>
      </c>
      <c r="BX49" s="745">
        <v>41.68</v>
      </c>
      <c r="BY49" s="745">
        <v>41.81</v>
      </c>
      <c r="BZ49" s="745">
        <v>41.94</v>
      </c>
      <c r="CA49" s="745">
        <v>42.07</v>
      </c>
      <c r="CB49" s="745">
        <v>42.19</v>
      </c>
      <c r="CC49" s="745">
        <v>42.32</v>
      </c>
      <c r="CD49" s="745">
        <v>42.44</v>
      </c>
      <c r="CE49" s="745">
        <v>42.57</v>
      </c>
      <c r="CF49" s="745">
        <v>42.69</v>
      </c>
      <c r="CG49" s="745">
        <v>42.82</v>
      </c>
      <c r="CH49" s="745">
        <v>42.94</v>
      </c>
      <c r="CI49" s="745">
        <v>43.06</v>
      </c>
      <c r="CJ49" s="745">
        <v>43.18</v>
      </c>
      <c r="CK49" s="745">
        <v>43.3</v>
      </c>
      <c r="CL49" s="745">
        <v>43.42</v>
      </c>
      <c r="CM49" s="745">
        <v>43.53</v>
      </c>
      <c r="CN49" s="745">
        <v>43.65</v>
      </c>
      <c r="CO49" s="745">
        <v>43.77</v>
      </c>
      <c r="CP49" s="745">
        <v>43.88</v>
      </c>
      <c r="CQ49" s="745">
        <v>44</v>
      </c>
      <c r="CR49" s="745">
        <v>44.11</v>
      </c>
      <c r="CS49" s="745">
        <v>44.22</v>
      </c>
      <c r="CT49" s="745">
        <v>44.33</v>
      </c>
      <c r="CU49" s="745">
        <v>44.44</v>
      </c>
      <c r="CV49" s="745">
        <v>44.55</v>
      </c>
      <c r="CW49" s="745">
        <v>44.66</v>
      </c>
      <c r="CX49" s="745">
        <v>44.77</v>
      </c>
      <c r="CY49" s="745">
        <v>44.88</v>
      </c>
      <c r="CZ49" s="745">
        <v>44.98</v>
      </c>
      <c r="DA49" s="745">
        <v>45.09</v>
      </c>
      <c r="DB49" s="745">
        <v>45.19</v>
      </c>
      <c r="DC49" s="745">
        <v>45.3</v>
      </c>
      <c r="DD49" s="745">
        <v>45.4</v>
      </c>
      <c r="DE49" s="745">
        <v>45.5</v>
      </c>
      <c r="DF49" s="745">
        <v>45.6</v>
      </c>
      <c r="DG49" s="745">
        <v>45.71</v>
      </c>
      <c r="DH49" s="745">
        <v>45.81</v>
      </c>
      <c r="DI49" s="745">
        <v>45.9</v>
      </c>
      <c r="DJ49" s="745">
        <v>46</v>
      </c>
      <c r="DK49" s="745">
        <v>46.1</v>
      </c>
      <c r="DL49" s="745">
        <v>46.2</v>
      </c>
      <c r="DM49" s="745">
        <v>46.29</v>
      </c>
      <c r="DN49" s="745">
        <v>46.39</v>
      </c>
      <c r="DO49" s="745">
        <v>46.48</v>
      </c>
      <c r="DP49" s="745">
        <v>46.58</v>
      </c>
      <c r="DQ49" s="745">
        <v>46.67</v>
      </c>
      <c r="DR49" s="745">
        <v>46.76</v>
      </c>
    </row>
    <row r="50" spans="1:122">
      <c r="A50" s="918">
        <v>48</v>
      </c>
      <c r="B50" s="90"/>
      <c r="C50" s="90"/>
      <c r="D50" s="90"/>
      <c r="E50" s="90"/>
      <c r="F50" s="90"/>
      <c r="G50" s="90"/>
      <c r="H50" s="90"/>
      <c r="I50" s="90"/>
      <c r="J50" s="90"/>
      <c r="K50" s="90"/>
      <c r="L50" s="90"/>
      <c r="M50" s="90"/>
      <c r="N50" s="90"/>
      <c r="O50" s="90"/>
      <c r="P50" s="90"/>
      <c r="Q50" s="90"/>
      <c r="R50" s="90"/>
      <c r="S50" s="90"/>
      <c r="T50" s="90"/>
      <c r="U50" s="90"/>
      <c r="V50" s="745"/>
      <c r="W50" s="745">
        <v>33.07</v>
      </c>
      <c r="X50" s="745">
        <v>33.270000000000003</v>
      </c>
      <c r="Y50" s="745">
        <v>33.46</v>
      </c>
      <c r="Z50" s="745">
        <v>33.68</v>
      </c>
      <c r="AA50" s="745">
        <v>33.82</v>
      </c>
      <c r="AB50" s="745">
        <v>34.01</v>
      </c>
      <c r="AC50" s="745">
        <v>34.229999999999997</v>
      </c>
      <c r="AD50" s="745">
        <v>34.35</v>
      </c>
      <c r="AE50" s="745">
        <v>34.58</v>
      </c>
      <c r="AF50" s="745">
        <v>34.74</v>
      </c>
      <c r="AG50" s="745">
        <v>34.92</v>
      </c>
      <c r="AH50" s="745">
        <v>35.090000000000003</v>
      </c>
      <c r="AI50" s="745">
        <v>35.28</v>
      </c>
      <c r="AJ50" s="745">
        <v>35.53</v>
      </c>
      <c r="AK50" s="745">
        <v>35.76</v>
      </c>
      <c r="AL50" s="745">
        <v>36.01</v>
      </c>
      <c r="AM50" s="745">
        <v>36.25</v>
      </c>
      <c r="AN50" s="745">
        <v>36.450000000000003</v>
      </c>
      <c r="AO50" s="745">
        <v>36.6</v>
      </c>
      <c r="AP50" s="745">
        <v>36.71</v>
      </c>
      <c r="AQ50" s="745">
        <v>36.78</v>
      </c>
      <c r="AR50" s="745">
        <v>36.840000000000003</v>
      </c>
      <c r="AS50" s="745">
        <v>36.89</v>
      </c>
      <c r="AT50" s="745">
        <v>36.89</v>
      </c>
      <c r="AU50" s="745">
        <v>36.950000000000003</v>
      </c>
      <c r="AV50" s="745">
        <v>37.01</v>
      </c>
      <c r="AW50" s="745">
        <v>37.22</v>
      </c>
      <c r="AX50" s="745">
        <v>37.28</v>
      </c>
      <c r="AY50" s="745">
        <v>37.44</v>
      </c>
      <c r="AZ50" s="745">
        <v>37.56</v>
      </c>
      <c r="BA50" s="745">
        <v>37.67</v>
      </c>
      <c r="BB50" s="745">
        <v>37.79</v>
      </c>
      <c r="BC50" s="745">
        <v>37.909999999999997</v>
      </c>
      <c r="BD50" s="745">
        <v>38.01</v>
      </c>
      <c r="BE50" s="745">
        <v>38.130000000000003</v>
      </c>
      <c r="BF50" s="745">
        <v>38.26</v>
      </c>
      <c r="BG50" s="745">
        <v>38.4</v>
      </c>
      <c r="BH50" s="745">
        <v>38.56</v>
      </c>
      <c r="BI50" s="745">
        <v>38.68</v>
      </c>
      <c r="BJ50" s="745">
        <v>38.82</v>
      </c>
      <c r="BK50" s="745">
        <v>38.950000000000003</v>
      </c>
      <c r="BL50" s="745">
        <v>39.11</v>
      </c>
      <c r="BM50" s="745">
        <v>39.26</v>
      </c>
      <c r="BN50" s="745">
        <v>39.4</v>
      </c>
      <c r="BO50" s="745">
        <v>39.53</v>
      </c>
      <c r="BP50" s="745">
        <v>39.67</v>
      </c>
      <c r="BQ50" s="745">
        <v>39.799999999999997</v>
      </c>
      <c r="BR50" s="745">
        <v>39.93</v>
      </c>
      <c r="BS50" s="745">
        <v>40.08</v>
      </c>
      <c r="BT50" s="745">
        <v>40.21</v>
      </c>
      <c r="BU50" s="745">
        <v>40.340000000000003</v>
      </c>
      <c r="BV50" s="745">
        <v>40.47</v>
      </c>
      <c r="BW50" s="745">
        <v>40.6</v>
      </c>
      <c r="BX50" s="745">
        <v>40.729999999999997</v>
      </c>
      <c r="BY50" s="745">
        <v>40.86</v>
      </c>
      <c r="BZ50" s="745">
        <v>40.99</v>
      </c>
      <c r="CA50" s="745">
        <v>41.12</v>
      </c>
      <c r="CB50" s="745">
        <v>41.24</v>
      </c>
      <c r="CC50" s="745">
        <v>41.37</v>
      </c>
      <c r="CD50" s="745">
        <v>41.49</v>
      </c>
      <c r="CE50" s="745">
        <v>41.61</v>
      </c>
      <c r="CF50" s="745">
        <v>41.74</v>
      </c>
      <c r="CG50" s="745">
        <v>41.86</v>
      </c>
      <c r="CH50" s="745">
        <v>41.98</v>
      </c>
      <c r="CI50" s="745">
        <v>42.1</v>
      </c>
      <c r="CJ50" s="745">
        <v>42.22</v>
      </c>
      <c r="CK50" s="745">
        <v>42.34</v>
      </c>
      <c r="CL50" s="745">
        <v>42.46</v>
      </c>
      <c r="CM50" s="745">
        <v>42.57</v>
      </c>
      <c r="CN50" s="745">
        <v>42.69</v>
      </c>
      <c r="CO50" s="745">
        <v>42.8</v>
      </c>
      <c r="CP50" s="745">
        <v>42.92</v>
      </c>
      <c r="CQ50" s="745">
        <v>43.03</v>
      </c>
      <c r="CR50" s="745">
        <v>43.15</v>
      </c>
      <c r="CS50" s="745">
        <v>43.26</v>
      </c>
      <c r="CT50" s="745">
        <v>43.37</v>
      </c>
      <c r="CU50" s="745">
        <v>43.48</v>
      </c>
      <c r="CV50" s="745">
        <v>43.59</v>
      </c>
      <c r="CW50" s="745">
        <v>43.7</v>
      </c>
      <c r="CX50" s="745">
        <v>43.8</v>
      </c>
      <c r="CY50" s="745">
        <v>43.91</v>
      </c>
      <c r="CZ50" s="745">
        <v>44.02</v>
      </c>
      <c r="DA50" s="745">
        <v>44.12</v>
      </c>
      <c r="DB50" s="745">
        <v>44.22</v>
      </c>
      <c r="DC50" s="745">
        <v>44.33</v>
      </c>
      <c r="DD50" s="745">
        <v>44.43</v>
      </c>
      <c r="DE50" s="745">
        <v>44.53</v>
      </c>
      <c r="DF50" s="745">
        <v>44.63</v>
      </c>
      <c r="DG50" s="745">
        <v>44.73</v>
      </c>
      <c r="DH50" s="745">
        <v>44.83</v>
      </c>
      <c r="DI50" s="745">
        <v>44.93</v>
      </c>
      <c r="DJ50" s="745">
        <v>45.03</v>
      </c>
      <c r="DK50" s="745">
        <v>45.13</v>
      </c>
      <c r="DL50" s="745">
        <v>45.22</v>
      </c>
      <c r="DM50" s="745">
        <v>45.32</v>
      </c>
      <c r="DN50" s="745">
        <v>45.41</v>
      </c>
      <c r="DO50" s="745">
        <v>45.51</v>
      </c>
      <c r="DP50" s="745">
        <v>45.6</v>
      </c>
      <c r="DQ50" s="745">
        <v>45.69</v>
      </c>
      <c r="DR50" s="745">
        <v>45.78</v>
      </c>
    </row>
    <row r="51" spans="1:122">
      <c r="A51" s="918">
        <v>49</v>
      </c>
      <c r="B51" s="90"/>
      <c r="C51" s="90"/>
      <c r="D51" s="90"/>
      <c r="E51" s="90"/>
      <c r="F51" s="90"/>
      <c r="G51" s="90"/>
      <c r="H51" s="90"/>
      <c r="I51" s="90"/>
      <c r="J51" s="90"/>
      <c r="K51" s="90"/>
      <c r="L51" s="90"/>
      <c r="M51" s="90"/>
      <c r="N51" s="90"/>
      <c r="O51" s="90"/>
      <c r="P51" s="90"/>
      <c r="Q51" s="90"/>
      <c r="R51" s="90"/>
      <c r="S51" s="90"/>
      <c r="T51" s="90"/>
      <c r="U51" s="90"/>
      <c r="V51" s="745"/>
      <c r="W51" s="745">
        <v>32.200000000000003</v>
      </c>
      <c r="X51" s="745">
        <v>32.4</v>
      </c>
      <c r="Y51" s="745">
        <v>32.590000000000003</v>
      </c>
      <c r="Z51" s="745">
        <v>32.799999999999997</v>
      </c>
      <c r="AA51" s="745">
        <v>32.94</v>
      </c>
      <c r="AB51" s="745">
        <v>33.130000000000003</v>
      </c>
      <c r="AC51" s="745">
        <v>33.35</v>
      </c>
      <c r="AD51" s="745">
        <v>33.46</v>
      </c>
      <c r="AE51" s="745">
        <v>33.69</v>
      </c>
      <c r="AF51" s="745">
        <v>33.86</v>
      </c>
      <c r="AG51" s="745">
        <v>34.03</v>
      </c>
      <c r="AH51" s="745">
        <v>34.21</v>
      </c>
      <c r="AI51" s="745">
        <v>34.380000000000003</v>
      </c>
      <c r="AJ51" s="745">
        <v>34.630000000000003</v>
      </c>
      <c r="AK51" s="745">
        <v>34.86</v>
      </c>
      <c r="AL51" s="745">
        <v>35.11</v>
      </c>
      <c r="AM51" s="745">
        <v>35.340000000000003</v>
      </c>
      <c r="AN51" s="745">
        <v>35.54</v>
      </c>
      <c r="AO51" s="745">
        <v>35.69</v>
      </c>
      <c r="AP51" s="745">
        <v>35.81</v>
      </c>
      <c r="AQ51" s="745">
        <v>35.869999999999997</v>
      </c>
      <c r="AR51" s="745">
        <v>35.93</v>
      </c>
      <c r="AS51" s="745">
        <v>35.979999999999997</v>
      </c>
      <c r="AT51" s="745">
        <v>35.979999999999997</v>
      </c>
      <c r="AU51" s="745">
        <v>36.049999999999997</v>
      </c>
      <c r="AV51" s="745">
        <v>36.1</v>
      </c>
      <c r="AW51" s="745">
        <v>36.32</v>
      </c>
      <c r="AX51" s="745">
        <v>36.369999999999997</v>
      </c>
      <c r="AY51" s="745">
        <v>36.520000000000003</v>
      </c>
      <c r="AZ51" s="745">
        <v>36.64</v>
      </c>
      <c r="BA51" s="745">
        <v>36.76</v>
      </c>
      <c r="BB51" s="745">
        <v>36.869999999999997</v>
      </c>
      <c r="BC51" s="745">
        <v>36.99</v>
      </c>
      <c r="BD51" s="745">
        <v>37.090000000000003</v>
      </c>
      <c r="BE51" s="745">
        <v>37.21</v>
      </c>
      <c r="BF51" s="745">
        <v>37.33</v>
      </c>
      <c r="BG51" s="745">
        <v>37.479999999999997</v>
      </c>
      <c r="BH51" s="745">
        <v>37.630000000000003</v>
      </c>
      <c r="BI51" s="745">
        <v>37.75</v>
      </c>
      <c r="BJ51" s="745">
        <v>37.89</v>
      </c>
      <c r="BK51" s="745">
        <v>38.020000000000003</v>
      </c>
      <c r="BL51" s="745">
        <v>38.17</v>
      </c>
      <c r="BM51" s="745">
        <v>38.32</v>
      </c>
      <c r="BN51" s="745">
        <v>38.47</v>
      </c>
      <c r="BO51" s="745">
        <v>38.6</v>
      </c>
      <c r="BP51" s="745">
        <v>38.729999999999997</v>
      </c>
      <c r="BQ51" s="745">
        <v>38.869999999999997</v>
      </c>
      <c r="BR51" s="745">
        <v>39</v>
      </c>
      <c r="BS51" s="745">
        <v>39.14</v>
      </c>
      <c r="BT51" s="745">
        <v>39.270000000000003</v>
      </c>
      <c r="BU51" s="745">
        <v>39.4</v>
      </c>
      <c r="BV51" s="745">
        <v>39.53</v>
      </c>
      <c r="BW51" s="745">
        <v>39.659999999999997</v>
      </c>
      <c r="BX51" s="745">
        <v>39.79</v>
      </c>
      <c r="BY51" s="745">
        <v>39.909999999999997</v>
      </c>
      <c r="BZ51" s="745">
        <v>40.04</v>
      </c>
      <c r="CA51" s="745">
        <v>40.17</v>
      </c>
      <c r="CB51" s="745">
        <v>40.29</v>
      </c>
      <c r="CC51" s="745">
        <v>40.42</v>
      </c>
      <c r="CD51" s="745">
        <v>40.54</v>
      </c>
      <c r="CE51" s="745">
        <v>40.659999999999997</v>
      </c>
      <c r="CF51" s="745">
        <v>40.79</v>
      </c>
      <c r="CG51" s="745">
        <v>40.909999999999997</v>
      </c>
      <c r="CH51" s="745">
        <v>41.03</v>
      </c>
      <c r="CI51" s="745">
        <v>41.15</v>
      </c>
      <c r="CJ51" s="745">
        <v>41.27</v>
      </c>
      <c r="CK51" s="745">
        <v>41.38</v>
      </c>
      <c r="CL51" s="745">
        <v>41.5</v>
      </c>
      <c r="CM51" s="745">
        <v>41.62</v>
      </c>
      <c r="CN51" s="745">
        <v>41.73</v>
      </c>
      <c r="CO51" s="745">
        <v>41.85</v>
      </c>
      <c r="CP51" s="745">
        <v>41.96</v>
      </c>
      <c r="CQ51" s="745">
        <v>42.07</v>
      </c>
      <c r="CR51" s="745">
        <v>42.18</v>
      </c>
      <c r="CS51" s="745">
        <v>42.3</v>
      </c>
      <c r="CT51" s="745">
        <v>42.41</v>
      </c>
      <c r="CU51" s="745">
        <v>42.52</v>
      </c>
      <c r="CV51" s="745">
        <v>42.62</v>
      </c>
      <c r="CW51" s="745">
        <v>42.73</v>
      </c>
      <c r="CX51" s="745">
        <v>42.84</v>
      </c>
      <c r="CY51" s="745">
        <v>42.94</v>
      </c>
      <c r="CZ51" s="745">
        <v>43.05</v>
      </c>
      <c r="DA51" s="745">
        <v>43.15</v>
      </c>
      <c r="DB51" s="745">
        <v>43.26</v>
      </c>
      <c r="DC51" s="745">
        <v>43.36</v>
      </c>
      <c r="DD51" s="745">
        <v>43.46</v>
      </c>
      <c r="DE51" s="745">
        <v>43.56</v>
      </c>
      <c r="DF51" s="745">
        <v>43.66</v>
      </c>
      <c r="DG51" s="745">
        <v>43.76</v>
      </c>
      <c r="DH51" s="745">
        <v>43.86</v>
      </c>
      <c r="DI51" s="745">
        <v>43.96</v>
      </c>
      <c r="DJ51" s="745">
        <v>44.06</v>
      </c>
      <c r="DK51" s="745">
        <v>44.15</v>
      </c>
      <c r="DL51" s="745">
        <v>44.25</v>
      </c>
      <c r="DM51" s="745">
        <v>44.35</v>
      </c>
      <c r="DN51" s="745">
        <v>44.44</v>
      </c>
      <c r="DO51" s="745">
        <v>44.53</v>
      </c>
      <c r="DP51" s="745">
        <v>44.63</v>
      </c>
      <c r="DQ51" s="745">
        <v>44.72</v>
      </c>
      <c r="DR51" s="745">
        <v>44.81</v>
      </c>
    </row>
    <row r="52" spans="1:122">
      <c r="A52" s="918">
        <v>50</v>
      </c>
      <c r="B52" s="90"/>
      <c r="C52" s="90"/>
      <c r="D52" s="90"/>
      <c r="E52" s="90"/>
      <c r="F52" s="90"/>
      <c r="G52" s="90"/>
      <c r="H52" s="90"/>
      <c r="I52" s="90"/>
      <c r="J52" s="90"/>
      <c r="K52" s="90"/>
      <c r="L52" s="90"/>
      <c r="M52" s="90"/>
      <c r="N52" s="90"/>
      <c r="O52" s="90"/>
      <c r="P52" s="90"/>
      <c r="Q52" s="90"/>
      <c r="R52" s="90"/>
      <c r="S52" s="90"/>
      <c r="T52" s="90"/>
      <c r="U52" s="90"/>
      <c r="V52" s="745"/>
      <c r="W52" s="745">
        <v>31.33</v>
      </c>
      <c r="X52" s="745">
        <v>31.53</v>
      </c>
      <c r="Y52" s="745">
        <v>31.72</v>
      </c>
      <c r="Z52" s="745">
        <v>31.93</v>
      </c>
      <c r="AA52" s="745">
        <v>32.07</v>
      </c>
      <c r="AB52" s="745">
        <v>32.26</v>
      </c>
      <c r="AC52" s="745">
        <v>32.47</v>
      </c>
      <c r="AD52" s="745">
        <v>32.58</v>
      </c>
      <c r="AE52" s="745">
        <v>32.81</v>
      </c>
      <c r="AF52" s="745">
        <v>32.97</v>
      </c>
      <c r="AG52" s="745">
        <v>33.14</v>
      </c>
      <c r="AH52" s="745">
        <v>33.32</v>
      </c>
      <c r="AI52" s="745">
        <v>33.49</v>
      </c>
      <c r="AJ52" s="745">
        <v>33.74</v>
      </c>
      <c r="AK52" s="745">
        <v>33.96</v>
      </c>
      <c r="AL52" s="745">
        <v>34.21</v>
      </c>
      <c r="AM52" s="745">
        <v>34.44</v>
      </c>
      <c r="AN52" s="745">
        <v>34.64</v>
      </c>
      <c r="AO52" s="745">
        <v>34.79</v>
      </c>
      <c r="AP52" s="745">
        <v>34.9</v>
      </c>
      <c r="AQ52" s="745">
        <v>34.97</v>
      </c>
      <c r="AR52" s="745">
        <v>35.03</v>
      </c>
      <c r="AS52" s="745">
        <v>35.08</v>
      </c>
      <c r="AT52" s="745">
        <v>35.08</v>
      </c>
      <c r="AU52" s="745">
        <v>35.14</v>
      </c>
      <c r="AV52" s="745">
        <v>35.200000000000003</v>
      </c>
      <c r="AW52" s="745">
        <v>35.409999999999997</v>
      </c>
      <c r="AX52" s="745">
        <v>35.46</v>
      </c>
      <c r="AY52" s="745">
        <v>35.61</v>
      </c>
      <c r="AZ52" s="745">
        <v>35.729999999999997</v>
      </c>
      <c r="BA52" s="745">
        <v>35.840000000000003</v>
      </c>
      <c r="BB52" s="745">
        <v>35.96</v>
      </c>
      <c r="BC52" s="745">
        <v>36.08</v>
      </c>
      <c r="BD52" s="745">
        <v>36.18</v>
      </c>
      <c r="BE52" s="745">
        <v>36.29</v>
      </c>
      <c r="BF52" s="745">
        <v>36.42</v>
      </c>
      <c r="BG52" s="745">
        <v>36.56</v>
      </c>
      <c r="BH52" s="745">
        <v>36.700000000000003</v>
      </c>
      <c r="BI52" s="745">
        <v>36.83</v>
      </c>
      <c r="BJ52" s="745">
        <v>36.96</v>
      </c>
      <c r="BK52" s="745">
        <v>37.1</v>
      </c>
      <c r="BL52" s="745">
        <v>37.25</v>
      </c>
      <c r="BM52" s="745">
        <v>37.39</v>
      </c>
      <c r="BN52" s="745">
        <v>37.54</v>
      </c>
      <c r="BO52" s="745">
        <v>37.67</v>
      </c>
      <c r="BP52" s="745">
        <v>37.799999999999997</v>
      </c>
      <c r="BQ52" s="745">
        <v>37.93</v>
      </c>
      <c r="BR52" s="745">
        <v>38.07</v>
      </c>
      <c r="BS52" s="745">
        <v>38.200000000000003</v>
      </c>
      <c r="BT52" s="745">
        <v>38.33</v>
      </c>
      <c r="BU52" s="745">
        <v>38.46</v>
      </c>
      <c r="BV52" s="745">
        <v>38.590000000000003</v>
      </c>
      <c r="BW52" s="745">
        <v>38.72</v>
      </c>
      <c r="BX52" s="745">
        <v>38.85</v>
      </c>
      <c r="BY52" s="745">
        <v>38.97</v>
      </c>
      <c r="BZ52" s="745">
        <v>39.1</v>
      </c>
      <c r="CA52" s="745">
        <v>39.22</v>
      </c>
      <c r="CB52" s="745">
        <v>39.35</v>
      </c>
      <c r="CC52" s="745">
        <v>39.47</v>
      </c>
      <c r="CD52" s="745">
        <v>39.6</v>
      </c>
      <c r="CE52" s="745">
        <v>39.72</v>
      </c>
      <c r="CF52" s="745">
        <v>39.840000000000003</v>
      </c>
      <c r="CG52" s="745">
        <v>39.96</v>
      </c>
      <c r="CH52" s="745">
        <v>40.08</v>
      </c>
      <c r="CI52" s="745">
        <v>40.200000000000003</v>
      </c>
      <c r="CJ52" s="745">
        <v>40.31</v>
      </c>
      <c r="CK52" s="745">
        <v>40.43</v>
      </c>
      <c r="CL52" s="745">
        <v>40.549999999999997</v>
      </c>
      <c r="CM52" s="745">
        <v>40.659999999999997</v>
      </c>
      <c r="CN52" s="745">
        <v>40.78</v>
      </c>
      <c r="CO52" s="745">
        <v>40.89</v>
      </c>
      <c r="CP52" s="745">
        <v>41</v>
      </c>
      <c r="CQ52" s="745">
        <v>41.12</v>
      </c>
      <c r="CR52" s="745">
        <v>41.23</v>
      </c>
      <c r="CS52" s="745">
        <v>41.34</v>
      </c>
      <c r="CT52" s="745">
        <v>41.45</v>
      </c>
      <c r="CU52" s="745">
        <v>41.56</v>
      </c>
      <c r="CV52" s="745">
        <v>41.66</v>
      </c>
      <c r="CW52" s="745">
        <v>41.77</v>
      </c>
      <c r="CX52" s="745">
        <v>41.88</v>
      </c>
      <c r="CY52" s="745">
        <v>41.98</v>
      </c>
      <c r="CZ52" s="745">
        <v>42.09</v>
      </c>
      <c r="DA52" s="745">
        <v>42.19</v>
      </c>
      <c r="DB52" s="745">
        <v>42.29</v>
      </c>
      <c r="DC52" s="745">
        <v>42.4</v>
      </c>
      <c r="DD52" s="745">
        <v>42.5</v>
      </c>
      <c r="DE52" s="745">
        <v>42.6</v>
      </c>
      <c r="DF52" s="745">
        <v>42.7</v>
      </c>
      <c r="DG52" s="745">
        <v>42.8</v>
      </c>
      <c r="DH52" s="745">
        <v>42.9</v>
      </c>
      <c r="DI52" s="745">
        <v>42.99</v>
      </c>
      <c r="DJ52" s="745">
        <v>43.09</v>
      </c>
      <c r="DK52" s="745">
        <v>43.19</v>
      </c>
      <c r="DL52" s="745">
        <v>43.28</v>
      </c>
      <c r="DM52" s="745">
        <v>43.37</v>
      </c>
      <c r="DN52" s="745">
        <v>43.47</v>
      </c>
      <c r="DO52" s="745">
        <v>43.56</v>
      </c>
      <c r="DP52" s="745">
        <v>43.65</v>
      </c>
      <c r="DQ52" s="745">
        <v>43.74</v>
      </c>
      <c r="DR52" s="745">
        <v>43.83</v>
      </c>
    </row>
    <row r="53" spans="1:122">
      <c r="A53" s="918">
        <v>51</v>
      </c>
      <c r="B53" s="90"/>
      <c r="C53" s="90"/>
      <c r="D53" s="90"/>
      <c r="E53" s="90"/>
      <c r="F53" s="90"/>
      <c r="G53" s="90"/>
      <c r="H53" s="90"/>
      <c r="I53" s="90"/>
      <c r="J53" s="90"/>
      <c r="K53" s="90"/>
      <c r="L53" s="90"/>
      <c r="M53" s="90"/>
      <c r="N53" s="90"/>
      <c r="O53" s="90"/>
      <c r="P53" s="90"/>
      <c r="Q53" s="90"/>
      <c r="R53" s="90"/>
      <c r="S53" s="90"/>
      <c r="T53" s="90"/>
      <c r="U53" s="90"/>
      <c r="V53" s="745"/>
      <c r="W53" s="745">
        <v>30.47</v>
      </c>
      <c r="X53" s="745">
        <v>30.66</v>
      </c>
      <c r="Y53" s="745">
        <v>30.85</v>
      </c>
      <c r="Z53" s="745">
        <v>31.05</v>
      </c>
      <c r="AA53" s="745">
        <v>31.2</v>
      </c>
      <c r="AB53" s="745">
        <v>31.39</v>
      </c>
      <c r="AC53" s="745">
        <v>31.6</v>
      </c>
      <c r="AD53" s="745">
        <v>31.71</v>
      </c>
      <c r="AE53" s="745">
        <v>31.93</v>
      </c>
      <c r="AF53" s="745">
        <v>32.090000000000003</v>
      </c>
      <c r="AG53" s="745">
        <v>32.26</v>
      </c>
      <c r="AH53" s="745">
        <v>32.44</v>
      </c>
      <c r="AI53" s="745">
        <v>32.61</v>
      </c>
      <c r="AJ53" s="745">
        <v>32.85</v>
      </c>
      <c r="AK53" s="745">
        <v>33.07</v>
      </c>
      <c r="AL53" s="745">
        <v>33.32</v>
      </c>
      <c r="AM53" s="745">
        <v>33.549999999999997</v>
      </c>
      <c r="AN53" s="745">
        <v>33.75</v>
      </c>
      <c r="AO53" s="745">
        <v>33.89</v>
      </c>
      <c r="AP53" s="745">
        <v>34.01</v>
      </c>
      <c r="AQ53" s="745">
        <v>34.07</v>
      </c>
      <c r="AR53" s="745">
        <v>34.130000000000003</v>
      </c>
      <c r="AS53" s="745">
        <v>34.19</v>
      </c>
      <c r="AT53" s="745">
        <v>34.18</v>
      </c>
      <c r="AU53" s="745">
        <v>34.24</v>
      </c>
      <c r="AV53" s="745">
        <v>34.299999999999997</v>
      </c>
      <c r="AW53" s="745">
        <v>34.5</v>
      </c>
      <c r="AX53" s="745">
        <v>34.549999999999997</v>
      </c>
      <c r="AY53" s="745">
        <v>34.700000000000003</v>
      </c>
      <c r="AZ53" s="745">
        <v>34.82</v>
      </c>
      <c r="BA53" s="745">
        <v>34.94</v>
      </c>
      <c r="BB53" s="745">
        <v>35.049999999999997</v>
      </c>
      <c r="BC53" s="745">
        <v>35.17</v>
      </c>
      <c r="BD53" s="745">
        <v>35.26</v>
      </c>
      <c r="BE53" s="745">
        <v>35.380000000000003</v>
      </c>
      <c r="BF53" s="745">
        <v>35.51</v>
      </c>
      <c r="BG53" s="745">
        <v>35.64</v>
      </c>
      <c r="BH53" s="745">
        <v>35.79</v>
      </c>
      <c r="BI53" s="745">
        <v>35.909999999999997</v>
      </c>
      <c r="BJ53" s="745">
        <v>36.04</v>
      </c>
      <c r="BK53" s="745">
        <v>36.18</v>
      </c>
      <c r="BL53" s="745">
        <v>36.33</v>
      </c>
      <c r="BM53" s="745">
        <v>36.47</v>
      </c>
      <c r="BN53" s="745">
        <v>36.61</v>
      </c>
      <c r="BO53" s="745">
        <v>36.74</v>
      </c>
      <c r="BP53" s="745">
        <v>36.869999999999997</v>
      </c>
      <c r="BQ53" s="745">
        <v>37</v>
      </c>
      <c r="BR53" s="745">
        <v>37.14</v>
      </c>
      <c r="BS53" s="745">
        <v>37.270000000000003</v>
      </c>
      <c r="BT53" s="745">
        <v>37.4</v>
      </c>
      <c r="BU53" s="745">
        <v>37.53</v>
      </c>
      <c r="BV53" s="745">
        <v>37.65</v>
      </c>
      <c r="BW53" s="745">
        <v>37.78</v>
      </c>
      <c r="BX53" s="745">
        <v>37.909999999999997</v>
      </c>
      <c r="BY53" s="745">
        <v>38.03</v>
      </c>
      <c r="BZ53" s="745">
        <v>38.159999999999997</v>
      </c>
      <c r="CA53" s="745">
        <v>38.28</v>
      </c>
      <c r="CB53" s="745">
        <v>38.409999999999997</v>
      </c>
      <c r="CC53" s="745">
        <v>38.53</v>
      </c>
      <c r="CD53" s="745">
        <v>38.65</v>
      </c>
      <c r="CE53" s="745">
        <v>38.770000000000003</v>
      </c>
      <c r="CF53" s="745">
        <v>38.89</v>
      </c>
      <c r="CG53" s="745">
        <v>39.01</v>
      </c>
      <c r="CH53" s="745">
        <v>39.130000000000003</v>
      </c>
      <c r="CI53" s="745">
        <v>39.25</v>
      </c>
      <c r="CJ53" s="745">
        <v>39.369999999999997</v>
      </c>
      <c r="CK53" s="745">
        <v>39.479999999999997</v>
      </c>
      <c r="CL53" s="745">
        <v>39.6</v>
      </c>
      <c r="CM53" s="745">
        <v>39.71</v>
      </c>
      <c r="CN53" s="745">
        <v>39.83</v>
      </c>
      <c r="CO53" s="745">
        <v>39.94</v>
      </c>
      <c r="CP53" s="745">
        <v>40.049999999999997</v>
      </c>
      <c r="CQ53" s="745">
        <v>40.159999999999997</v>
      </c>
      <c r="CR53" s="745">
        <v>40.270000000000003</v>
      </c>
      <c r="CS53" s="745">
        <v>40.380000000000003</v>
      </c>
      <c r="CT53" s="745">
        <v>40.49</v>
      </c>
      <c r="CU53" s="745">
        <v>40.6</v>
      </c>
      <c r="CV53" s="745">
        <v>40.71</v>
      </c>
      <c r="CW53" s="745">
        <v>40.81</v>
      </c>
      <c r="CX53" s="745">
        <v>40.92</v>
      </c>
      <c r="CY53" s="745">
        <v>41.02</v>
      </c>
      <c r="CZ53" s="745">
        <v>41.13</v>
      </c>
      <c r="DA53" s="745">
        <v>41.23</v>
      </c>
      <c r="DB53" s="745">
        <v>41.33</v>
      </c>
      <c r="DC53" s="745">
        <v>41.43</v>
      </c>
      <c r="DD53" s="745">
        <v>41.53</v>
      </c>
      <c r="DE53" s="745">
        <v>41.63</v>
      </c>
      <c r="DF53" s="745">
        <v>41.73</v>
      </c>
      <c r="DG53" s="745">
        <v>41.83</v>
      </c>
      <c r="DH53" s="745">
        <v>41.93</v>
      </c>
      <c r="DI53" s="745">
        <v>42.03</v>
      </c>
      <c r="DJ53" s="745">
        <v>42.12</v>
      </c>
      <c r="DK53" s="745">
        <v>42.22</v>
      </c>
      <c r="DL53" s="745">
        <v>42.31</v>
      </c>
      <c r="DM53" s="745">
        <v>42.41</v>
      </c>
      <c r="DN53" s="745">
        <v>42.5</v>
      </c>
      <c r="DO53" s="745">
        <v>42.59</v>
      </c>
      <c r="DP53" s="745">
        <v>42.68</v>
      </c>
      <c r="DQ53" s="745">
        <v>42.77</v>
      </c>
      <c r="DR53" s="745">
        <v>42.86</v>
      </c>
    </row>
    <row r="54" spans="1:122">
      <c r="A54" s="918">
        <v>52</v>
      </c>
      <c r="B54" s="90"/>
      <c r="C54" s="90"/>
      <c r="D54" s="90"/>
      <c r="E54" s="90"/>
      <c r="F54" s="90"/>
      <c r="G54" s="90"/>
      <c r="H54" s="90"/>
      <c r="I54" s="90"/>
      <c r="J54" s="90"/>
      <c r="K54" s="90"/>
      <c r="L54" s="90"/>
      <c r="M54" s="90"/>
      <c r="N54" s="90"/>
      <c r="O54" s="90"/>
      <c r="P54" s="90"/>
      <c r="Q54" s="90"/>
      <c r="R54" s="90"/>
      <c r="S54" s="90"/>
      <c r="T54" s="90"/>
      <c r="U54" s="90"/>
      <c r="V54" s="745"/>
      <c r="W54" s="745">
        <v>29.62</v>
      </c>
      <c r="X54" s="745">
        <v>29.8</v>
      </c>
      <c r="Y54" s="745">
        <v>29.99</v>
      </c>
      <c r="Z54" s="745">
        <v>30.19</v>
      </c>
      <c r="AA54" s="745">
        <v>30.34</v>
      </c>
      <c r="AB54" s="745">
        <v>30.51</v>
      </c>
      <c r="AC54" s="745">
        <v>30.73</v>
      </c>
      <c r="AD54" s="745">
        <v>30.84</v>
      </c>
      <c r="AE54" s="745">
        <v>31.06</v>
      </c>
      <c r="AF54" s="745">
        <v>31.22</v>
      </c>
      <c r="AG54" s="745">
        <v>31.38</v>
      </c>
      <c r="AH54" s="745">
        <v>31.55</v>
      </c>
      <c r="AI54" s="745">
        <v>31.73</v>
      </c>
      <c r="AJ54" s="745">
        <v>31.96</v>
      </c>
      <c r="AK54" s="745">
        <v>32.18</v>
      </c>
      <c r="AL54" s="745">
        <v>32.43</v>
      </c>
      <c r="AM54" s="745">
        <v>32.659999999999997</v>
      </c>
      <c r="AN54" s="745">
        <v>32.85</v>
      </c>
      <c r="AO54" s="745">
        <v>33</v>
      </c>
      <c r="AP54" s="745">
        <v>33.119999999999997</v>
      </c>
      <c r="AQ54" s="745">
        <v>33.17</v>
      </c>
      <c r="AR54" s="745">
        <v>33.24</v>
      </c>
      <c r="AS54" s="745">
        <v>33.299999999999997</v>
      </c>
      <c r="AT54" s="745">
        <v>33.29</v>
      </c>
      <c r="AU54" s="745">
        <v>33.340000000000003</v>
      </c>
      <c r="AV54" s="745">
        <v>33.4</v>
      </c>
      <c r="AW54" s="745">
        <v>33.6</v>
      </c>
      <c r="AX54" s="745">
        <v>33.65</v>
      </c>
      <c r="AY54" s="745">
        <v>33.799999999999997</v>
      </c>
      <c r="AZ54" s="745">
        <v>33.92</v>
      </c>
      <c r="BA54" s="745">
        <v>34.03</v>
      </c>
      <c r="BB54" s="745">
        <v>34.14</v>
      </c>
      <c r="BC54" s="745">
        <v>34.26</v>
      </c>
      <c r="BD54" s="745">
        <v>34.35</v>
      </c>
      <c r="BE54" s="745">
        <v>34.47</v>
      </c>
      <c r="BF54" s="745">
        <v>34.6</v>
      </c>
      <c r="BG54" s="745">
        <v>34.729999999999997</v>
      </c>
      <c r="BH54" s="745">
        <v>34.869999999999997</v>
      </c>
      <c r="BI54" s="745">
        <v>35</v>
      </c>
      <c r="BJ54" s="745">
        <v>35.130000000000003</v>
      </c>
      <c r="BK54" s="745">
        <v>35.26</v>
      </c>
      <c r="BL54" s="745">
        <v>35.409999999999997</v>
      </c>
      <c r="BM54" s="745">
        <v>35.549999999999997</v>
      </c>
      <c r="BN54" s="745">
        <v>35.69</v>
      </c>
      <c r="BO54" s="745">
        <v>35.82</v>
      </c>
      <c r="BP54" s="745">
        <v>35.950000000000003</v>
      </c>
      <c r="BQ54" s="745">
        <v>36.08</v>
      </c>
      <c r="BR54" s="745">
        <v>36.21</v>
      </c>
      <c r="BS54" s="745">
        <v>36.340000000000003</v>
      </c>
      <c r="BT54" s="745">
        <v>36.47</v>
      </c>
      <c r="BU54" s="745">
        <v>36.6</v>
      </c>
      <c r="BV54" s="745">
        <v>36.72</v>
      </c>
      <c r="BW54" s="745">
        <v>36.85</v>
      </c>
      <c r="BX54" s="745">
        <v>36.979999999999997</v>
      </c>
      <c r="BY54" s="745">
        <v>37.1</v>
      </c>
      <c r="BZ54" s="745">
        <v>37.22</v>
      </c>
      <c r="CA54" s="745">
        <v>37.35</v>
      </c>
      <c r="CB54" s="745">
        <v>37.47</v>
      </c>
      <c r="CC54" s="745">
        <v>37.590000000000003</v>
      </c>
      <c r="CD54" s="745">
        <v>37.71</v>
      </c>
      <c r="CE54" s="745">
        <v>37.83</v>
      </c>
      <c r="CF54" s="745">
        <v>37.950000000000003</v>
      </c>
      <c r="CG54" s="745">
        <v>38.07</v>
      </c>
      <c r="CH54" s="745">
        <v>38.19</v>
      </c>
      <c r="CI54" s="745">
        <v>38.31</v>
      </c>
      <c r="CJ54" s="745">
        <v>38.42</v>
      </c>
      <c r="CK54" s="745">
        <v>38.54</v>
      </c>
      <c r="CL54" s="745">
        <v>38.65</v>
      </c>
      <c r="CM54" s="745">
        <v>38.76</v>
      </c>
      <c r="CN54" s="745">
        <v>38.880000000000003</v>
      </c>
      <c r="CO54" s="745">
        <v>38.99</v>
      </c>
      <c r="CP54" s="745">
        <v>39.1</v>
      </c>
      <c r="CQ54" s="745">
        <v>39.21</v>
      </c>
      <c r="CR54" s="745">
        <v>39.32</v>
      </c>
      <c r="CS54" s="745">
        <v>39.43</v>
      </c>
      <c r="CT54" s="745">
        <v>39.54</v>
      </c>
      <c r="CU54" s="745">
        <v>39.64</v>
      </c>
      <c r="CV54" s="745">
        <v>39.75</v>
      </c>
      <c r="CW54" s="745">
        <v>39.86</v>
      </c>
      <c r="CX54" s="745">
        <v>39.96</v>
      </c>
      <c r="CY54" s="745">
        <v>40.07</v>
      </c>
      <c r="CZ54" s="745">
        <v>40.17</v>
      </c>
      <c r="DA54" s="745">
        <v>40.270000000000003</v>
      </c>
      <c r="DB54" s="745">
        <v>40.369999999999997</v>
      </c>
      <c r="DC54" s="745">
        <v>40.47</v>
      </c>
      <c r="DD54" s="745">
        <v>40.57</v>
      </c>
      <c r="DE54" s="745">
        <v>40.67</v>
      </c>
      <c r="DF54" s="745">
        <v>40.770000000000003</v>
      </c>
      <c r="DG54" s="745">
        <v>40.869999999999997</v>
      </c>
      <c r="DH54" s="745">
        <v>40.97</v>
      </c>
      <c r="DI54" s="745">
        <v>41.06</v>
      </c>
      <c r="DJ54" s="745">
        <v>41.16</v>
      </c>
      <c r="DK54" s="745">
        <v>41.25</v>
      </c>
      <c r="DL54" s="745">
        <v>41.35</v>
      </c>
      <c r="DM54" s="745">
        <v>41.44</v>
      </c>
      <c r="DN54" s="745">
        <v>41.53</v>
      </c>
      <c r="DO54" s="745">
        <v>41.62</v>
      </c>
      <c r="DP54" s="745">
        <v>41.72</v>
      </c>
      <c r="DQ54" s="745">
        <v>41.81</v>
      </c>
      <c r="DR54" s="745">
        <v>41.89</v>
      </c>
    </row>
    <row r="55" spans="1:122">
      <c r="A55" s="918">
        <v>53</v>
      </c>
      <c r="B55" s="90"/>
      <c r="C55" s="90"/>
      <c r="D55" s="90"/>
      <c r="E55" s="90"/>
      <c r="F55" s="90"/>
      <c r="G55" s="90"/>
      <c r="H55" s="90"/>
      <c r="I55" s="90"/>
      <c r="J55" s="90"/>
      <c r="K55" s="90"/>
      <c r="L55" s="90"/>
      <c r="M55" s="90"/>
      <c r="N55" s="90"/>
      <c r="O55" s="90"/>
      <c r="P55" s="90"/>
      <c r="Q55" s="90"/>
      <c r="R55" s="90"/>
      <c r="S55" s="90"/>
      <c r="T55" s="90"/>
      <c r="U55" s="90"/>
      <c r="V55" s="745"/>
      <c r="W55" s="745">
        <v>28.76</v>
      </c>
      <c r="X55" s="745">
        <v>28.95</v>
      </c>
      <c r="Y55" s="745">
        <v>29.13</v>
      </c>
      <c r="Z55" s="745">
        <v>29.33</v>
      </c>
      <c r="AA55" s="745">
        <v>29.47</v>
      </c>
      <c r="AB55" s="745">
        <v>29.65</v>
      </c>
      <c r="AC55" s="745">
        <v>29.86</v>
      </c>
      <c r="AD55" s="745">
        <v>29.97</v>
      </c>
      <c r="AE55" s="745">
        <v>30.19</v>
      </c>
      <c r="AF55" s="745">
        <v>30.35</v>
      </c>
      <c r="AG55" s="745">
        <v>30.51</v>
      </c>
      <c r="AH55" s="745">
        <v>30.68</v>
      </c>
      <c r="AI55" s="745">
        <v>30.85</v>
      </c>
      <c r="AJ55" s="745">
        <v>31.08</v>
      </c>
      <c r="AK55" s="745">
        <v>31.3</v>
      </c>
      <c r="AL55" s="745">
        <v>31.55</v>
      </c>
      <c r="AM55" s="745">
        <v>31.77</v>
      </c>
      <c r="AN55" s="745">
        <v>31.97</v>
      </c>
      <c r="AO55" s="745">
        <v>32.11</v>
      </c>
      <c r="AP55" s="745">
        <v>32.229999999999997</v>
      </c>
      <c r="AQ55" s="745">
        <v>32.29</v>
      </c>
      <c r="AR55" s="745">
        <v>32.35</v>
      </c>
      <c r="AS55" s="745">
        <v>32.409999999999997</v>
      </c>
      <c r="AT55" s="745">
        <v>32.4</v>
      </c>
      <c r="AU55" s="745">
        <v>32.450000000000003</v>
      </c>
      <c r="AV55" s="745">
        <v>32.51</v>
      </c>
      <c r="AW55" s="745">
        <v>32.700000000000003</v>
      </c>
      <c r="AX55" s="745">
        <v>32.76</v>
      </c>
      <c r="AY55" s="745">
        <v>32.9</v>
      </c>
      <c r="AZ55" s="745">
        <v>33.020000000000003</v>
      </c>
      <c r="BA55" s="745">
        <v>33.130000000000003</v>
      </c>
      <c r="BB55" s="745">
        <v>33.24</v>
      </c>
      <c r="BC55" s="745">
        <v>33.36</v>
      </c>
      <c r="BD55" s="745">
        <v>33.450000000000003</v>
      </c>
      <c r="BE55" s="745">
        <v>33.57</v>
      </c>
      <c r="BF55" s="745">
        <v>33.69</v>
      </c>
      <c r="BG55" s="745">
        <v>33.82</v>
      </c>
      <c r="BH55" s="745">
        <v>33.97</v>
      </c>
      <c r="BI55" s="745">
        <v>34.090000000000003</v>
      </c>
      <c r="BJ55" s="745">
        <v>34.22</v>
      </c>
      <c r="BK55" s="745">
        <v>34.35</v>
      </c>
      <c r="BL55" s="745">
        <v>34.5</v>
      </c>
      <c r="BM55" s="745">
        <v>34.630000000000003</v>
      </c>
      <c r="BN55" s="745">
        <v>34.770000000000003</v>
      </c>
      <c r="BO55" s="745">
        <v>34.9</v>
      </c>
      <c r="BP55" s="745">
        <v>35.03</v>
      </c>
      <c r="BQ55" s="745">
        <v>35.159999999999997</v>
      </c>
      <c r="BR55" s="745">
        <v>35.29</v>
      </c>
      <c r="BS55" s="745">
        <v>35.42</v>
      </c>
      <c r="BT55" s="745">
        <v>35.54</v>
      </c>
      <c r="BU55" s="745">
        <v>35.67</v>
      </c>
      <c r="BV55" s="745">
        <v>35.799999999999997</v>
      </c>
      <c r="BW55" s="745">
        <v>35.92</v>
      </c>
      <c r="BX55" s="745">
        <v>36.049999999999997</v>
      </c>
      <c r="BY55" s="745">
        <v>36.17</v>
      </c>
      <c r="BZ55" s="745">
        <v>36.29</v>
      </c>
      <c r="CA55" s="745">
        <v>36.42</v>
      </c>
      <c r="CB55" s="745">
        <v>36.54</v>
      </c>
      <c r="CC55" s="745">
        <v>36.659999999999997</v>
      </c>
      <c r="CD55" s="745">
        <v>36.78</v>
      </c>
      <c r="CE55" s="745">
        <v>36.9</v>
      </c>
      <c r="CF55" s="745">
        <v>37.01</v>
      </c>
      <c r="CG55" s="745">
        <v>37.130000000000003</v>
      </c>
      <c r="CH55" s="745">
        <v>37.25</v>
      </c>
      <c r="CI55" s="745">
        <v>37.36</v>
      </c>
      <c r="CJ55" s="745">
        <v>37.479999999999997</v>
      </c>
      <c r="CK55" s="745">
        <v>37.590000000000003</v>
      </c>
      <c r="CL55" s="745">
        <v>37.71</v>
      </c>
      <c r="CM55" s="745">
        <v>37.82</v>
      </c>
      <c r="CN55" s="745">
        <v>37.93</v>
      </c>
      <c r="CO55" s="745">
        <v>38.04</v>
      </c>
      <c r="CP55" s="745">
        <v>38.15</v>
      </c>
      <c r="CQ55" s="745">
        <v>38.26</v>
      </c>
      <c r="CR55" s="745">
        <v>38.369999999999997</v>
      </c>
      <c r="CS55" s="745">
        <v>38.479999999999997</v>
      </c>
      <c r="CT55" s="745">
        <v>38.590000000000003</v>
      </c>
      <c r="CU55" s="745">
        <v>38.69</v>
      </c>
      <c r="CV55" s="745">
        <v>38.799999999999997</v>
      </c>
      <c r="CW55" s="745">
        <v>38.9</v>
      </c>
      <c r="CX55" s="745">
        <v>39.01</v>
      </c>
      <c r="CY55" s="745">
        <v>39.11</v>
      </c>
      <c r="CZ55" s="745">
        <v>39.21</v>
      </c>
      <c r="DA55" s="745">
        <v>39.32</v>
      </c>
      <c r="DB55" s="745">
        <v>39.42</v>
      </c>
      <c r="DC55" s="745">
        <v>39.520000000000003</v>
      </c>
      <c r="DD55" s="745">
        <v>39.619999999999997</v>
      </c>
      <c r="DE55" s="745">
        <v>39.71</v>
      </c>
      <c r="DF55" s="745">
        <v>39.81</v>
      </c>
      <c r="DG55" s="745">
        <v>39.909999999999997</v>
      </c>
      <c r="DH55" s="745">
        <v>40.01</v>
      </c>
      <c r="DI55" s="745">
        <v>40.1</v>
      </c>
      <c r="DJ55" s="745">
        <v>40.200000000000003</v>
      </c>
      <c r="DK55" s="745">
        <v>40.29</v>
      </c>
      <c r="DL55" s="745">
        <v>40.380000000000003</v>
      </c>
      <c r="DM55" s="745">
        <v>40.479999999999997</v>
      </c>
      <c r="DN55" s="745">
        <v>40.57</v>
      </c>
      <c r="DO55" s="745">
        <v>40.659999999999997</v>
      </c>
      <c r="DP55" s="745">
        <v>40.75</v>
      </c>
      <c r="DQ55" s="745">
        <v>40.840000000000003</v>
      </c>
      <c r="DR55" s="745">
        <v>40.93</v>
      </c>
    </row>
    <row r="56" spans="1:122">
      <c r="A56" s="918">
        <v>54</v>
      </c>
      <c r="B56" s="90"/>
      <c r="C56" s="90"/>
      <c r="D56" s="90"/>
      <c r="E56" s="90"/>
      <c r="F56" s="90"/>
      <c r="G56" s="90"/>
      <c r="H56" s="90"/>
      <c r="I56" s="90"/>
      <c r="J56" s="90"/>
      <c r="K56" s="90"/>
      <c r="L56" s="90"/>
      <c r="M56" s="90"/>
      <c r="N56" s="90"/>
      <c r="O56" s="90"/>
      <c r="P56" s="90"/>
      <c r="Q56" s="90"/>
      <c r="R56" s="90"/>
      <c r="S56" s="90"/>
      <c r="T56" s="90"/>
      <c r="U56" s="90"/>
      <c r="V56" s="745"/>
      <c r="W56" s="745">
        <v>27.91</v>
      </c>
      <c r="X56" s="745">
        <v>28.1</v>
      </c>
      <c r="Y56" s="745">
        <v>28.28</v>
      </c>
      <c r="Z56" s="745">
        <v>28.48</v>
      </c>
      <c r="AA56" s="745">
        <v>28.62</v>
      </c>
      <c r="AB56" s="745">
        <v>28.79</v>
      </c>
      <c r="AC56" s="745">
        <v>29</v>
      </c>
      <c r="AD56" s="745">
        <v>29.11</v>
      </c>
      <c r="AE56" s="745">
        <v>29.33</v>
      </c>
      <c r="AF56" s="745">
        <v>29.48</v>
      </c>
      <c r="AG56" s="745">
        <v>29.64</v>
      </c>
      <c r="AH56" s="745">
        <v>29.81</v>
      </c>
      <c r="AI56" s="745">
        <v>29.97</v>
      </c>
      <c r="AJ56" s="745">
        <v>30.21</v>
      </c>
      <c r="AK56" s="745">
        <v>30.42</v>
      </c>
      <c r="AL56" s="745">
        <v>30.67</v>
      </c>
      <c r="AM56" s="745">
        <v>30.89</v>
      </c>
      <c r="AN56" s="745">
        <v>31.09</v>
      </c>
      <c r="AO56" s="745">
        <v>31.23</v>
      </c>
      <c r="AP56" s="745">
        <v>31.33</v>
      </c>
      <c r="AQ56" s="745">
        <v>31.4</v>
      </c>
      <c r="AR56" s="745">
        <v>31.46</v>
      </c>
      <c r="AS56" s="745">
        <v>31.52</v>
      </c>
      <c r="AT56" s="745">
        <v>31.51</v>
      </c>
      <c r="AU56" s="745">
        <v>31.56</v>
      </c>
      <c r="AV56" s="745">
        <v>31.62</v>
      </c>
      <c r="AW56" s="745">
        <v>31.81</v>
      </c>
      <c r="AX56" s="745">
        <v>31.87</v>
      </c>
      <c r="AY56" s="745">
        <v>32</v>
      </c>
      <c r="AZ56" s="745">
        <v>32.119999999999997</v>
      </c>
      <c r="BA56" s="745">
        <v>32.24</v>
      </c>
      <c r="BB56" s="745">
        <v>32.340000000000003</v>
      </c>
      <c r="BC56" s="745">
        <v>32.46</v>
      </c>
      <c r="BD56" s="745">
        <v>32.549999999999997</v>
      </c>
      <c r="BE56" s="745">
        <v>32.67</v>
      </c>
      <c r="BF56" s="745">
        <v>32.79</v>
      </c>
      <c r="BG56" s="745">
        <v>32.92</v>
      </c>
      <c r="BH56" s="745">
        <v>33.07</v>
      </c>
      <c r="BI56" s="745">
        <v>33.19</v>
      </c>
      <c r="BJ56" s="745">
        <v>33.32</v>
      </c>
      <c r="BK56" s="745">
        <v>33.450000000000003</v>
      </c>
      <c r="BL56" s="745">
        <v>33.590000000000003</v>
      </c>
      <c r="BM56" s="745">
        <v>33.72</v>
      </c>
      <c r="BN56" s="745">
        <v>33.86</v>
      </c>
      <c r="BO56" s="745">
        <v>33.979999999999997</v>
      </c>
      <c r="BP56" s="745">
        <v>34.11</v>
      </c>
      <c r="BQ56" s="745">
        <v>34.24</v>
      </c>
      <c r="BR56" s="745">
        <v>34.369999999999997</v>
      </c>
      <c r="BS56" s="745">
        <v>34.5</v>
      </c>
      <c r="BT56" s="745">
        <v>34.619999999999997</v>
      </c>
      <c r="BU56" s="745">
        <v>34.75</v>
      </c>
      <c r="BV56" s="745">
        <v>34.869999999999997</v>
      </c>
      <c r="BW56" s="745">
        <v>35</v>
      </c>
      <c r="BX56" s="745">
        <v>35.119999999999997</v>
      </c>
      <c r="BY56" s="745">
        <v>35.24</v>
      </c>
      <c r="BZ56" s="745">
        <v>35.369999999999997</v>
      </c>
      <c r="CA56" s="745">
        <v>35.49</v>
      </c>
      <c r="CB56" s="745">
        <v>35.61</v>
      </c>
      <c r="CC56" s="745">
        <v>35.729999999999997</v>
      </c>
      <c r="CD56" s="745">
        <v>35.85</v>
      </c>
      <c r="CE56" s="745">
        <v>35.96</v>
      </c>
      <c r="CF56" s="745">
        <v>36.08</v>
      </c>
      <c r="CG56" s="745">
        <v>36.200000000000003</v>
      </c>
      <c r="CH56" s="745">
        <v>36.31</v>
      </c>
      <c r="CI56" s="745">
        <v>36.43</v>
      </c>
      <c r="CJ56" s="745">
        <v>36.54</v>
      </c>
      <c r="CK56" s="745">
        <v>36.659999999999997</v>
      </c>
      <c r="CL56" s="745">
        <v>36.770000000000003</v>
      </c>
      <c r="CM56" s="745">
        <v>36.880000000000003</v>
      </c>
      <c r="CN56" s="745">
        <v>36.99</v>
      </c>
      <c r="CO56" s="745">
        <v>37.1</v>
      </c>
      <c r="CP56" s="745">
        <v>37.21</v>
      </c>
      <c r="CQ56" s="745">
        <v>37.32</v>
      </c>
      <c r="CR56" s="745">
        <v>37.43</v>
      </c>
      <c r="CS56" s="745">
        <v>37.53</v>
      </c>
      <c r="CT56" s="745">
        <v>37.64</v>
      </c>
      <c r="CU56" s="745">
        <v>37.75</v>
      </c>
      <c r="CV56" s="745">
        <v>37.85</v>
      </c>
      <c r="CW56" s="745">
        <v>37.950000000000003</v>
      </c>
      <c r="CX56" s="745">
        <v>38.06</v>
      </c>
      <c r="CY56" s="745">
        <v>38.159999999999997</v>
      </c>
      <c r="CZ56" s="745">
        <v>38.26</v>
      </c>
      <c r="DA56" s="745">
        <v>38.36</v>
      </c>
      <c r="DB56" s="745">
        <v>38.46</v>
      </c>
      <c r="DC56" s="745">
        <v>38.56</v>
      </c>
      <c r="DD56" s="745">
        <v>38.659999999999997</v>
      </c>
      <c r="DE56" s="745">
        <v>38.76</v>
      </c>
      <c r="DF56" s="745">
        <v>38.86</v>
      </c>
      <c r="DG56" s="745">
        <v>38.950000000000003</v>
      </c>
      <c r="DH56" s="745">
        <v>39.049999999999997</v>
      </c>
      <c r="DI56" s="745">
        <v>39.14</v>
      </c>
      <c r="DJ56" s="745">
        <v>39.24</v>
      </c>
      <c r="DK56" s="745">
        <v>39.33</v>
      </c>
      <c r="DL56" s="745">
        <v>39.42</v>
      </c>
      <c r="DM56" s="745">
        <v>39.51</v>
      </c>
      <c r="DN56" s="745">
        <v>39.61</v>
      </c>
      <c r="DO56" s="745">
        <v>39.700000000000003</v>
      </c>
      <c r="DP56" s="745">
        <v>39.79</v>
      </c>
      <c r="DQ56" s="745">
        <v>39.880000000000003</v>
      </c>
      <c r="DR56" s="745">
        <v>39.96</v>
      </c>
    </row>
    <row r="57" spans="1:122">
      <c r="A57" s="918">
        <v>55</v>
      </c>
      <c r="B57" s="90"/>
      <c r="C57" s="90"/>
      <c r="D57" s="90"/>
      <c r="E57" s="90"/>
      <c r="F57" s="90"/>
      <c r="G57" s="90"/>
      <c r="H57" s="90"/>
      <c r="I57" s="90"/>
      <c r="J57" s="90"/>
      <c r="K57" s="90"/>
      <c r="L57" s="90"/>
      <c r="M57" s="90"/>
      <c r="N57" s="90"/>
      <c r="O57" s="90"/>
      <c r="P57" s="90"/>
      <c r="Q57" s="90"/>
      <c r="R57" s="90"/>
      <c r="S57" s="90"/>
      <c r="T57" s="90"/>
      <c r="U57" s="90"/>
      <c r="V57" s="745"/>
      <c r="W57" s="745">
        <v>27.07</v>
      </c>
      <c r="X57" s="745">
        <v>27.25</v>
      </c>
      <c r="Y57" s="745">
        <v>27.43</v>
      </c>
      <c r="Z57" s="745">
        <v>27.62</v>
      </c>
      <c r="AA57" s="745">
        <v>27.76</v>
      </c>
      <c r="AB57" s="745">
        <v>27.94</v>
      </c>
      <c r="AC57" s="745">
        <v>28.14</v>
      </c>
      <c r="AD57" s="745">
        <v>28.25</v>
      </c>
      <c r="AE57" s="745">
        <v>28.46</v>
      </c>
      <c r="AF57" s="745">
        <v>28.61</v>
      </c>
      <c r="AG57" s="745">
        <v>28.78</v>
      </c>
      <c r="AH57" s="745">
        <v>28.94</v>
      </c>
      <c r="AI57" s="745">
        <v>29.1</v>
      </c>
      <c r="AJ57" s="745">
        <v>29.34</v>
      </c>
      <c r="AK57" s="745">
        <v>29.55</v>
      </c>
      <c r="AL57" s="745">
        <v>29.8</v>
      </c>
      <c r="AM57" s="745">
        <v>30.02</v>
      </c>
      <c r="AN57" s="745">
        <v>30.21</v>
      </c>
      <c r="AO57" s="745">
        <v>30.35</v>
      </c>
      <c r="AP57" s="745">
        <v>30.45</v>
      </c>
      <c r="AQ57" s="745">
        <v>30.52</v>
      </c>
      <c r="AR57" s="745">
        <v>30.58</v>
      </c>
      <c r="AS57" s="745">
        <v>30.63</v>
      </c>
      <c r="AT57" s="745">
        <v>30.63</v>
      </c>
      <c r="AU57" s="745">
        <v>30.68</v>
      </c>
      <c r="AV57" s="745">
        <v>30.73</v>
      </c>
      <c r="AW57" s="745">
        <v>30.93</v>
      </c>
      <c r="AX57" s="745">
        <v>30.98</v>
      </c>
      <c r="AY57" s="745">
        <v>31.11</v>
      </c>
      <c r="AZ57" s="745">
        <v>31.23</v>
      </c>
      <c r="BA57" s="745">
        <v>31.34</v>
      </c>
      <c r="BB57" s="745">
        <v>31.44</v>
      </c>
      <c r="BC57" s="745">
        <v>31.55</v>
      </c>
      <c r="BD57" s="745">
        <v>31.65</v>
      </c>
      <c r="BE57" s="745">
        <v>31.77</v>
      </c>
      <c r="BF57" s="745">
        <v>31.9</v>
      </c>
      <c r="BG57" s="745">
        <v>32.020000000000003</v>
      </c>
      <c r="BH57" s="745">
        <v>32.17</v>
      </c>
      <c r="BI57" s="745">
        <v>32.29</v>
      </c>
      <c r="BJ57" s="745">
        <v>32.42</v>
      </c>
      <c r="BK57" s="745">
        <v>32.549999999999997</v>
      </c>
      <c r="BL57" s="745">
        <v>32.68</v>
      </c>
      <c r="BM57" s="745">
        <v>32.82</v>
      </c>
      <c r="BN57" s="745">
        <v>32.950000000000003</v>
      </c>
      <c r="BO57" s="745">
        <v>33.08</v>
      </c>
      <c r="BP57" s="745">
        <v>33.200000000000003</v>
      </c>
      <c r="BQ57" s="745">
        <v>33.33</v>
      </c>
      <c r="BR57" s="745">
        <v>33.46</v>
      </c>
      <c r="BS57" s="745">
        <v>33.58</v>
      </c>
      <c r="BT57" s="745">
        <v>33.71</v>
      </c>
      <c r="BU57" s="745">
        <v>33.83</v>
      </c>
      <c r="BV57" s="745">
        <v>33.96</v>
      </c>
      <c r="BW57" s="745">
        <v>34.08</v>
      </c>
      <c r="BX57" s="745">
        <v>34.200000000000003</v>
      </c>
      <c r="BY57" s="745">
        <v>34.32</v>
      </c>
      <c r="BZ57" s="745">
        <v>34.44</v>
      </c>
      <c r="CA57" s="745">
        <v>34.56</v>
      </c>
      <c r="CB57" s="745">
        <v>34.68</v>
      </c>
      <c r="CC57" s="745">
        <v>34.799999999999997</v>
      </c>
      <c r="CD57" s="745">
        <v>34.92</v>
      </c>
      <c r="CE57" s="745">
        <v>35.04</v>
      </c>
      <c r="CF57" s="745">
        <v>35.15</v>
      </c>
      <c r="CG57" s="745">
        <v>35.270000000000003</v>
      </c>
      <c r="CH57" s="745">
        <v>35.380000000000003</v>
      </c>
      <c r="CI57" s="745">
        <v>35.5</v>
      </c>
      <c r="CJ57" s="745">
        <v>35.61</v>
      </c>
      <c r="CK57" s="745">
        <v>35.72</v>
      </c>
      <c r="CL57" s="745">
        <v>35.83</v>
      </c>
      <c r="CM57" s="745">
        <v>35.94</v>
      </c>
      <c r="CN57" s="745">
        <v>36.049999999999997</v>
      </c>
      <c r="CO57" s="745">
        <v>36.159999999999997</v>
      </c>
      <c r="CP57" s="745">
        <v>36.270000000000003</v>
      </c>
      <c r="CQ57" s="745">
        <v>36.380000000000003</v>
      </c>
      <c r="CR57" s="745">
        <v>36.479999999999997</v>
      </c>
      <c r="CS57" s="745">
        <v>36.590000000000003</v>
      </c>
      <c r="CT57" s="745">
        <v>36.700000000000003</v>
      </c>
      <c r="CU57" s="745">
        <v>36.799999999999997</v>
      </c>
      <c r="CV57" s="745">
        <v>36.9</v>
      </c>
      <c r="CW57" s="745">
        <v>37.01</v>
      </c>
      <c r="CX57" s="745">
        <v>37.11</v>
      </c>
      <c r="CY57" s="745">
        <v>37.21</v>
      </c>
      <c r="CZ57" s="745">
        <v>37.31</v>
      </c>
      <c r="DA57" s="745">
        <v>37.409999999999997</v>
      </c>
      <c r="DB57" s="745">
        <v>37.51</v>
      </c>
      <c r="DC57" s="745">
        <v>37.61</v>
      </c>
      <c r="DD57" s="745">
        <v>37.71</v>
      </c>
      <c r="DE57" s="745">
        <v>37.81</v>
      </c>
      <c r="DF57" s="745">
        <v>37.9</v>
      </c>
      <c r="DG57" s="745">
        <v>38</v>
      </c>
      <c r="DH57" s="745">
        <v>38.090000000000003</v>
      </c>
      <c r="DI57" s="745">
        <v>38.19</v>
      </c>
      <c r="DJ57" s="745">
        <v>38.28</v>
      </c>
      <c r="DK57" s="745">
        <v>38.369999999999997</v>
      </c>
      <c r="DL57" s="745">
        <v>38.46</v>
      </c>
      <c r="DM57" s="745">
        <v>38.56</v>
      </c>
      <c r="DN57" s="745">
        <v>38.65</v>
      </c>
      <c r="DO57" s="745">
        <v>38.74</v>
      </c>
      <c r="DP57" s="745">
        <v>38.83</v>
      </c>
      <c r="DQ57" s="745">
        <v>38.909999999999997</v>
      </c>
      <c r="DR57" s="745">
        <v>39</v>
      </c>
    </row>
    <row r="58" spans="1:122">
      <c r="A58" s="918">
        <v>56</v>
      </c>
      <c r="B58" s="90"/>
      <c r="C58" s="90"/>
      <c r="D58" s="90"/>
      <c r="E58" s="90"/>
      <c r="F58" s="90"/>
      <c r="G58" s="90"/>
      <c r="H58" s="90"/>
      <c r="I58" s="90"/>
      <c r="J58" s="90"/>
      <c r="K58" s="90"/>
      <c r="L58" s="90"/>
      <c r="M58" s="90"/>
      <c r="N58" s="90"/>
      <c r="O58" s="90"/>
      <c r="P58" s="90"/>
      <c r="Q58" s="90"/>
      <c r="R58" s="90"/>
      <c r="S58" s="90"/>
      <c r="T58" s="90"/>
      <c r="U58" s="90"/>
      <c r="V58" s="745"/>
      <c r="W58" s="745">
        <v>26.23</v>
      </c>
      <c r="X58" s="745">
        <v>26.4</v>
      </c>
      <c r="Y58" s="745">
        <v>26.58</v>
      </c>
      <c r="Z58" s="745">
        <v>26.78</v>
      </c>
      <c r="AA58" s="745">
        <v>26.91</v>
      </c>
      <c r="AB58" s="745">
        <v>27.09</v>
      </c>
      <c r="AC58" s="745">
        <v>27.29</v>
      </c>
      <c r="AD58" s="745">
        <v>27.4</v>
      </c>
      <c r="AE58" s="745">
        <v>27.6</v>
      </c>
      <c r="AF58" s="745">
        <v>27.76</v>
      </c>
      <c r="AG58" s="745">
        <v>27.91</v>
      </c>
      <c r="AH58" s="745">
        <v>28.08</v>
      </c>
      <c r="AI58" s="745">
        <v>28.24</v>
      </c>
      <c r="AJ58" s="745">
        <v>28.48</v>
      </c>
      <c r="AK58" s="745">
        <v>28.69</v>
      </c>
      <c r="AL58" s="745">
        <v>28.93</v>
      </c>
      <c r="AM58" s="745">
        <v>29.15</v>
      </c>
      <c r="AN58" s="745">
        <v>29.33</v>
      </c>
      <c r="AO58" s="745">
        <v>29.47</v>
      </c>
      <c r="AP58" s="745">
        <v>29.57</v>
      </c>
      <c r="AQ58" s="745">
        <v>29.64</v>
      </c>
      <c r="AR58" s="745">
        <v>29.69</v>
      </c>
      <c r="AS58" s="745">
        <v>29.75</v>
      </c>
      <c r="AT58" s="745">
        <v>29.75</v>
      </c>
      <c r="AU58" s="745">
        <v>29.79</v>
      </c>
      <c r="AV58" s="745">
        <v>29.85</v>
      </c>
      <c r="AW58" s="745">
        <v>30.04</v>
      </c>
      <c r="AX58" s="745">
        <v>30.09</v>
      </c>
      <c r="AY58" s="745">
        <v>30.23</v>
      </c>
      <c r="AZ58" s="745">
        <v>30.34</v>
      </c>
      <c r="BA58" s="745">
        <v>30.45</v>
      </c>
      <c r="BB58" s="745">
        <v>30.56</v>
      </c>
      <c r="BC58" s="745">
        <v>30.66</v>
      </c>
      <c r="BD58" s="745">
        <v>30.76</v>
      </c>
      <c r="BE58" s="745">
        <v>30.88</v>
      </c>
      <c r="BF58" s="745">
        <v>31.01</v>
      </c>
      <c r="BG58" s="745">
        <v>31.13</v>
      </c>
      <c r="BH58" s="745">
        <v>31.27</v>
      </c>
      <c r="BI58" s="745">
        <v>31.39</v>
      </c>
      <c r="BJ58" s="745">
        <v>31.53</v>
      </c>
      <c r="BK58" s="745">
        <v>31.65</v>
      </c>
      <c r="BL58" s="745">
        <v>31.79</v>
      </c>
      <c r="BM58" s="745">
        <v>31.92</v>
      </c>
      <c r="BN58" s="745">
        <v>32.049999999999997</v>
      </c>
      <c r="BO58" s="745">
        <v>32.17</v>
      </c>
      <c r="BP58" s="745">
        <v>32.299999999999997</v>
      </c>
      <c r="BQ58" s="745">
        <v>32.42</v>
      </c>
      <c r="BR58" s="745">
        <v>32.549999999999997</v>
      </c>
      <c r="BS58" s="745">
        <v>32.67</v>
      </c>
      <c r="BT58" s="745">
        <v>32.799999999999997</v>
      </c>
      <c r="BU58" s="745">
        <v>32.92</v>
      </c>
      <c r="BV58" s="745">
        <v>33.04</v>
      </c>
      <c r="BW58" s="745">
        <v>33.159999999999997</v>
      </c>
      <c r="BX58" s="745">
        <v>33.29</v>
      </c>
      <c r="BY58" s="745">
        <v>33.409999999999997</v>
      </c>
      <c r="BZ58" s="745">
        <v>33.53</v>
      </c>
      <c r="CA58" s="745">
        <v>33.64</v>
      </c>
      <c r="CB58" s="745">
        <v>33.76</v>
      </c>
      <c r="CC58" s="745">
        <v>33.880000000000003</v>
      </c>
      <c r="CD58" s="745">
        <v>34</v>
      </c>
      <c r="CE58" s="745">
        <v>34.11</v>
      </c>
      <c r="CF58" s="745">
        <v>34.229999999999997</v>
      </c>
      <c r="CG58" s="745">
        <v>34.340000000000003</v>
      </c>
      <c r="CH58" s="745">
        <v>34.450000000000003</v>
      </c>
      <c r="CI58" s="745">
        <v>34.57</v>
      </c>
      <c r="CJ58" s="745">
        <v>34.68</v>
      </c>
      <c r="CK58" s="745">
        <v>34.79</v>
      </c>
      <c r="CL58" s="745">
        <v>34.9</v>
      </c>
      <c r="CM58" s="745">
        <v>35.01</v>
      </c>
      <c r="CN58" s="745">
        <v>35.119999999999997</v>
      </c>
      <c r="CO58" s="745">
        <v>35.229999999999997</v>
      </c>
      <c r="CP58" s="745">
        <v>35.33</v>
      </c>
      <c r="CQ58" s="745">
        <v>35.44</v>
      </c>
      <c r="CR58" s="745">
        <v>35.549999999999997</v>
      </c>
      <c r="CS58" s="745">
        <v>35.65</v>
      </c>
      <c r="CT58" s="745">
        <v>35.76</v>
      </c>
      <c r="CU58" s="745">
        <v>35.86</v>
      </c>
      <c r="CV58" s="745">
        <v>35.96</v>
      </c>
      <c r="CW58" s="745">
        <v>36.06</v>
      </c>
      <c r="CX58" s="745">
        <v>36.17</v>
      </c>
      <c r="CY58" s="745">
        <v>36.270000000000003</v>
      </c>
      <c r="CZ58" s="745">
        <v>36.369999999999997</v>
      </c>
      <c r="DA58" s="745">
        <v>36.47</v>
      </c>
      <c r="DB58" s="745">
        <v>36.56</v>
      </c>
      <c r="DC58" s="745">
        <v>36.659999999999997</v>
      </c>
      <c r="DD58" s="745">
        <v>36.76</v>
      </c>
      <c r="DE58" s="745">
        <v>36.86</v>
      </c>
      <c r="DF58" s="745">
        <v>36.950000000000003</v>
      </c>
      <c r="DG58" s="745">
        <v>37.049999999999997</v>
      </c>
      <c r="DH58" s="745">
        <v>37.14</v>
      </c>
      <c r="DI58" s="745">
        <v>37.229999999999997</v>
      </c>
      <c r="DJ58" s="745">
        <v>37.33</v>
      </c>
      <c r="DK58" s="745">
        <v>37.42</v>
      </c>
      <c r="DL58" s="745">
        <v>37.51</v>
      </c>
      <c r="DM58" s="745">
        <v>37.6</v>
      </c>
      <c r="DN58" s="745">
        <v>37.69</v>
      </c>
      <c r="DO58" s="745">
        <v>37.78</v>
      </c>
      <c r="DP58" s="745">
        <v>37.869999999999997</v>
      </c>
      <c r="DQ58" s="745">
        <v>37.950000000000003</v>
      </c>
      <c r="DR58" s="745">
        <v>38.04</v>
      </c>
    </row>
    <row r="59" spans="1:122">
      <c r="A59" s="918">
        <v>57</v>
      </c>
      <c r="B59" s="90"/>
      <c r="C59" s="90"/>
      <c r="D59" s="90"/>
      <c r="E59" s="90"/>
      <c r="F59" s="90"/>
      <c r="G59" s="90"/>
      <c r="H59" s="90"/>
      <c r="I59" s="90"/>
      <c r="J59" s="90"/>
      <c r="K59" s="90"/>
      <c r="L59" s="90"/>
      <c r="M59" s="90"/>
      <c r="N59" s="90"/>
      <c r="O59" s="90"/>
      <c r="P59" s="90"/>
      <c r="Q59" s="90"/>
      <c r="R59" s="90"/>
      <c r="S59" s="90"/>
      <c r="T59" s="90"/>
      <c r="U59" s="90"/>
      <c r="V59" s="745"/>
      <c r="W59" s="745">
        <v>25.39</v>
      </c>
      <c r="X59" s="745">
        <v>25.57</v>
      </c>
      <c r="Y59" s="745">
        <v>25.75</v>
      </c>
      <c r="Z59" s="745">
        <v>25.94</v>
      </c>
      <c r="AA59" s="745">
        <v>26.08</v>
      </c>
      <c r="AB59" s="745">
        <v>26.25</v>
      </c>
      <c r="AC59" s="745">
        <v>26.45</v>
      </c>
      <c r="AD59" s="745">
        <v>26.55</v>
      </c>
      <c r="AE59" s="745">
        <v>26.75</v>
      </c>
      <c r="AF59" s="745">
        <v>26.91</v>
      </c>
      <c r="AG59" s="745">
        <v>27.06</v>
      </c>
      <c r="AH59" s="745">
        <v>27.23</v>
      </c>
      <c r="AI59" s="745">
        <v>27.39</v>
      </c>
      <c r="AJ59" s="745">
        <v>27.62</v>
      </c>
      <c r="AK59" s="745">
        <v>27.82</v>
      </c>
      <c r="AL59" s="745">
        <v>28.06</v>
      </c>
      <c r="AM59" s="745">
        <v>28.28</v>
      </c>
      <c r="AN59" s="745">
        <v>28.46</v>
      </c>
      <c r="AO59" s="745">
        <v>28.6</v>
      </c>
      <c r="AP59" s="745">
        <v>28.7</v>
      </c>
      <c r="AQ59" s="745">
        <v>28.77</v>
      </c>
      <c r="AR59" s="745">
        <v>28.81</v>
      </c>
      <c r="AS59" s="745">
        <v>28.87</v>
      </c>
      <c r="AT59" s="745">
        <v>28.87</v>
      </c>
      <c r="AU59" s="745">
        <v>28.91</v>
      </c>
      <c r="AV59" s="745">
        <v>28.97</v>
      </c>
      <c r="AW59" s="745">
        <v>29.16</v>
      </c>
      <c r="AX59" s="745">
        <v>29.21</v>
      </c>
      <c r="AY59" s="745">
        <v>29.34</v>
      </c>
      <c r="AZ59" s="745">
        <v>29.46</v>
      </c>
      <c r="BA59" s="745">
        <v>29.57</v>
      </c>
      <c r="BB59" s="745">
        <v>29.67</v>
      </c>
      <c r="BC59" s="745">
        <v>29.77</v>
      </c>
      <c r="BD59" s="745">
        <v>29.88</v>
      </c>
      <c r="BE59" s="745">
        <v>30</v>
      </c>
      <c r="BF59" s="745">
        <v>30.13</v>
      </c>
      <c r="BG59" s="745">
        <v>30.25</v>
      </c>
      <c r="BH59" s="745">
        <v>30.38</v>
      </c>
      <c r="BI59" s="745">
        <v>30.51</v>
      </c>
      <c r="BJ59" s="745">
        <v>30.64</v>
      </c>
      <c r="BK59" s="745">
        <v>30.77</v>
      </c>
      <c r="BL59" s="745">
        <v>30.9</v>
      </c>
      <c r="BM59" s="745">
        <v>31.02</v>
      </c>
      <c r="BN59" s="745">
        <v>31.15</v>
      </c>
      <c r="BO59" s="745">
        <v>31.28</v>
      </c>
      <c r="BP59" s="745">
        <v>31.4</v>
      </c>
      <c r="BQ59" s="745">
        <v>31.52</v>
      </c>
      <c r="BR59" s="745">
        <v>31.65</v>
      </c>
      <c r="BS59" s="745">
        <v>31.77</v>
      </c>
      <c r="BT59" s="745">
        <v>31.89</v>
      </c>
      <c r="BU59" s="745">
        <v>32.020000000000003</v>
      </c>
      <c r="BV59" s="745">
        <v>32.14</v>
      </c>
      <c r="BW59" s="745">
        <v>32.26</v>
      </c>
      <c r="BX59" s="745">
        <v>32.380000000000003</v>
      </c>
      <c r="BY59" s="745">
        <v>32.49</v>
      </c>
      <c r="BZ59" s="745">
        <v>32.61</v>
      </c>
      <c r="CA59" s="745">
        <v>32.729999999999997</v>
      </c>
      <c r="CB59" s="745">
        <v>32.85</v>
      </c>
      <c r="CC59" s="745">
        <v>32.96</v>
      </c>
      <c r="CD59" s="745">
        <v>33.08</v>
      </c>
      <c r="CE59" s="745">
        <v>33.19</v>
      </c>
      <c r="CF59" s="745">
        <v>33.31</v>
      </c>
      <c r="CG59" s="745">
        <v>33.42</v>
      </c>
      <c r="CH59" s="745">
        <v>33.53</v>
      </c>
      <c r="CI59" s="745">
        <v>33.64</v>
      </c>
      <c r="CJ59" s="745">
        <v>33.75</v>
      </c>
      <c r="CK59" s="745">
        <v>33.86</v>
      </c>
      <c r="CL59" s="745">
        <v>33.97</v>
      </c>
      <c r="CM59" s="745">
        <v>34.08</v>
      </c>
      <c r="CN59" s="745">
        <v>34.19</v>
      </c>
      <c r="CO59" s="745">
        <v>34.299999999999997</v>
      </c>
      <c r="CP59" s="745">
        <v>34.4</v>
      </c>
      <c r="CQ59" s="745">
        <v>34.51</v>
      </c>
      <c r="CR59" s="745">
        <v>34.61</v>
      </c>
      <c r="CS59" s="745">
        <v>34.72</v>
      </c>
      <c r="CT59" s="745">
        <v>34.82</v>
      </c>
      <c r="CU59" s="745">
        <v>34.92</v>
      </c>
      <c r="CV59" s="745">
        <v>35.020000000000003</v>
      </c>
      <c r="CW59" s="745">
        <v>35.130000000000003</v>
      </c>
      <c r="CX59" s="745">
        <v>35.229999999999997</v>
      </c>
      <c r="CY59" s="745">
        <v>35.33</v>
      </c>
      <c r="CZ59" s="745">
        <v>35.42</v>
      </c>
      <c r="DA59" s="745">
        <v>35.520000000000003</v>
      </c>
      <c r="DB59" s="745">
        <v>35.619999999999997</v>
      </c>
      <c r="DC59" s="745">
        <v>35.72</v>
      </c>
      <c r="DD59" s="745">
        <v>35.81</v>
      </c>
      <c r="DE59" s="745">
        <v>35.909999999999997</v>
      </c>
      <c r="DF59" s="745">
        <v>36</v>
      </c>
      <c r="DG59" s="745">
        <v>36.1</v>
      </c>
      <c r="DH59" s="745">
        <v>36.19</v>
      </c>
      <c r="DI59" s="745">
        <v>36.28</v>
      </c>
      <c r="DJ59" s="745">
        <v>36.380000000000003</v>
      </c>
      <c r="DK59" s="745">
        <v>36.47</v>
      </c>
      <c r="DL59" s="745">
        <v>36.56</v>
      </c>
      <c r="DM59" s="745">
        <v>36.65</v>
      </c>
      <c r="DN59" s="745">
        <v>36.74</v>
      </c>
      <c r="DO59" s="745">
        <v>36.82</v>
      </c>
      <c r="DP59" s="745">
        <v>36.909999999999997</v>
      </c>
      <c r="DQ59" s="745">
        <v>37</v>
      </c>
      <c r="DR59" s="745">
        <v>37.08</v>
      </c>
    </row>
    <row r="60" spans="1:122">
      <c r="A60" s="918">
        <v>58</v>
      </c>
      <c r="B60" s="90"/>
      <c r="C60" s="90"/>
      <c r="D60" s="90"/>
      <c r="E60" s="90"/>
      <c r="F60" s="90"/>
      <c r="G60" s="90"/>
      <c r="H60" s="90"/>
      <c r="I60" s="90"/>
      <c r="J60" s="90"/>
      <c r="K60" s="90"/>
      <c r="L60" s="90"/>
      <c r="M60" s="90"/>
      <c r="N60" s="90"/>
      <c r="O60" s="90"/>
      <c r="P60" s="90"/>
      <c r="Q60" s="90"/>
      <c r="R60" s="90"/>
      <c r="S60" s="90"/>
      <c r="T60" s="90"/>
      <c r="U60" s="90"/>
      <c r="V60" s="745"/>
      <c r="W60" s="745">
        <v>24.56</v>
      </c>
      <c r="X60" s="745">
        <v>24.74</v>
      </c>
      <c r="Y60" s="745">
        <v>24.91</v>
      </c>
      <c r="Z60" s="745">
        <v>25.11</v>
      </c>
      <c r="AA60" s="745">
        <v>25.24</v>
      </c>
      <c r="AB60" s="745">
        <v>25.4</v>
      </c>
      <c r="AC60" s="745">
        <v>25.61</v>
      </c>
      <c r="AD60" s="745">
        <v>25.71</v>
      </c>
      <c r="AE60" s="745">
        <v>25.91</v>
      </c>
      <c r="AF60" s="745">
        <v>26.06</v>
      </c>
      <c r="AG60" s="745">
        <v>26.21</v>
      </c>
      <c r="AH60" s="745">
        <v>26.38</v>
      </c>
      <c r="AI60" s="745">
        <v>26.54</v>
      </c>
      <c r="AJ60" s="745">
        <v>26.76</v>
      </c>
      <c r="AK60" s="745">
        <v>26.97</v>
      </c>
      <c r="AL60" s="745">
        <v>27.21</v>
      </c>
      <c r="AM60" s="745">
        <v>27.42</v>
      </c>
      <c r="AN60" s="745">
        <v>27.59</v>
      </c>
      <c r="AO60" s="745">
        <v>27.73</v>
      </c>
      <c r="AP60" s="745">
        <v>27.83</v>
      </c>
      <c r="AQ60" s="745">
        <v>27.9</v>
      </c>
      <c r="AR60" s="745">
        <v>27.94</v>
      </c>
      <c r="AS60" s="745">
        <v>28</v>
      </c>
      <c r="AT60" s="745">
        <v>28</v>
      </c>
      <c r="AU60" s="745">
        <v>28.04</v>
      </c>
      <c r="AV60" s="745">
        <v>28.1</v>
      </c>
      <c r="AW60" s="745">
        <v>28.28</v>
      </c>
      <c r="AX60" s="745">
        <v>28.33</v>
      </c>
      <c r="AY60" s="745">
        <v>28.46</v>
      </c>
      <c r="AZ60" s="745">
        <v>28.58</v>
      </c>
      <c r="BA60" s="745">
        <v>28.69</v>
      </c>
      <c r="BB60" s="745">
        <v>28.79</v>
      </c>
      <c r="BC60" s="745">
        <v>28.89</v>
      </c>
      <c r="BD60" s="745">
        <v>29</v>
      </c>
      <c r="BE60" s="745">
        <v>29.12</v>
      </c>
      <c r="BF60" s="745">
        <v>29.25</v>
      </c>
      <c r="BG60" s="745">
        <v>29.37</v>
      </c>
      <c r="BH60" s="745">
        <v>29.5</v>
      </c>
      <c r="BI60" s="745">
        <v>29.63</v>
      </c>
      <c r="BJ60" s="745">
        <v>29.76</v>
      </c>
      <c r="BK60" s="745">
        <v>29.88</v>
      </c>
      <c r="BL60" s="745">
        <v>30.01</v>
      </c>
      <c r="BM60" s="745">
        <v>30.14</v>
      </c>
      <c r="BN60" s="745">
        <v>30.26</v>
      </c>
      <c r="BO60" s="745">
        <v>30.38</v>
      </c>
      <c r="BP60" s="745">
        <v>30.51</v>
      </c>
      <c r="BQ60" s="745">
        <v>30.63</v>
      </c>
      <c r="BR60" s="745">
        <v>30.75</v>
      </c>
      <c r="BS60" s="745">
        <v>30.87</v>
      </c>
      <c r="BT60" s="745">
        <v>30.99</v>
      </c>
      <c r="BU60" s="745">
        <v>31.12</v>
      </c>
      <c r="BV60" s="745">
        <v>31.23</v>
      </c>
      <c r="BW60" s="745">
        <v>31.35</v>
      </c>
      <c r="BX60" s="745">
        <v>31.47</v>
      </c>
      <c r="BY60" s="745">
        <v>31.59</v>
      </c>
      <c r="BZ60" s="745">
        <v>31.71</v>
      </c>
      <c r="CA60" s="745">
        <v>31.82</v>
      </c>
      <c r="CB60" s="745">
        <v>31.94</v>
      </c>
      <c r="CC60" s="745">
        <v>32.049999999999997</v>
      </c>
      <c r="CD60" s="745">
        <v>32.159999999999997</v>
      </c>
      <c r="CE60" s="745">
        <v>32.28</v>
      </c>
      <c r="CF60" s="745">
        <v>32.39</v>
      </c>
      <c r="CG60" s="745">
        <v>32.5</v>
      </c>
      <c r="CH60" s="745">
        <v>32.61</v>
      </c>
      <c r="CI60" s="745">
        <v>32.72</v>
      </c>
      <c r="CJ60" s="745">
        <v>32.83</v>
      </c>
      <c r="CK60" s="745">
        <v>32.94</v>
      </c>
      <c r="CL60" s="745">
        <v>33.049999999999997</v>
      </c>
      <c r="CM60" s="745">
        <v>33.159999999999997</v>
      </c>
      <c r="CN60" s="745">
        <v>33.26</v>
      </c>
      <c r="CO60" s="745">
        <v>33.369999999999997</v>
      </c>
      <c r="CP60" s="745">
        <v>33.47</v>
      </c>
      <c r="CQ60" s="745">
        <v>33.58</v>
      </c>
      <c r="CR60" s="745">
        <v>33.68</v>
      </c>
      <c r="CS60" s="745">
        <v>33.79</v>
      </c>
      <c r="CT60" s="745">
        <v>33.89</v>
      </c>
      <c r="CU60" s="745">
        <v>33.99</v>
      </c>
      <c r="CV60" s="745">
        <v>34.090000000000003</v>
      </c>
      <c r="CW60" s="745">
        <v>34.19</v>
      </c>
      <c r="CX60" s="745">
        <v>34.29</v>
      </c>
      <c r="CY60" s="745">
        <v>34.39</v>
      </c>
      <c r="CZ60" s="745">
        <v>34.49</v>
      </c>
      <c r="DA60" s="745">
        <v>34.58</v>
      </c>
      <c r="DB60" s="745">
        <v>34.68</v>
      </c>
      <c r="DC60" s="745">
        <v>34.78</v>
      </c>
      <c r="DD60" s="745">
        <v>34.869999999999997</v>
      </c>
      <c r="DE60" s="745">
        <v>34.97</v>
      </c>
      <c r="DF60" s="745">
        <v>35.06</v>
      </c>
      <c r="DG60" s="745">
        <v>35.15</v>
      </c>
      <c r="DH60" s="745">
        <v>35.24</v>
      </c>
      <c r="DI60" s="745">
        <v>35.340000000000003</v>
      </c>
      <c r="DJ60" s="745">
        <v>35.43</v>
      </c>
      <c r="DK60" s="745">
        <v>35.520000000000003</v>
      </c>
      <c r="DL60" s="745">
        <v>35.61</v>
      </c>
      <c r="DM60" s="745">
        <v>35.700000000000003</v>
      </c>
      <c r="DN60" s="745">
        <v>35.78</v>
      </c>
      <c r="DO60" s="745">
        <v>35.869999999999997</v>
      </c>
      <c r="DP60" s="745">
        <v>35.96</v>
      </c>
      <c r="DQ60" s="745">
        <v>36.04</v>
      </c>
      <c r="DR60" s="745">
        <v>36.130000000000003</v>
      </c>
    </row>
    <row r="61" spans="1:122">
      <c r="A61" s="918">
        <v>59</v>
      </c>
      <c r="B61" s="90"/>
      <c r="C61" s="90"/>
      <c r="D61" s="90"/>
      <c r="E61" s="90"/>
      <c r="F61" s="90"/>
      <c r="G61" s="90"/>
      <c r="H61" s="90"/>
      <c r="I61" s="90"/>
      <c r="J61" s="90"/>
      <c r="K61" s="90"/>
      <c r="L61" s="90"/>
      <c r="M61" s="90"/>
      <c r="N61" s="90"/>
      <c r="O61" s="90"/>
      <c r="P61" s="90"/>
      <c r="Q61" s="90"/>
      <c r="R61" s="90"/>
      <c r="S61" s="90"/>
      <c r="T61" s="90"/>
      <c r="U61" s="90"/>
      <c r="V61" s="745"/>
      <c r="W61" s="745">
        <v>23.74</v>
      </c>
      <c r="X61" s="745">
        <v>23.91</v>
      </c>
      <c r="Y61" s="745">
        <v>24.09</v>
      </c>
      <c r="Z61" s="745">
        <v>24.28</v>
      </c>
      <c r="AA61" s="745">
        <v>24.41</v>
      </c>
      <c r="AB61" s="745">
        <v>24.58</v>
      </c>
      <c r="AC61" s="745">
        <v>24.77</v>
      </c>
      <c r="AD61" s="745">
        <v>24.87</v>
      </c>
      <c r="AE61" s="745">
        <v>25.07</v>
      </c>
      <c r="AF61" s="745">
        <v>25.22</v>
      </c>
      <c r="AG61" s="745">
        <v>25.37</v>
      </c>
      <c r="AH61" s="745">
        <v>25.54</v>
      </c>
      <c r="AI61" s="745">
        <v>25.7</v>
      </c>
      <c r="AJ61" s="745">
        <v>25.92</v>
      </c>
      <c r="AK61" s="745">
        <v>26.12</v>
      </c>
      <c r="AL61" s="745">
        <v>26.35</v>
      </c>
      <c r="AM61" s="745">
        <v>26.56</v>
      </c>
      <c r="AN61" s="745">
        <v>26.72</v>
      </c>
      <c r="AO61" s="745">
        <v>26.86</v>
      </c>
      <c r="AP61" s="745">
        <v>26.96</v>
      </c>
      <c r="AQ61" s="745">
        <v>27.03</v>
      </c>
      <c r="AR61" s="745">
        <v>27.07</v>
      </c>
      <c r="AS61" s="745">
        <v>27.13</v>
      </c>
      <c r="AT61" s="745">
        <v>27.14</v>
      </c>
      <c r="AU61" s="745">
        <v>27.18</v>
      </c>
      <c r="AV61" s="745">
        <v>27.24</v>
      </c>
      <c r="AW61" s="745">
        <v>27.41</v>
      </c>
      <c r="AX61" s="745">
        <v>27.46</v>
      </c>
      <c r="AY61" s="745">
        <v>27.59</v>
      </c>
      <c r="AZ61" s="745">
        <v>27.71</v>
      </c>
      <c r="BA61" s="745">
        <v>27.81</v>
      </c>
      <c r="BB61" s="745">
        <v>27.92</v>
      </c>
      <c r="BC61" s="745">
        <v>28.02</v>
      </c>
      <c r="BD61" s="745">
        <v>28.12</v>
      </c>
      <c r="BE61" s="745">
        <v>28.24</v>
      </c>
      <c r="BF61" s="745">
        <v>28.37</v>
      </c>
      <c r="BG61" s="745">
        <v>28.5</v>
      </c>
      <c r="BH61" s="745">
        <v>28.63</v>
      </c>
      <c r="BI61" s="745">
        <v>28.76</v>
      </c>
      <c r="BJ61" s="745">
        <v>28.88</v>
      </c>
      <c r="BK61" s="745">
        <v>29.01</v>
      </c>
      <c r="BL61" s="745">
        <v>29.13</v>
      </c>
      <c r="BM61" s="745">
        <v>29.25</v>
      </c>
      <c r="BN61" s="745">
        <v>29.38</v>
      </c>
      <c r="BO61" s="745">
        <v>29.5</v>
      </c>
      <c r="BP61" s="745">
        <v>29.62</v>
      </c>
      <c r="BQ61" s="745">
        <v>29.74</v>
      </c>
      <c r="BR61" s="745">
        <v>29.86</v>
      </c>
      <c r="BS61" s="745">
        <v>29.98</v>
      </c>
      <c r="BT61" s="745">
        <v>30.1</v>
      </c>
      <c r="BU61" s="745">
        <v>30.22</v>
      </c>
      <c r="BV61" s="745">
        <v>30.34</v>
      </c>
      <c r="BW61" s="745">
        <v>30.46</v>
      </c>
      <c r="BX61" s="745">
        <v>30.57</v>
      </c>
      <c r="BY61" s="745">
        <v>30.69</v>
      </c>
      <c r="BZ61" s="745">
        <v>30.8</v>
      </c>
      <c r="CA61" s="745">
        <v>30.92</v>
      </c>
      <c r="CB61" s="745">
        <v>31.03</v>
      </c>
      <c r="CC61" s="745">
        <v>31.14</v>
      </c>
      <c r="CD61" s="745">
        <v>31.26</v>
      </c>
      <c r="CE61" s="745">
        <v>31.37</v>
      </c>
      <c r="CF61" s="745">
        <v>31.48</v>
      </c>
      <c r="CG61" s="745">
        <v>31.59</v>
      </c>
      <c r="CH61" s="745">
        <v>31.7</v>
      </c>
      <c r="CI61" s="745">
        <v>31.81</v>
      </c>
      <c r="CJ61" s="745">
        <v>31.92</v>
      </c>
      <c r="CK61" s="745">
        <v>32.020000000000003</v>
      </c>
      <c r="CL61" s="745">
        <v>32.130000000000003</v>
      </c>
      <c r="CM61" s="745">
        <v>32.24</v>
      </c>
      <c r="CN61" s="745">
        <v>32.340000000000003</v>
      </c>
      <c r="CO61" s="745">
        <v>32.450000000000003</v>
      </c>
      <c r="CP61" s="745">
        <v>32.549999999999997</v>
      </c>
      <c r="CQ61" s="745">
        <v>32.65</v>
      </c>
      <c r="CR61" s="745">
        <v>32.76</v>
      </c>
      <c r="CS61" s="745">
        <v>32.86</v>
      </c>
      <c r="CT61" s="745">
        <v>32.96</v>
      </c>
      <c r="CU61" s="745">
        <v>33.06</v>
      </c>
      <c r="CV61" s="745">
        <v>33.159999999999997</v>
      </c>
      <c r="CW61" s="745">
        <v>33.26</v>
      </c>
      <c r="CX61" s="745">
        <v>33.36</v>
      </c>
      <c r="CY61" s="745">
        <v>33.450000000000003</v>
      </c>
      <c r="CZ61" s="745">
        <v>33.549999999999997</v>
      </c>
      <c r="DA61" s="745">
        <v>33.65</v>
      </c>
      <c r="DB61" s="745">
        <v>33.74</v>
      </c>
      <c r="DC61" s="745">
        <v>33.840000000000003</v>
      </c>
      <c r="DD61" s="745">
        <v>33.93</v>
      </c>
      <c r="DE61" s="745">
        <v>34.03</v>
      </c>
      <c r="DF61" s="745">
        <v>34.119999999999997</v>
      </c>
      <c r="DG61" s="745">
        <v>34.21</v>
      </c>
      <c r="DH61" s="745">
        <v>34.299999999999997</v>
      </c>
      <c r="DI61" s="745">
        <v>34.39</v>
      </c>
      <c r="DJ61" s="745">
        <v>34.479999999999997</v>
      </c>
      <c r="DK61" s="745">
        <v>34.57</v>
      </c>
      <c r="DL61" s="745">
        <v>34.659999999999997</v>
      </c>
      <c r="DM61" s="745">
        <v>34.75</v>
      </c>
      <c r="DN61" s="745">
        <v>34.840000000000003</v>
      </c>
      <c r="DO61" s="745">
        <v>34.92</v>
      </c>
      <c r="DP61" s="745">
        <v>35.01</v>
      </c>
      <c r="DQ61" s="745">
        <v>35.090000000000003</v>
      </c>
      <c r="DR61" s="745">
        <v>35.18</v>
      </c>
    </row>
    <row r="62" spans="1:122">
      <c r="A62" s="918">
        <v>60</v>
      </c>
      <c r="B62" s="90"/>
      <c r="C62" s="90"/>
      <c r="D62" s="90"/>
      <c r="E62" s="90"/>
      <c r="F62" s="90"/>
      <c r="G62" s="90"/>
      <c r="H62" s="90"/>
      <c r="I62" s="90"/>
      <c r="J62" s="90"/>
      <c r="K62" s="90"/>
      <c r="L62" s="90"/>
      <c r="M62" s="90"/>
      <c r="N62" s="90"/>
      <c r="O62" s="90"/>
      <c r="P62" s="90"/>
      <c r="Q62" s="90"/>
      <c r="R62" s="90"/>
      <c r="S62" s="90"/>
      <c r="T62" s="90"/>
      <c r="U62" s="90"/>
      <c r="V62" s="745"/>
      <c r="W62" s="745">
        <v>22.93</v>
      </c>
      <c r="X62" s="745">
        <v>23.1</v>
      </c>
      <c r="Y62" s="745">
        <v>23.27</v>
      </c>
      <c r="Z62" s="745">
        <v>23.45</v>
      </c>
      <c r="AA62" s="745">
        <v>23.58</v>
      </c>
      <c r="AB62" s="745">
        <v>23.75</v>
      </c>
      <c r="AC62" s="745">
        <v>23.94</v>
      </c>
      <c r="AD62" s="745">
        <v>24.04</v>
      </c>
      <c r="AE62" s="745">
        <v>24.24</v>
      </c>
      <c r="AF62" s="745">
        <v>24.39</v>
      </c>
      <c r="AG62" s="745">
        <v>24.53</v>
      </c>
      <c r="AH62" s="745">
        <v>24.7</v>
      </c>
      <c r="AI62" s="745">
        <v>24.86</v>
      </c>
      <c r="AJ62" s="745">
        <v>25.07</v>
      </c>
      <c r="AK62" s="745">
        <v>25.28</v>
      </c>
      <c r="AL62" s="745">
        <v>25.5</v>
      </c>
      <c r="AM62" s="745">
        <v>25.71</v>
      </c>
      <c r="AN62" s="745">
        <v>25.86</v>
      </c>
      <c r="AO62" s="745">
        <v>26</v>
      </c>
      <c r="AP62" s="745">
        <v>26.09</v>
      </c>
      <c r="AQ62" s="745">
        <v>26.16</v>
      </c>
      <c r="AR62" s="745">
        <v>26.21</v>
      </c>
      <c r="AS62" s="745">
        <v>26.26</v>
      </c>
      <c r="AT62" s="745">
        <v>26.27</v>
      </c>
      <c r="AU62" s="745">
        <v>26.32</v>
      </c>
      <c r="AV62" s="745">
        <v>26.38</v>
      </c>
      <c r="AW62" s="745">
        <v>26.54</v>
      </c>
      <c r="AX62" s="745">
        <v>26.59</v>
      </c>
      <c r="AY62" s="745">
        <v>26.72</v>
      </c>
      <c r="AZ62" s="745">
        <v>26.83</v>
      </c>
      <c r="BA62" s="745">
        <v>26.94</v>
      </c>
      <c r="BB62" s="745">
        <v>27.05</v>
      </c>
      <c r="BC62" s="745">
        <v>27.15</v>
      </c>
      <c r="BD62" s="745">
        <v>27.26</v>
      </c>
      <c r="BE62" s="745">
        <v>27.38</v>
      </c>
      <c r="BF62" s="745">
        <v>27.5</v>
      </c>
      <c r="BG62" s="745">
        <v>27.63</v>
      </c>
      <c r="BH62" s="745">
        <v>27.76</v>
      </c>
      <c r="BI62" s="745">
        <v>27.89</v>
      </c>
      <c r="BJ62" s="745">
        <v>28.01</v>
      </c>
      <c r="BK62" s="745">
        <v>28.13</v>
      </c>
      <c r="BL62" s="745">
        <v>28.26</v>
      </c>
      <c r="BM62" s="745">
        <v>28.38</v>
      </c>
      <c r="BN62" s="745">
        <v>28.5</v>
      </c>
      <c r="BO62" s="745">
        <v>28.62</v>
      </c>
      <c r="BP62" s="745">
        <v>28.74</v>
      </c>
      <c r="BQ62" s="745">
        <v>28.86</v>
      </c>
      <c r="BR62" s="745">
        <v>28.98</v>
      </c>
      <c r="BS62" s="745">
        <v>29.1</v>
      </c>
      <c r="BT62" s="745">
        <v>29.21</v>
      </c>
      <c r="BU62" s="745">
        <v>29.33</v>
      </c>
      <c r="BV62" s="745">
        <v>29.45</v>
      </c>
      <c r="BW62" s="745">
        <v>29.56</v>
      </c>
      <c r="BX62" s="745">
        <v>29.68</v>
      </c>
      <c r="BY62" s="745">
        <v>29.79</v>
      </c>
      <c r="BZ62" s="745">
        <v>29.91</v>
      </c>
      <c r="CA62" s="745">
        <v>30.02</v>
      </c>
      <c r="CB62" s="745">
        <v>30.13</v>
      </c>
      <c r="CC62" s="745">
        <v>30.24</v>
      </c>
      <c r="CD62" s="745">
        <v>30.35</v>
      </c>
      <c r="CE62" s="745">
        <v>30.46</v>
      </c>
      <c r="CF62" s="745">
        <v>30.57</v>
      </c>
      <c r="CG62" s="745">
        <v>30.68</v>
      </c>
      <c r="CH62" s="745">
        <v>30.79</v>
      </c>
      <c r="CI62" s="745">
        <v>30.9</v>
      </c>
      <c r="CJ62" s="745">
        <v>31</v>
      </c>
      <c r="CK62" s="745">
        <v>31.11</v>
      </c>
      <c r="CL62" s="745">
        <v>31.22</v>
      </c>
      <c r="CM62" s="745">
        <v>31.32</v>
      </c>
      <c r="CN62" s="745">
        <v>31.42</v>
      </c>
      <c r="CO62" s="745">
        <v>31.53</v>
      </c>
      <c r="CP62" s="745">
        <v>31.63</v>
      </c>
      <c r="CQ62" s="745">
        <v>31.73</v>
      </c>
      <c r="CR62" s="745">
        <v>31.83</v>
      </c>
      <c r="CS62" s="745">
        <v>31.93</v>
      </c>
      <c r="CT62" s="745">
        <v>32.03</v>
      </c>
      <c r="CU62" s="745">
        <v>32.130000000000003</v>
      </c>
      <c r="CV62" s="745">
        <v>32.229999999999997</v>
      </c>
      <c r="CW62" s="745">
        <v>32.33</v>
      </c>
      <c r="CX62" s="745">
        <v>32.43</v>
      </c>
      <c r="CY62" s="745">
        <v>32.520000000000003</v>
      </c>
      <c r="CZ62" s="745">
        <v>32.619999999999997</v>
      </c>
      <c r="DA62" s="745">
        <v>32.71</v>
      </c>
      <c r="DB62" s="745">
        <v>32.81</v>
      </c>
      <c r="DC62" s="745">
        <v>32.9</v>
      </c>
      <c r="DD62" s="745">
        <v>33</v>
      </c>
      <c r="DE62" s="745">
        <v>33.090000000000003</v>
      </c>
      <c r="DF62" s="745">
        <v>33.18</v>
      </c>
      <c r="DG62" s="745">
        <v>33.270000000000003</v>
      </c>
      <c r="DH62" s="745">
        <v>33.36</v>
      </c>
      <c r="DI62" s="745">
        <v>33.450000000000003</v>
      </c>
      <c r="DJ62" s="745">
        <v>33.54</v>
      </c>
      <c r="DK62" s="745">
        <v>33.630000000000003</v>
      </c>
      <c r="DL62" s="745">
        <v>33.72</v>
      </c>
      <c r="DM62" s="745">
        <v>33.799999999999997</v>
      </c>
      <c r="DN62" s="745">
        <v>33.89</v>
      </c>
      <c r="DO62" s="745">
        <v>33.979999999999997</v>
      </c>
      <c r="DP62" s="745">
        <v>34.06</v>
      </c>
      <c r="DQ62" s="745">
        <v>34.15</v>
      </c>
      <c r="DR62" s="745">
        <v>34.229999999999997</v>
      </c>
    </row>
    <row r="63" spans="1:122">
      <c r="A63" s="918">
        <v>61</v>
      </c>
      <c r="B63" s="90"/>
      <c r="C63" s="90"/>
      <c r="D63" s="90"/>
      <c r="E63" s="90"/>
      <c r="F63" s="90"/>
      <c r="G63" s="90"/>
      <c r="H63" s="90"/>
      <c r="I63" s="90"/>
      <c r="J63" s="90"/>
      <c r="K63" s="90"/>
      <c r="L63" s="90"/>
      <c r="M63" s="90"/>
      <c r="N63" s="90"/>
      <c r="O63" s="90"/>
      <c r="P63" s="90"/>
      <c r="Q63" s="90"/>
      <c r="R63" s="90"/>
      <c r="S63" s="90"/>
      <c r="T63" s="90"/>
      <c r="U63" s="90"/>
      <c r="V63" s="745"/>
      <c r="W63" s="745">
        <v>22.12</v>
      </c>
      <c r="X63" s="745">
        <v>22.29</v>
      </c>
      <c r="Y63" s="745">
        <v>22.46</v>
      </c>
      <c r="Z63" s="745">
        <v>22.64</v>
      </c>
      <c r="AA63" s="745">
        <v>22.77</v>
      </c>
      <c r="AB63" s="745">
        <v>22.93</v>
      </c>
      <c r="AC63" s="745">
        <v>23.11</v>
      </c>
      <c r="AD63" s="745">
        <v>23.22</v>
      </c>
      <c r="AE63" s="745">
        <v>23.41</v>
      </c>
      <c r="AF63" s="745">
        <v>23.57</v>
      </c>
      <c r="AG63" s="745">
        <v>23.71</v>
      </c>
      <c r="AH63" s="745">
        <v>23.88</v>
      </c>
      <c r="AI63" s="745">
        <v>24.03</v>
      </c>
      <c r="AJ63" s="745">
        <v>24.24</v>
      </c>
      <c r="AK63" s="745">
        <v>24.44</v>
      </c>
      <c r="AL63" s="745">
        <v>24.65</v>
      </c>
      <c r="AM63" s="745">
        <v>24.86</v>
      </c>
      <c r="AN63" s="745">
        <v>25.01</v>
      </c>
      <c r="AO63" s="745">
        <v>25.15</v>
      </c>
      <c r="AP63" s="745">
        <v>25.23</v>
      </c>
      <c r="AQ63" s="745">
        <v>25.3</v>
      </c>
      <c r="AR63" s="745">
        <v>25.35</v>
      </c>
      <c r="AS63" s="745">
        <v>25.4</v>
      </c>
      <c r="AT63" s="745">
        <v>25.42</v>
      </c>
      <c r="AU63" s="745">
        <v>25.46</v>
      </c>
      <c r="AV63" s="745">
        <v>25.52</v>
      </c>
      <c r="AW63" s="745">
        <v>25.68</v>
      </c>
      <c r="AX63" s="745">
        <v>25.74</v>
      </c>
      <c r="AY63" s="745">
        <v>25.86</v>
      </c>
      <c r="AZ63" s="745">
        <v>25.97</v>
      </c>
      <c r="BA63" s="745">
        <v>26.09</v>
      </c>
      <c r="BB63" s="745">
        <v>26.19</v>
      </c>
      <c r="BC63" s="745">
        <v>26.29</v>
      </c>
      <c r="BD63" s="745">
        <v>26.41</v>
      </c>
      <c r="BE63" s="745">
        <v>26.53</v>
      </c>
      <c r="BF63" s="745">
        <v>26.65</v>
      </c>
      <c r="BG63" s="745">
        <v>26.77</v>
      </c>
      <c r="BH63" s="745">
        <v>26.9</v>
      </c>
      <c r="BI63" s="745">
        <v>27.02</v>
      </c>
      <c r="BJ63" s="745">
        <v>27.14</v>
      </c>
      <c r="BK63" s="745">
        <v>27.27</v>
      </c>
      <c r="BL63" s="745">
        <v>27.39</v>
      </c>
      <c r="BM63" s="745">
        <v>27.51</v>
      </c>
      <c r="BN63" s="745">
        <v>27.63</v>
      </c>
      <c r="BO63" s="745">
        <v>27.75</v>
      </c>
      <c r="BP63" s="745">
        <v>27.86</v>
      </c>
      <c r="BQ63" s="745">
        <v>27.98</v>
      </c>
      <c r="BR63" s="745">
        <v>28.1</v>
      </c>
      <c r="BS63" s="745">
        <v>28.21</v>
      </c>
      <c r="BT63" s="745">
        <v>28.33</v>
      </c>
      <c r="BU63" s="745">
        <v>28.45</v>
      </c>
      <c r="BV63" s="745">
        <v>28.56</v>
      </c>
      <c r="BW63" s="745">
        <v>28.67</v>
      </c>
      <c r="BX63" s="745">
        <v>28.79</v>
      </c>
      <c r="BY63" s="745">
        <v>28.9</v>
      </c>
      <c r="BZ63" s="745">
        <v>29.01</v>
      </c>
      <c r="CA63" s="745">
        <v>29.12</v>
      </c>
      <c r="CB63" s="745">
        <v>29.23</v>
      </c>
      <c r="CC63" s="745">
        <v>29.34</v>
      </c>
      <c r="CD63" s="745">
        <v>29.45</v>
      </c>
      <c r="CE63" s="745">
        <v>29.56</v>
      </c>
      <c r="CF63" s="745">
        <v>29.67</v>
      </c>
      <c r="CG63" s="745">
        <v>29.78</v>
      </c>
      <c r="CH63" s="745">
        <v>29.88</v>
      </c>
      <c r="CI63" s="745">
        <v>29.99</v>
      </c>
      <c r="CJ63" s="745">
        <v>30.09</v>
      </c>
      <c r="CK63" s="745">
        <v>30.2</v>
      </c>
      <c r="CL63" s="745">
        <v>30.3</v>
      </c>
      <c r="CM63" s="745">
        <v>30.41</v>
      </c>
      <c r="CN63" s="745">
        <v>30.51</v>
      </c>
      <c r="CO63" s="745">
        <v>30.61</v>
      </c>
      <c r="CP63" s="745">
        <v>30.71</v>
      </c>
      <c r="CQ63" s="745">
        <v>30.81</v>
      </c>
      <c r="CR63" s="745">
        <v>30.91</v>
      </c>
      <c r="CS63" s="745">
        <v>31.01</v>
      </c>
      <c r="CT63" s="745">
        <v>31.11</v>
      </c>
      <c r="CU63" s="745">
        <v>31.21</v>
      </c>
      <c r="CV63" s="745">
        <v>31.31</v>
      </c>
      <c r="CW63" s="745">
        <v>31.4</v>
      </c>
      <c r="CX63" s="745">
        <v>31.5</v>
      </c>
      <c r="CY63" s="745">
        <v>31.59</v>
      </c>
      <c r="CZ63" s="745">
        <v>31.69</v>
      </c>
      <c r="DA63" s="745">
        <v>31.78</v>
      </c>
      <c r="DB63" s="745">
        <v>31.88</v>
      </c>
      <c r="DC63" s="745">
        <v>31.97</v>
      </c>
      <c r="DD63" s="745">
        <v>32.06</v>
      </c>
      <c r="DE63" s="745">
        <v>32.15</v>
      </c>
      <c r="DF63" s="745">
        <v>32.24</v>
      </c>
      <c r="DG63" s="745">
        <v>32.33</v>
      </c>
      <c r="DH63" s="745">
        <v>32.42</v>
      </c>
      <c r="DI63" s="745">
        <v>32.51</v>
      </c>
      <c r="DJ63" s="745">
        <v>32.6</v>
      </c>
      <c r="DK63" s="745">
        <v>32.69</v>
      </c>
      <c r="DL63" s="745">
        <v>32.770000000000003</v>
      </c>
      <c r="DM63" s="745">
        <v>32.86</v>
      </c>
      <c r="DN63" s="745">
        <v>32.950000000000003</v>
      </c>
      <c r="DO63" s="745">
        <v>33.03</v>
      </c>
      <c r="DP63" s="745">
        <v>33.119999999999997</v>
      </c>
      <c r="DQ63" s="745">
        <v>33.200000000000003</v>
      </c>
      <c r="DR63" s="745">
        <v>33.28</v>
      </c>
    </row>
    <row r="64" spans="1:122">
      <c r="A64" s="918">
        <v>62</v>
      </c>
      <c r="B64" s="90"/>
      <c r="C64" s="90"/>
      <c r="D64" s="90"/>
      <c r="E64" s="90"/>
      <c r="F64" s="90"/>
      <c r="G64" s="90"/>
      <c r="H64" s="90"/>
      <c r="I64" s="90"/>
      <c r="J64" s="90"/>
      <c r="K64" s="90"/>
      <c r="L64" s="90"/>
      <c r="M64" s="90"/>
      <c r="N64" s="90"/>
      <c r="O64" s="90"/>
      <c r="P64" s="90"/>
      <c r="Q64" s="90"/>
      <c r="R64" s="90"/>
      <c r="S64" s="90"/>
      <c r="T64" s="90"/>
      <c r="U64" s="90"/>
      <c r="V64" s="745"/>
      <c r="W64" s="745">
        <v>21.32</v>
      </c>
      <c r="X64" s="745">
        <v>21.48</v>
      </c>
      <c r="Y64" s="745">
        <v>21.66</v>
      </c>
      <c r="Z64" s="745">
        <v>21.84</v>
      </c>
      <c r="AA64" s="745">
        <v>21.96</v>
      </c>
      <c r="AB64" s="745">
        <v>22.12</v>
      </c>
      <c r="AC64" s="745">
        <v>22.3</v>
      </c>
      <c r="AD64" s="745">
        <v>22.42</v>
      </c>
      <c r="AE64" s="745">
        <v>22.6</v>
      </c>
      <c r="AF64" s="745">
        <v>22.76</v>
      </c>
      <c r="AG64" s="745">
        <v>22.89</v>
      </c>
      <c r="AH64" s="745">
        <v>23.06</v>
      </c>
      <c r="AI64" s="745">
        <v>23.21</v>
      </c>
      <c r="AJ64" s="745">
        <v>23.41</v>
      </c>
      <c r="AK64" s="745">
        <v>23.61</v>
      </c>
      <c r="AL64" s="745">
        <v>23.81</v>
      </c>
      <c r="AM64" s="745">
        <v>24.01</v>
      </c>
      <c r="AN64" s="745">
        <v>24.16</v>
      </c>
      <c r="AO64" s="745">
        <v>24.3</v>
      </c>
      <c r="AP64" s="745">
        <v>24.38</v>
      </c>
      <c r="AQ64" s="745">
        <v>24.44</v>
      </c>
      <c r="AR64" s="745">
        <v>24.49</v>
      </c>
      <c r="AS64" s="745">
        <v>24.54</v>
      </c>
      <c r="AT64" s="745">
        <v>24.57</v>
      </c>
      <c r="AU64" s="745">
        <v>24.61</v>
      </c>
      <c r="AV64" s="745">
        <v>24.67</v>
      </c>
      <c r="AW64" s="745">
        <v>24.82</v>
      </c>
      <c r="AX64" s="745">
        <v>24.88</v>
      </c>
      <c r="AY64" s="745">
        <v>25.01</v>
      </c>
      <c r="AZ64" s="745">
        <v>25.12</v>
      </c>
      <c r="BA64" s="745">
        <v>25.23</v>
      </c>
      <c r="BB64" s="745">
        <v>25.33</v>
      </c>
      <c r="BC64" s="745">
        <v>25.44</v>
      </c>
      <c r="BD64" s="745">
        <v>25.56</v>
      </c>
      <c r="BE64" s="745">
        <v>25.67</v>
      </c>
      <c r="BF64" s="745">
        <v>25.8</v>
      </c>
      <c r="BG64" s="745">
        <v>25.92</v>
      </c>
      <c r="BH64" s="745">
        <v>26.04</v>
      </c>
      <c r="BI64" s="745">
        <v>26.17</v>
      </c>
      <c r="BJ64" s="745">
        <v>26.29</v>
      </c>
      <c r="BK64" s="745">
        <v>26.4</v>
      </c>
      <c r="BL64" s="745">
        <v>26.52</v>
      </c>
      <c r="BM64" s="745">
        <v>26.64</v>
      </c>
      <c r="BN64" s="745">
        <v>26.76</v>
      </c>
      <c r="BO64" s="745">
        <v>26.88</v>
      </c>
      <c r="BP64" s="745">
        <v>26.99</v>
      </c>
      <c r="BQ64" s="745">
        <v>27.11</v>
      </c>
      <c r="BR64" s="745">
        <v>27.22</v>
      </c>
      <c r="BS64" s="745">
        <v>27.34</v>
      </c>
      <c r="BT64" s="745">
        <v>27.45</v>
      </c>
      <c r="BU64" s="745">
        <v>27.57</v>
      </c>
      <c r="BV64" s="745">
        <v>27.68</v>
      </c>
      <c r="BW64" s="745">
        <v>27.79</v>
      </c>
      <c r="BX64" s="745">
        <v>27.9</v>
      </c>
      <c r="BY64" s="745">
        <v>28.01</v>
      </c>
      <c r="BZ64" s="745">
        <v>28.12</v>
      </c>
      <c r="CA64" s="745">
        <v>28.23</v>
      </c>
      <c r="CB64" s="745">
        <v>28.34</v>
      </c>
      <c r="CC64" s="745">
        <v>28.45</v>
      </c>
      <c r="CD64" s="745">
        <v>28.56</v>
      </c>
      <c r="CE64" s="745">
        <v>28.66</v>
      </c>
      <c r="CF64" s="745">
        <v>28.77</v>
      </c>
      <c r="CG64" s="745">
        <v>28.88</v>
      </c>
      <c r="CH64" s="745">
        <v>28.98</v>
      </c>
      <c r="CI64" s="745">
        <v>29.09</v>
      </c>
      <c r="CJ64" s="745">
        <v>29.19</v>
      </c>
      <c r="CK64" s="745">
        <v>29.29</v>
      </c>
      <c r="CL64" s="745">
        <v>29.4</v>
      </c>
      <c r="CM64" s="745">
        <v>29.5</v>
      </c>
      <c r="CN64" s="745">
        <v>29.6</v>
      </c>
      <c r="CO64" s="745">
        <v>29.7</v>
      </c>
      <c r="CP64" s="745">
        <v>29.8</v>
      </c>
      <c r="CQ64" s="745">
        <v>29.9</v>
      </c>
      <c r="CR64" s="745">
        <v>30</v>
      </c>
      <c r="CS64" s="745">
        <v>30.1</v>
      </c>
      <c r="CT64" s="745">
        <v>30.19</v>
      </c>
      <c r="CU64" s="745">
        <v>30.29</v>
      </c>
      <c r="CV64" s="745">
        <v>30.39</v>
      </c>
      <c r="CW64" s="745">
        <v>30.48</v>
      </c>
      <c r="CX64" s="745">
        <v>30.58</v>
      </c>
      <c r="CY64" s="745">
        <v>30.67</v>
      </c>
      <c r="CZ64" s="745">
        <v>30.76</v>
      </c>
      <c r="DA64" s="745">
        <v>30.86</v>
      </c>
      <c r="DB64" s="745">
        <v>30.95</v>
      </c>
      <c r="DC64" s="745">
        <v>31.04</v>
      </c>
      <c r="DD64" s="745">
        <v>31.13</v>
      </c>
      <c r="DE64" s="745">
        <v>31.22</v>
      </c>
      <c r="DF64" s="745">
        <v>31.31</v>
      </c>
      <c r="DG64" s="745">
        <v>31.4</v>
      </c>
      <c r="DH64" s="745">
        <v>31.49</v>
      </c>
      <c r="DI64" s="745">
        <v>31.58</v>
      </c>
      <c r="DJ64" s="745">
        <v>31.66</v>
      </c>
      <c r="DK64" s="745">
        <v>31.75</v>
      </c>
      <c r="DL64" s="745">
        <v>31.83</v>
      </c>
      <c r="DM64" s="745">
        <v>31.92</v>
      </c>
      <c r="DN64" s="745">
        <v>32</v>
      </c>
      <c r="DO64" s="745">
        <v>32.090000000000003</v>
      </c>
      <c r="DP64" s="745">
        <v>32.17</v>
      </c>
      <c r="DQ64" s="745">
        <v>32.25</v>
      </c>
      <c r="DR64" s="745">
        <v>32.340000000000003</v>
      </c>
    </row>
    <row r="65" spans="1:122">
      <c r="A65" s="918">
        <v>63</v>
      </c>
      <c r="B65" s="90"/>
      <c r="C65" s="90"/>
      <c r="D65" s="90"/>
      <c r="E65" s="90"/>
      <c r="F65" s="90"/>
      <c r="G65" s="90"/>
      <c r="H65" s="90"/>
      <c r="I65" s="90"/>
      <c r="J65" s="90"/>
      <c r="K65" s="90"/>
      <c r="L65" s="90"/>
      <c r="M65" s="90"/>
      <c r="N65" s="90"/>
      <c r="O65" s="90"/>
      <c r="P65" s="90"/>
      <c r="Q65" s="90"/>
      <c r="R65" s="90"/>
      <c r="S65" s="90"/>
      <c r="T65" s="90"/>
      <c r="U65" s="90"/>
      <c r="V65" s="745"/>
      <c r="W65" s="745">
        <v>20.54</v>
      </c>
      <c r="X65" s="745">
        <v>20.69</v>
      </c>
      <c r="Y65" s="745">
        <v>20.86</v>
      </c>
      <c r="Z65" s="745">
        <v>21.04</v>
      </c>
      <c r="AA65" s="745">
        <v>21.17</v>
      </c>
      <c r="AB65" s="745">
        <v>21.32</v>
      </c>
      <c r="AC65" s="745">
        <v>21.5</v>
      </c>
      <c r="AD65" s="745">
        <v>21.61</v>
      </c>
      <c r="AE65" s="745">
        <v>21.8</v>
      </c>
      <c r="AF65" s="745">
        <v>21.95</v>
      </c>
      <c r="AG65" s="745">
        <v>22.07</v>
      </c>
      <c r="AH65" s="745">
        <v>22.24</v>
      </c>
      <c r="AI65" s="745">
        <v>22.39</v>
      </c>
      <c r="AJ65" s="745">
        <v>22.59</v>
      </c>
      <c r="AK65" s="745">
        <v>22.77</v>
      </c>
      <c r="AL65" s="745">
        <v>22.98</v>
      </c>
      <c r="AM65" s="745">
        <v>23.17</v>
      </c>
      <c r="AN65" s="745">
        <v>23.32</v>
      </c>
      <c r="AO65" s="745">
        <v>23.45</v>
      </c>
      <c r="AP65" s="745">
        <v>23.53</v>
      </c>
      <c r="AQ65" s="745">
        <v>23.59</v>
      </c>
      <c r="AR65" s="745">
        <v>23.64</v>
      </c>
      <c r="AS65" s="745">
        <v>23.69</v>
      </c>
      <c r="AT65" s="745">
        <v>23.72</v>
      </c>
      <c r="AU65" s="745">
        <v>23.77</v>
      </c>
      <c r="AV65" s="745">
        <v>23.83</v>
      </c>
      <c r="AW65" s="745">
        <v>23.97</v>
      </c>
      <c r="AX65" s="745">
        <v>24.04</v>
      </c>
      <c r="AY65" s="745">
        <v>24.16</v>
      </c>
      <c r="AZ65" s="745">
        <v>24.28</v>
      </c>
      <c r="BA65" s="745">
        <v>24.38</v>
      </c>
      <c r="BB65" s="745">
        <v>24.48</v>
      </c>
      <c r="BC65" s="745">
        <v>24.59</v>
      </c>
      <c r="BD65" s="745">
        <v>24.71</v>
      </c>
      <c r="BE65" s="745">
        <v>24.83</v>
      </c>
      <c r="BF65" s="745">
        <v>24.96</v>
      </c>
      <c r="BG65" s="745">
        <v>25.08</v>
      </c>
      <c r="BH65" s="745">
        <v>25.19</v>
      </c>
      <c r="BI65" s="745">
        <v>25.31</v>
      </c>
      <c r="BJ65" s="745">
        <v>25.43</v>
      </c>
      <c r="BK65" s="745">
        <v>25.55</v>
      </c>
      <c r="BL65" s="745">
        <v>25.66</v>
      </c>
      <c r="BM65" s="745">
        <v>25.78</v>
      </c>
      <c r="BN65" s="745">
        <v>25.9</v>
      </c>
      <c r="BO65" s="745">
        <v>26.01</v>
      </c>
      <c r="BP65" s="745">
        <v>26.13</v>
      </c>
      <c r="BQ65" s="745">
        <v>26.24</v>
      </c>
      <c r="BR65" s="745">
        <v>26.35</v>
      </c>
      <c r="BS65" s="745">
        <v>26.47</v>
      </c>
      <c r="BT65" s="745">
        <v>26.58</v>
      </c>
      <c r="BU65" s="745">
        <v>26.69</v>
      </c>
      <c r="BV65" s="745">
        <v>26.8</v>
      </c>
      <c r="BW65" s="745">
        <v>26.91</v>
      </c>
      <c r="BX65" s="745">
        <v>27.02</v>
      </c>
      <c r="BY65" s="745">
        <v>27.13</v>
      </c>
      <c r="BZ65" s="745">
        <v>27.24</v>
      </c>
      <c r="CA65" s="745">
        <v>27.35</v>
      </c>
      <c r="CB65" s="745">
        <v>27.45</v>
      </c>
      <c r="CC65" s="745">
        <v>27.56</v>
      </c>
      <c r="CD65" s="745">
        <v>27.66</v>
      </c>
      <c r="CE65" s="745">
        <v>27.77</v>
      </c>
      <c r="CF65" s="745">
        <v>27.88</v>
      </c>
      <c r="CG65" s="745">
        <v>27.98</v>
      </c>
      <c r="CH65" s="745">
        <v>28.08</v>
      </c>
      <c r="CI65" s="745">
        <v>28.19</v>
      </c>
      <c r="CJ65" s="745">
        <v>28.29</v>
      </c>
      <c r="CK65" s="745">
        <v>28.39</v>
      </c>
      <c r="CL65" s="745">
        <v>28.49</v>
      </c>
      <c r="CM65" s="745">
        <v>28.59</v>
      </c>
      <c r="CN65" s="745">
        <v>28.69</v>
      </c>
      <c r="CO65" s="745">
        <v>28.79</v>
      </c>
      <c r="CP65" s="745">
        <v>28.89</v>
      </c>
      <c r="CQ65" s="745">
        <v>28.99</v>
      </c>
      <c r="CR65" s="745">
        <v>29.08</v>
      </c>
      <c r="CS65" s="745">
        <v>29.18</v>
      </c>
      <c r="CT65" s="745">
        <v>29.28</v>
      </c>
      <c r="CU65" s="745">
        <v>29.37</v>
      </c>
      <c r="CV65" s="745">
        <v>29.47</v>
      </c>
      <c r="CW65" s="745">
        <v>29.56</v>
      </c>
      <c r="CX65" s="745">
        <v>29.65</v>
      </c>
      <c r="CY65" s="745">
        <v>29.75</v>
      </c>
      <c r="CZ65" s="745">
        <v>29.84</v>
      </c>
      <c r="DA65" s="745">
        <v>29.93</v>
      </c>
      <c r="DB65" s="745">
        <v>30.02</v>
      </c>
      <c r="DC65" s="745">
        <v>30.11</v>
      </c>
      <c r="DD65" s="745">
        <v>30.2</v>
      </c>
      <c r="DE65" s="745">
        <v>30.29</v>
      </c>
      <c r="DF65" s="745">
        <v>30.38</v>
      </c>
      <c r="DG65" s="745">
        <v>30.47</v>
      </c>
      <c r="DH65" s="745">
        <v>30.55</v>
      </c>
      <c r="DI65" s="745">
        <v>30.64</v>
      </c>
      <c r="DJ65" s="745">
        <v>30.73</v>
      </c>
      <c r="DK65" s="745">
        <v>30.81</v>
      </c>
      <c r="DL65" s="745">
        <v>30.9</v>
      </c>
      <c r="DM65" s="745">
        <v>30.98</v>
      </c>
      <c r="DN65" s="745">
        <v>31.06</v>
      </c>
      <c r="DO65" s="745">
        <v>31.15</v>
      </c>
      <c r="DP65" s="745">
        <v>31.23</v>
      </c>
      <c r="DQ65" s="745">
        <v>31.31</v>
      </c>
      <c r="DR65" s="745">
        <v>31.39</v>
      </c>
    </row>
    <row r="66" spans="1:122">
      <c r="A66" s="918">
        <v>64</v>
      </c>
      <c r="B66" s="90"/>
      <c r="C66" s="90"/>
      <c r="D66" s="90"/>
      <c r="E66" s="90"/>
      <c r="F66" s="90"/>
      <c r="G66" s="90"/>
      <c r="H66" s="90"/>
      <c r="I66" s="90"/>
      <c r="J66" s="90"/>
      <c r="K66" s="90"/>
      <c r="L66" s="90"/>
      <c r="M66" s="90"/>
      <c r="N66" s="90"/>
      <c r="O66" s="90"/>
      <c r="P66" s="90"/>
      <c r="Q66" s="90"/>
      <c r="R66" s="90"/>
      <c r="S66" s="90"/>
      <c r="T66" s="90"/>
      <c r="U66" s="90"/>
      <c r="V66" s="745"/>
      <c r="W66" s="745">
        <v>19.760000000000002</v>
      </c>
      <c r="X66" s="745">
        <v>19.91</v>
      </c>
      <c r="Y66" s="745">
        <v>20.079999999999998</v>
      </c>
      <c r="Z66" s="745">
        <v>20.25</v>
      </c>
      <c r="AA66" s="745">
        <v>20.37</v>
      </c>
      <c r="AB66" s="745">
        <v>20.53</v>
      </c>
      <c r="AC66" s="745">
        <v>20.7</v>
      </c>
      <c r="AD66" s="745">
        <v>20.82</v>
      </c>
      <c r="AE66" s="745">
        <v>21</v>
      </c>
      <c r="AF66" s="745">
        <v>21.15</v>
      </c>
      <c r="AG66" s="745">
        <v>21.27</v>
      </c>
      <c r="AH66" s="745">
        <v>21.44</v>
      </c>
      <c r="AI66" s="745">
        <v>21.58</v>
      </c>
      <c r="AJ66" s="745">
        <v>21.77</v>
      </c>
      <c r="AK66" s="745">
        <v>21.95</v>
      </c>
      <c r="AL66" s="745">
        <v>22.14</v>
      </c>
      <c r="AM66" s="745">
        <v>22.33</v>
      </c>
      <c r="AN66" s="745">
        <v>22.48</v>
      </c>
      <c r="AO66" s="745">
        <v>22.61</v>
      </c>
      <c r="AP66" s="745">
        <v>22.69</v>
      </c>
      <c r="AQ66" s="745">
        <v>22.75</v>
      </c>
      <c r="AR66" s="745">
        <v>22.79</v>
      </c>
      <c r="AS66" s="745">
        <v>22.85</v>
      </c>
      <c r="AT66" s="745">
        <v>22.87</v>
      </c>
      <c r="AU66" s="745">
        <v>22.93</v>
      </c>
      <c r="AV66" s="745">
        <v>22.99</v>
      </c>
      <c r="AW66" s="745">
        <v>23.14</v>
      </c>
      <c r="AX66" s="745">
        <v>23.2</v>
      </c>
      <c r="AY66" s="745">
        <v>23.32</v>
      </c>
      <c r="AZ66" s="745">
        <v>23.43</v>
      </c>
      <c r="BA66" s="745">
        <v>23.54</v>
      </c>
      <c r="BB66" s="745">
        <v>23.64</v>
      </c>
      <c r="BC66" s="745">
        <v>23.75</v>
      </c>
      <c r="BD66" s="745">
        <v>23.87</v>
      </c>
      <c r="BE66" s="745">
        <v>24</v>
      </c>
      <c r="BF66" s="745">
        <v>24.11</v>
      </c>
      <c r="BG66" s="745">
        <v>24.23</v>
      </c>
      <c r="BH66" s="745">
        <v>24.35</v>
      </c>
      <c r="BI66" s="745">
        <v>24.47</v>
      </c>
      <c r="BJ66" s="745">
        <v>24.58</v>
      </c>
      <c r="BK66" s="745">
        <v>24.7</v>
      </c>
      <c r="BL66" s="745">
        <v>24.81</v>
      </c>
      <c r="BM66" s="745">
        <v>24.93</v>
      </c>
      <c r="BN66" s="745">
        <v>25.04</v>
      </c>
      <c r="BO66" s="745">
        <v>25.15</v>
      </c>
      <c r="BP66" s="745">
        <v>25.26</v>
      </c>
      <c r="BQ66" s="745">
        <v>25.38</v>
      </c>
      <c r="BR66" s="745">
        <v>25.49</v>
      </c>
      <c r="BS66" s="745">
        <v>25.6</v>
      </c>
      <c r="BT66" s="745">
        <v>25.71</v>
      </c>
      <c r="BU66" s="745">
        <v>25.82</v>
      </c>
      <c r="BV66" s="745">
        <v>25.93</v>
      </c>
      <c r="BW66" s="745">
        <v>26.03</v>
      </c>
      <c r="BX66" s="745">
        <v>26.14</v>
      </c>
      <c r="BY66" s="745">
        <v>26.25</v>
      </c>
      <c r="BZ66" s="745">
        <v>26.36</v>
      </c>
      <c r="CA66" s="745">
        <v>26.46</v>
      </c>
      <c r="CB66" s="745">
        <v>26.57</v>
      </c>
      <c r="CC66" s="745">
        <v>26.67</v>
      </c>
      <c r="CD66" s="745">
        <v>26.78</v>
      </c>
      <c r="CE66" s="745">
        <v>26.88</v>
      </c>
      <c r="CF66" s="745">
        <v>26.98</v>
      </c>
      <c r="CG66" s="745">
        <v>27.09</v>
      </c>
      <c r="CH66" s="745">
        <v>27.19</v>
      </c>
      <c r="CI66" s="745">
        <v>27.29</v>
      </c>
      <c r="CJ66" s="745">
        <v>27.39</v>
      </c>
      <c r="CK66" s="745">
        <v>27.49</v>
      </c>
      <c r="CL66" s="745">
        <v>27.59</v>
      </c>
      <c r="CM66" s="745">
        <v>27.69</v>
      </c>
      <c r="CN66" s="745">
        <v>27.79</v>
      </c>
      <c r="CO66" s="745">
        <v>27.88</v>
      </c>
      <c r="CP66" s="745">
        <v>27.98</v>
      </c>
      <c r="CQ66" s="745">
        <v>28.08</v>
      </c>
      <c r="CR66" s="745">
        <v>28.17</v>
      </c>
      <c r="CS66" s="745">
        <v>28.27</v>
      </c>
      <c r="CT66" s="745">
        <v>28.36</v>
      </c>
      <c r="CU66" s="745">
        <v>28.46</v>
      </c>
      <c r="CV66" s="745">
        <v>28.55</v>
      </c>
      <c r="CW66" s="745">
        <v>28.64</v>
      </c>
      <c r="CX66" s="745">
        <v>28.73</v>
      </c>
      <c r="CY66" s="745">
        <v>28.83</v>
      </c>
      <c r="CZ66" s="745">
        <v>28.92</v>
      </c>
      <c r="DA66" s="745">
        <v>29.01</v>
      </c>
      <c r="DB66" s="745">
        <v>29.1</v>
      </c>
      <c r="DC66" s="745">
        <v>29.19</v>
      </c>
      <c r="DD66" s="745">
        <v>29.27</v>
      </c>
      <c r="DE66" s="745">
        <v>29.36</v>
      </c>
      <c r="DF66" s="745">
        <v>29.45</v>
      </c>
      <c r="DG66" s="745">
        <v>29.54</v>
      </c>
      <c r="DH66" s="745">
        <v>29.62</v>
      </c>
      <c r="DI66" s="745">
        <v>29.71</v>
      </c>
      <c r="DJ66" s="745">
        <v>29.79</v>
      </c>
      <c r="DK66" s="745">
        <v>29.88</v>
      </c>
      <c r="DL66" s="745">
        <v>29.96</v>
      </c>
      <c r="DM66" s="745">
        <v>30.04</v>
      </c>
      <c r="DN66" s="745">
        <v>30.13</v>
      </c>
      <c r="DO66" s="745">
        <v>30.21</v>
      </c>
      <c r="DP66" s="745">
        <v>30.29</v>
      </c>
      <c r="DQ66" s="745">
        <v>30.37</v>
      </c>
      <c r="DR66" s="745">
        <v>30.45</v>
      </c>
    </row>
    <row r="67" spans="1:122">
      <c r="A67" s="918">
        <v>65</v>
      </c>
      <c r="B67" s="90"/>
      <c r="C67" s="90"/>
      <c r="D67" s="90"/>
      <c r="E67" s="90"/>
      <c r="F67" s="90"/>
      <c r="G67" s="90"/>
      <c r="H67" s="90"/>
      <c r="I67" s="90"/>
      <c r="J67" s="90"/>
      <c r="K67" s="90"/>
      <c r="L67" s="90"/>
      <c r="M67" s="90"/>
      <c r="N67" s="90"/>
      <c r="O67" s="90"/>
      <c r="P67" s="90"/>
      <c r="Q67" s="90"/>
      <c r="R67" s="90"/>
      <c r="S67" s="90"/>
      <c r="T67" s="90"/>
      <c r="U67" s="90"/>
      <c r="V67" s="745"/>
      <c r="W67" s="745">
        <v>18.98</v>
      </c>
      <c r="X67" s="745">
        <v>19.13</v>
      </c>
      <c r="Y67" s="745">
        <v>19.3</v>
      </c>
      <c r="Z67" s="745">
        <v>19.46</v>
      </c>
      <c r="AA67" s="745">
        <v>19.59</v>
      </c>
      <c r="AB67" s="745">
        <v>19.75</v>
      </c>
      <c r="AC67" s="745">
        <v>19.920000000000002</v>
      </c>
      <c r="AD67" s="745">
        <v>20.03</v>
      </c>
      <c r="AE67" s="745">
        <v>20.2</v>
      </c>
      <c r="AF67" s="745">
        <v>20.36</v>
      </c>
      <c r="AG67" s="745">
        <v>20.47</v>
      </c>
      <c r="AH67" s="745">
        <v>20.63</v>
      </c>
      <c r="AI67" s="745">
        <v>20.77</v>
      </c>
      <c r="AJ67" s="745">
        <v>20.95</v>
      </c>
      <c r="AK67" s="745">
        <v>21.13</v>
      </c>
      <c r="AL67" s="745">
        <v>21.32</v>
      </c>
      <c r="AM67" s="745">
        <v>21.5</v>
      </c>
      <c r="AN67" s="745">
        <v>21.65</v>
      </c>
      <c r="AO67" s="745">
        <v>21.77</v>
      </c>
      <c r="AP67" s="745">
        <v>21.84</v>
      </c>
      <c r="AQ67" s="745">
        <v>21.9</v>
      </c>
      <c r="AR67" s="745">
        <v>21.95</v>
      </c>
      <c r="AS67" s="745">
        <v>22</v>
      </c>
      <c r="AT67" s="745">
        <v>22.04</v>
      </c>
      <c r="AU67" s="745">
        <v>22.1</v>
      </c>
      <c r="AV67" s="745">
        <v>22.16</v>
      </c>
      <c r="AW67" s="745">
        <v>22.3</v>
      </c>
      <c r="AX67" s="745">
        <v>22.38</v>
      </c>
      <c r="AY67" s="745">
        <v>22.49</v>
      </c>
      <c r="AZ67" s="745">
        <v>22.6</v>
      </c>
      <c r="BA67" s="745">
        <v>22.71</v>
      </c>
      <c r="BB67" s="745">
        <v>22.81</v>
      </c>
      <c r="BC67" s="745">
        <v>22.93</v>
      </c>
      <c r="BD67" s="745">
        <v>23.05</v>
      </c>
      <c r="BE67" s="745">
        <v>23.16</v>
      </c>
      <c r="BF67" s="745">
        <v>23.28</v>
      </c>
      <c r="BG67" s="745">
        <v>23.4</v>
      </c>
      <c r="BH67" s="745">
        <v>23.51</v>
      </c>
      <c r="BI67" s="745">
        <v>23.62</v>
      </c>
      <c r="BJ67" s="745">
        <v>23.74</v>
      </c>
      <c r="BK67" s="745">
        <v>23.85</v>
      </c>
      <c r="BL67" s="745">
        <v>23.96</v>
      </c>
      <c r="BM67" s="745">
        <v>24.07</v>
      </c>
      <c r="BN67" s="745">
        <v>24.19</v>
      </c>
      <c r="BO67" s="745">
        <v>24.3</v>
      </c>
      <c r="BP67" s="745">
        <v>24.41</v>
      </c>
      <c r="BQ67" s="745">
        <v>24.52</v>
      </c>
      <c r="BR67" s="745">
        <v>24.62</v>
      </c>
      <c r="BS67" s="745">
        <v>24.73</v>
      </c>
      <c r="BT67" s="745">
        <v>24.84</v>
      </c>
      <c r="BU67" s="745">
        <v>24.95</v>
      </c>
      <c r="BV67" s="745">
        <v>25.06</v>
      </c>
      <c r="BW67" s="745">
        <v>25.16</v>
      </c>
      <c r="BX67" s="745">
        <v>25.27</v>
      </c>
      <c r="BY67" s="745">
        <v>25.37</v>
      </c>
      <c r="BZ67" s="745">
        <v>25.48</v>
      </c>
      <c r="CA67" s="745">
        <v>25.58</v>
      </c>
      <c r="CB67" s="745">
        <v>25.69</v>
      </c>
      <c r="CC67" s="745">
        <v>25.79</v>
      </c>
      <c r="CD67" s="745">
        <v>25.89</v>
      </c>
      <c r="CE67" s="745">
        <v>25.99</v>
      </c>
      <c r="CF67" s="745">
        <v>26.09</v>
      </c>
      <c r="CG67" s="745">
        <v>26.19</v>
      </c>
      <c r="CH67" s="745">
        <v>26.29</v>
      </c>
      <c r="CI67" s="745">
        <v>26.39</v>
      </c>
      <c r="CJ67" s="745">
        <v>26.49</v>
      </c>
      <c r="CK67" s="745">
        <v>26.59</v>
      </c>
      <c r="CL67" s="745">
        <v>26.69</v>
      </c>
      <c r="CM67" s="745">
        <v>26.79</v>
      </c>
      <c r="CN67" s="745">
        <v>26.88</v>
      </c>
      <c r="CO67" s="745">
        <v>26.98</v>
      </c>
      <c r="CP67" s="745">
        <v>27.08</v>
      </c>
      <c r="CQ67" s="745">
        <v>27.17</v>
      </c>
      <c r="CR67" s="745">
        <v>27.26</v>
      </c>
      <c r="CS67" s="745">
        <v>27.36</v>
      </c>
      <c r="CT67" s="745">
        <v>27.45</v>
      </c>
      <c r="CU67" s="745">
        <v>27.54</v>
      </c>
      <c r="CV67" s="745">
        <v>27.64</v>
      </c>
      <c r="CW67" s="745">
        <v>27.73</v>
      </c>
      <c r="CX67" s="745">
        <v>27.82</v>
      </c>
      <c r="CY67" s="745">
        <v>27.91</v>
      </c>
      <c r="CZ67" s="745">
        <v>28</v>
      </c>
      <c r="DA67" s="745">
        <v>28.09</v>
      </c>
      <c r="DB67" s="745">
        <v>28.18</v>
      </c>
      <c r="DC67" s="745">
        <v>28.26</v>
      </c>
      <c r="DD67" s="745">
        <v>28.35</v>
      </c>
      <c r="DE67" s="745">
        <v>28.44</v>
      </c>
      <c r="DF67" s="745">
        <v>28.52</v>
      </c>
      <c r="DG67" s="745">
        <v>28.61</v>
      </c>
      <c r="DH67" s="745">
        <v>28.69</v>
      </c>
      <c r="DI67" s="745">
        <v>28.78</v>
      </c>
      <c r="DJ67" s="745">
        <v>28.86</v>
      </c>
      <c r="DK67" s="745">
        <v>28.94</v>
      </c>
      <c r="DL67" s="745">
        <v>29.03</v>
      </c>
      <c r="DM67" s="745">
        <v>29.11</v>
      </c>
      <c r="DN67" s="745">
        <v>29.19</v>
      </c>
      <c r="DO67" s="745">
        <v>29.27</v>
      </c>
      <c r="DP67" s="745">
        <v>29.35</v>
      </c>
      <c r="DQ67" s="745">
        <v>29.43</v>
      </c>
      <c r="DR67" s="745">
        <v>29.51</v>
      </c>
    </row>
    <row r="68" spans="1:122">
      <c r="A68" s="918">
        <v>66</v>
      </c>
      <c r="B68" s="90"/>
      <c r="C68" s="90"/>
      <c r="D68" s="90"/>
      <c r="E68" s="90"/>
      <c r="F68" s="90"/>
      <c r="G68" s="90"/>
      <c r="H68" s="90"/>
      <c r="I68" s="90"/>
      <c r="J68" s="90"/>
      <c r="K68" s="90"/>
      <c r="L68" s="90"/>
      <c r="M68" s="90"/>
      <c r="N68" s="90"/>
      <c r="O68" s="90"/>
      <c r="P68" s="90"/>
      <c r="Q68" s="90"/>
      <c r="R68" s="90"/>
      <c r="S68" s="90"/>
      <c r="T68" s="90"/>
      <c r="U68" s="90"/>
      <c r="V68" s="745"/>
      <c r="W68" s="745">
        <v>18.23</v>
      </c>
      <c r="X68" s="745">
        <v>18.37</v>
      </c>
      <c r="Y68" s="745">
        <v>18.53</v>
      </c>
      <c r="Z68" s="745">
        <v>18.7</v>
      </c>
      <c r="AA68" s="745">
        <v>18.82</v>
      </c>
      <c r="AB68" s="745">
        <v>18.98</v>
      </c>
      <c r="AC68" s="745">
        <v>19.14</v>
      </c>
      <c r="AD68" s="745">
        <v>19.25</v>
      </c>
      <c r="AE68" s="745">
        <v>19.420000000000002</v>
      </c>
      <c r="AF68" s="745">
        <v>19.579999999999998</v>
      </c>
      <c r="AG68" s="745">
        <v>19.68</v>
      </c>
      <c r="AH68" s="745">
        <v>19.829999999999998</v>
      </c>
      <c r="AI68" s="745">
        <v>19.97</v>
      </c>
      <c r="AJ68" s="745">
        <v>20.14</v>
      </c>
      <c r="AK68" s="745">
        <v>20.309999999999999</v>
      </c>
      <c r="AL68" s="745">
        <v>20.5</v>
      </c>
      <c r="AM68" s="745">
        <v>20.68</v>
      </c>
      <c r="AN68" s="745">
        <v>20.82</v>
      </c>
      <c r="AO68" s="745">
        <v>20.93</v>
      </c>
      <c r="AP68" s="745">
        <v>21</v>
      </c>
      <c r="AQ68" s="745">
        <v>21.07</v>
      </c>
      <c r="AR68" s="745">
        <v>21.11</v>
      </c>
      <c r="AS68" s="745">
        <v>21.18</v>
      </c>
      <c r="AT68" s="745">
        <v>21.21</v>
      </c>
      <c r="AU68" s="745">
        <v>21.27</v>
      </c>
      <c r="AV68" s="745">
        <v>21.34</v>
      </c>
      <c r="AW68" s="745">
        <v>21.48</v>
      </c>
      <c r="AX68" s="745">
        <v>21.55</v>
      </c>
      <c r="AY68" s="745">
        <v>21.66</v>
      </c>
      <c r="AZ68" s="745">
        <v>21.78</v>
      </c>
      <c r="BA68" s="745">
        <v>21.88</v>
      </c>
      <c r="BB68" s="745">
        <v>21.99</v>
      </c>
      <c r="BC68" s="745">
        <v>22.11</v>
      </c>
      <c r="BD68" s="745">
        <v>22.22</v>
      </c>
      <c r="BE68" s="745">
        <v>22.34</v>
      </c>
      <c r="BF68" s="745">
        <v>22.45</v>
      </c>
      <c r="BG68" s="745">
        <v>22.56</v>
      </c>
      <c r="BH68" s="745">
        <v>22.68</v>
      </c>
      <c r="BI68" s="745">
        <v>22.79</v>
      </c>
      <c r="BJ68" s="745">
        <v>22.9</v>
      </c>
      <c r="BK68" s="745">
        <v>23.01</v>
      </c>
      <c r="BL68" s="745">
        <v>23.12</v>
      </c>
      <c r="BM68" s="745">
        <v>23.23</v>
      </c>
      <c r="BN68" s="745">
        <v>23.34</v>
      </c>
      <c r="BO68" s="745">
        <v>23.45</v>
      </c>
      <c r="BP68" s="745">
        <v>23.55</v>
      </c>
      <c r="BQ68" s="745">
        <v>23.66</v>
      </c>
      <c r="BR68" s="745">
        <v>23.77</v>
      </c>
      <c r="BS68" s="745">
        <v>23.87</v>
      </c>
      <c r="BT68" s="745">
        <v>23.98</v>
      </c>
      <c r="BU68" s="745">
        <v>24.09</v>
      </c>
      <c r="BV68" s="745">
        <v>24.19</v>
      </c>
      <c r="BW68" s="745">
        <v>24.29</v>
      </c>
      <c r="BX68" s="745">
        <v>24.4</v>
      </c>
      <c r="BY68" s="745">
        <v>24.5</v>
      </c>
      <c r="BZ68" s="745">
        <v>24.6</v>
      </c>
      <c r="CA68" s="745">
        <v>24.71</v>
      </c>
      <c r="CB68" s="745">
        <v>24.81</v>
      </c>
      <c r="CC68" s="745">
        <v>24.91</v>
      </c>
      <c r="CD68" s="745">
        <v>25.01</v>
      </c>
      <c r="CE68" s="745">
        <v>25.11</v>
      </c>
      <c r="CF68" s="745">
        <v>25.21</v>
      </c>
      <c r="CG68" s="745">
        <v>25.31</v>
      </c>
      <c r="CH68" s="745">
        <v>25.41</v>
      </c>
      <c r="CI68" s="745">
        <v>25.5</v>
      </c>
      <c r="CJ68" s="745">
        <v>25.6</v>
      </c>
      <c r="CK68" s="745">
        <v>25.7</v>
      </c>
      <c r="CL68" s="745">
        <v>25.79</v>
      </c>
      <c r="CM68" s="745">
        <v>25.89</v>
      </c>
      <c r="CN68" s="745">
        <v>25.99</v>
      </c>
      <c r="CO68" s="745">
        <v>26.08</v>
      </c>
      <c r="CP68" s="745">
        <v>26.17</v>
      </c>
      <c r="CQ68" s="745">
        <v>26.27</v>
      </c>
      <c r="CR68" s="745">
        <v>26.36</v>
      </c>
      <c r="CS68" s="745">
        <v>26.45</v>
      </c>
      <c r="CT68" s="745">
        <v>26.54</v>
      </c>
      <c r="CU68" s="745">
        <v>26.63</v>
      </c>
      <c r="CV68" s="745">
        <v>26.73</v>
      </c>
      <c r="CW68" s="745">
        <v>26.82</v>
      </c>
      <c r="CX68" s="745">
        <v>26.9</v>
      </c>
      <c r="CY68" s="745">
        <v>26.99</v>
      </c>
      <c r="CZ68" s="745">
        <v>27.08</v>
      </c>
      <c r="DA68" s="745">
        <v>27.17</v>
      </c>
      <c r="DB68" s="745">
        <v>27.26</v>
      </c>
      <c r="DC68" s="745">
        <v>27.34</v>
      </c>
      <c r="DD68" s="745">
        <v>27.43</v>
      </c>
      <c r="DE68" s="745">
        <v>27.51</v>
      </c>
      <c r="DF68" s="745">
        <v>27.6</v>
      </c>
      <c r="DG68" s="745">
        <v>27.68</v>
      </c>
      <c r="DH68" s="745">
        <v>27.77</v>
      </c>
      <c r="DI68" s="745">
        <v>27.85</v>
      </c>
      <c r="DJ68" s="745">
        <v>27.93</v>
      </c>
      <c r="DK68" s="745">
        <v>28.01</v>
      </c>
      <c r="DL68" s="745">
        <v>28.1</v>
      </c>
      <c r="DM68" s="745">
        <v>28.18</v>
      </c>
      <c r="DN68" s="745">
        <v>28.26</v>
      </c>
      <c r="DO68" s="745">
        <v>28.34</v>
      </c>
      <c r="DP68" s="745">
        <v>28.42</v>
      </c>
      <c r="DQ68" s="745">
        <v>28.49</v>
      </c>
      <c r="DR68" s="745">
        <v>28.57</v>
      </c>
    </row>
    <row r="69" spans="1:122">
      <c r="A69" s="918">
        <v>67</v>
      </c>
      <c r="B69" s="90"/>
      <c r="C69" s="90"/>
      <c r="D69" s="90"/>
      <c r="E69" s="90"/>
      <c r="F69" s="90"/>
      <c r="G69" s="90"/>
      <c r="H69" s="90"/>
      <c r="I69" s="90"/>
      <c r="J69" s="90"/>
      <c r="K69" s="90"/>
      <c r="L69" s="90"/>
      <c r="M69" s="90"/>
      <c r="N69" s="90"/>
      <c r="O69" s="90"/>
      <c r="P69" s="90"/>
      <c r="Q69" s="90"/>
      <c r="R69" s="90"/>
      <c r="S69" s="90"/>
      <c r="T69" s="90"/>
      <c r="U69" s="90"/>
      <c r="V69" s="745"/>
      <c r="W69" s="745">
        <v>17.47</v>
      </c>
      <c r="X69" s="745">
        <v>17.61</v>
      </c>
      <c r="Y69" s="745">
        <v>17.77</v>
      </c>
      <c r="Z69" s="745">
        <v>17.940000000000001</v>
      </c>
      <c r="AA69" s="745">
        <v>18.059999999999999</v>
      </c>
      <c r="AB69" s="745">
        <v>18.21</v>
      </c>
      <c r="AC69" s="745">
        <v>18.36</v>
      </c>
      <c r="AD69" s="745">
        <v>18.48</v>
      </c>
      <c r="AE69" s="745">
        <v>18.649999999999999</v>
      </c>
      <c r="AF69" s="745">
        <v>18.79</v>
      </c>
      <c r="AG69" s="745">
        <v>18.899999999999999</v>
      </c>
      <c r="AH69" s="745">
        <v>19.05</v>
      </c>
      <c r="AI69" s="745">
        <v>19.170000000000002</v>
      </c>
      <c r="AJ69" s="745">
        <v>19.34</v>
      </c>
      <c r="AK69" s="745">
        <v>19.510000000000002</v>
      </c>
      <c r="AL69" s="745">
        <v>19.690000000000001</v>
      </c>
      <c r="AM69" s="745">
        <v>19.86</v>
      </c>
      <c r="AN69" s="745">
        <v>19.989999999999998</v>
      </c>
      <c r="AO69" s="745">
        <v>20.100000000000001</v>
      </c>
      <c r="AP69" s="745">
        <v>20.170000000000002</v>
      </c>
      <c r="AQ69" s="745">
        <v>20.239999999999998</v>
      </c>
      <c r="AR69" s="745">
        <v>20.28</v>
      </c>
      <c r="AS69" s="745">
        <v>20.350000000000001</v>
      </c>
      <c r="AT69" s="745">
        <v>20.39</v>
      </c>
      <c r="AU69" s="745">
        <v>20.45</v>
      </c>
      <c r="AV69" s="745">
        <v>20.53</v>
      </c>
      <c r="AW69" s="745">
        <v>20.66</v>
      </c>
      <c r="AX69" s="745">
        <v>20.74</v>
      </c>
      <c r="AY69" s="745">
        <v>20.85</v>
      </c>
      <c r="AZ69" s="745">
        <v>20.97</v>
      </c>
      <c r="BA69" s="745">
        <v>21.07</v>
      </c>
      <c r="BB69" s="745">
        <v>21.18</v>
      </c>
      <c r="BC69" s="745">
        <v>21.29</v>
      </c>
      <c r="BD69" s="745">
        <v>21.41</v>
      </c>
      <c r="BE69" s="745">
        <v>21.52</v>
      </c>
      <c r="BF69" s="745">
        <v>21.63</v>
      </c>
      <c r="BG69" s="745">
        <v>21.74</v>
      </c>
      <c r="BH69" s="745">
        <v>21.85</v>
      </c>
      <c r="BI69" s="745">
        <v>21.96</v>
      </c>
      <c r="BJ69" s="745">
        <v>22.07</v>
      </c>
      <c r="BK69" s="745">
        <v>22.17</v>
      </c>
      <c r="BL69" s="745">
        <v>22.28</v>
      </c>
      <c r="BM69" s="745">
        <v>22.39</v>
      </c>
      <c r="BN69" s="745">
        <v>22.49</v>
      </c>
      <c r="BO69" s="745">
        <v>22.6</v>
      </c>
      <c r="BP69" s="745">
        <v>22.71</v>
      </c>
      <c r="BQ69" s="745">
        <v>22.81</v>
      </c>
      <c r="BR69" s="745">
        <v>22.92</v>
      </c>
      <c r="BS69" s="745">
        <v>23.02</v>
      </c>
      <c r="BT69" s="745">
        <v>23.12</v>
      </c>
      <c r="BU69" s="745">
        <v>23.23</v>
      </c>
      <c r="BV69" s="745">
        <v>23.33</v>
      </c>
      <c r="BW69" s="745">
        <v>23.43</v>
      </c>
      <c r="BX69" s="745">
        <v>23.53</v>
      </c>
      <c r="BY69" s="745">
        <v>23.63</v>
      </c>
      <c r="BZ69" s="745">
        <v>23.74</v>
      </c>
      <c r="CA69" s="745">
        <v>23.84</v>
      </c>
      <c r="CB69" s="745">
        <v>23.94</v>
      </c>
      <c r="CC69" s="745">
        <v>24.03</v>
      </c>
      <c r="CD69" s="745">
        <v>24.13</v>
      </c>
      <c r="CE69" s="745">
        <v>24.23</v>
      </c>
      <c r="CF69" s="745">
        <v>24.33</v>
      </c>
      <c r="CG69" s="745">
        <v>24.43</v>
      </c>
      <c r="CH69" s="745">
        <v>24.52</v>
      </c>
      <c r="CI69" s="745">
        <v>24.62</v>
      </c>
      <c r="CJ69" s="745">
        <v>24.71</v>
      </c>
      <c r="CK69" s="745">
        <v>24.81</v>
      </c>
      <c r="CL69" s="745">
        <v>24.9</v>
      </c>
      <c r="CM69" s="745">
        <v>25</v>
      </c>
      <c r="CN69" s="745">
        <v>25.09</v>
      </c>
      <c r="CO69" s="745">
        <v>25.18</v>
      </c>
      <c r="CP69" s="745">
        <v>25.28</v>
      </c>
      <c r="CQ69" s="745">
        <v>25.37</v>
      </c>
      <c r="CR69" s="745">
        <v>25.46</v>
      </c>
      <c r="CS69" s="745">
        <v>25.55</v>
      </c>
      <c r="CT69" s="745">
        <v>25.64</v>
      </c>
      <c r="CU69" s="745">
        <v>25.73</v>
      </c>
      <c r="CV69" s="745">
        <v>25.82</v>
      </c>
      <c r="CW69" s="745">
        <v>25.91</v>
      </c>
      <c r="CX69" s="745">
        <v>25.99</v>
      </c>
      <c r="CY69" s="745">
        <v>26.08</v>
      </c>
      <c r="CZ69" s="745">
        <v>26.17</v>
      </c>
      <c r="DA69" s="745">
        <v>26.25</v>
      </c>
      <c r="DB69" s="745">
        <v>26.34</v>
      </c>
      <c r="DC69" s="745">
        <v>26.43</v>
      </c>
      <c r="DD69" s="745">
        <v>26.51</v>
      </c>
      <c r="DE69" s="745">
        <v>26.59</v>
      </c>
      <c r="DF69" s="745">
        <v>26.68</v>
      </c>
      <c r="DG69" s="745">
        <v>26.76</v>
      </c>
      <c r="DH69" s="745">
        <v>26.84</v>
      </c>
      <c r="DI69" s="745">
        <v>26.92</v>
      </c>
      <c r="DJ69" s="745">
        <v>27.01</v>
      </c>
      <c r="DK69" s="745">
        <v>27.09</v>
      </c>
      <c r="DL69" s="745">
        <v>27.17</v>
      </c>
      <c r="DM69" s="745">
        <v>27.25</v>
      </c>
      <c r="DN69" s="745">
        <v>27.33</v>
      </c>
      <c r="DO69" s="745">
        <v>27.4</v>
      </c>
      <c r="DP69" s="745">
        <v>27.48</v>
      </c>
      <c r="DQ69" s="745">
        <v>27.56</v>
      </c>
      <c r="DR69" s="745">
        <v>27.64</v>
      </c>
    </row>
    <row r="70" spans="1:122">
      <c r="A70" s="918">
        <v>68</v>
      </c>
      <c r="B70" s="90"/>
      <c r="C70" s="90"/>
      <c r="D70" s="90"/>
      <c r="E70" s="90"/>
      <c r="F70" s="90"/>
      <c r="G70" s="90"/>
      <c r="H70" s="90"/>
      <c r="I70" s="90"/>
      <c r="J70" s="90"/>
      <c r="K70" s="90"/>
      <c r="L70" s="90"/>
      <c r="M70" s="90"/>
      <c r="N70" s="90"/>
      <c r="O70" s="90"/>
      <c r="P70" s="90"/>
      <c r="Q70" s="90"/>
      <c r="R70" s="90"/>
      <c r="S70" s="90"/>
      <c r="T70" s="90"/>
      <c r="U70" s="90"/>
      <c r="V70" s="745"/>
      <c r="W70" s="745">
        <v>16.73</v>
      </c>
      <c r="X70" s="745">
        <v>16.87</v>
      </c>
      <c r="Y70" s="745">
        <v>17.03</v>
      </c>
      <c r="Z70" s="745">
        <v>17.190000000000001</v>
      </c>
      <c r="AA70" s="745">
        <v>17.309999999999999</v>
      </c>
      <c r="AB70" s="745">
        <v>17.45</v>
      </c>
      <c r="AC70" s="745">
        <v>17.600000000000001</v>
      </c>
      <c r="AD70" s="745">
        <v>17.72</v>
      </c>
      <c r="AE70" s="745">
        <v>17.87</v>
      </c>
      <c r="AF70" s="745">
        <v>18.02</v>
      </c>
      <c r="AG70" s="745">
        <v>18.12</v>
      </c>
      <c r="AH70" s="745">
        <v>18.260000000000002</v>
      </c>
      <c r="AI70" s="745">
        <v>18.38</v>
      </c>
      <c r="AJ70" s="745">
        <v>18.54</v>
      </c>
      <c r="AK70" s="745">
        <v>18.71</v>
      </c>
      <c r="AL70" s="745">
        <v>18.88</v>
      </c>
      <c r="AM70" s="745">
        <v>19.05</v>
      </c>
      <c r="AN70" s="745">
        <v>19.170000000000002</v>
      </c>
      <c r="AO70" s="745">
        <v>19.27</v>
      </c>
      <c r="AP70" s="745">
        <v>19.350000000000001</v>
      </c>
      <c r="AQ70" s="745">
        <v>19.420000000000002</v>
      </c>
      <c r="AR70" s="745">
        <v>19.46</v>
      </c>
      <c r="AS70" s="745">
        <v>19.53</v>
      </c>
      <c r="AT70" s="745">
        <v>19.579999999999998</v>
      </c>
      <c r="AU70" s="745">
        <v>19.64</v>
      </c>
      <c r="AV70" s="745">
        <v>19.72</v>
      </c>
      <c r="AW70" s="745">
        <v>19.86</v>
      </c>
      <c r="AX70" s="745">
        <v>19.940000000000001</v>
      </c>
      <c r="AY70" s="745">
        <v>20.04</v>
      </c>
      <c r="AZ70" s="745">
        <v>20.16</v>
      </c>
      <c r="BA70" s="745">
        <v>20.27</v>
      </c>
      <c r="BB70" s="745">
        <v>20.38</v>
      </c>
      <c r="BC70" s="745">
        <v>20.49</v>
      </c>
      <c r="BD70" s="745">
        <v>20.6</v>
      </c>
      <c r="BE70" s="745">
        <v>20.7</v>
      </c>
      <c r="BF70" s="745">
        <v>20.81</v>
      </c>
      <c r="BG70" s="745">
        <v>20.92</v>
      </c>
      <c r="BH70" s="745">
        <v>21.03</v>
      </c>
      <c r="BI70" s="745">
        <v>21.13</v>
      </c>
      <c r="BJ70" s="745">
        <v>21.24</v>
      </c>
      <c r="BK70" s="745">
        <v>21.34</v>
      </c>
      <c r="BL70" s="745">
        <v>21.45</v>
      </c>
      <c r="BM70" s="745">
        <v>21.55</v>
      </c>
      <c r="BN70" s="745">
        <v>21.66</v>
      </c>
      <c r="BO70" s="745">
        <v>21.76</v>
      </c>
      <c r="BP70" s="745">
        <v>21.86</v>
      </c>
      <c r="BQ70" s="745">
        <v>21.97</v>
      </c>
      <c r="BR70" s="745">
        <v>22.07</v>
      </c>
      <c r="BS70" s="745">
        <v>22.17</v>
      </c>
      <c r="BT70" s="745">
        <v>22.27</v>
      </c>
      <c r="BU70" s="745">
        <v>22.37</v>
      </c>
      <c r="BV70" s="745">
        <v>22.47</v>
      </c>
      <c r="BW70" s="745">
        <v>22.57</v>
      </c>
      <c r="BX70" s="745">
        <v>22.67</v>
      </c>
      <c r="BY70" s="745">
        <v>22.77</v>
      </c>
      <c r="BZ70" s="745">
        <v>22.87</v>
      </c>
      <c r="CA70" s="745">
        <v>22.97</v>
      </c>
      <c r="CB70" s="745">
        <v>23.07</v>
      </c>
      <c r="CC70" s="745">
        <v>23.16</v>
      </c>
      <c r="CD70" s="745">
        <v>23.26</v>
      </c>
      <c r="CE70" s="745">
        <v>23.36</v>
      </c>
      <c r="CF70" s="745">
        <v>23.45</v>
      </c>
      <c r="CG70" s="745">
        <v>23.55</v>
      </c>
      <c r="CH70" s="745">
        <v>23.64</v>
      </c>
      <c r="CI70" s="745">
        <v>23.74</v>
      </c>
      <c r="CJ70" s="745">
        <v>23.83</v>
      </c>
      <c r="CK70" s="745">
        <v>23.92</v>
      </c>
      <c r="CL70" s="745">
        <v>24.02</v>
      </c>
      <c r="CM70" s="745">
        <v>24.11</v>
      </c>
      <c r="CN70" s="745">
        <v>24.2</v>
      </c>
      <c r="CO70" s="745">
        <v>24.29</v>
      </c>
      <c r="CP70" s="745">
        <v>24.38</v>
      </c>
      <c r="CQ70" s="745">
        <v>24.47</v>
      </c>
      <c r="CR70" s="745">
        <v>24.56</v>
      </c>
      <c r="CS70" s="745">
        <v>24.65</v>
      </c>
      <c r="CT70" s="745">
        <v>24.74</v>
      </c>
      <c r="CU70" s="745">
        <v>24.83</v>
      </c>
      <c r="CV70" s="745">
        <v>24.91</v>
      </c>
      <c r="CW70" s="745">
        <v>25</v>
      </c>
      <c r="CX70" s="745">
        <v>25.09</v>
      </c>
      <c r="CY70" s="745">
        <v>25.17</v>
      </c>
      <c r="CZ70" s="745">
        <v>25.26</v>
      </c>
      <c r="DA70" s="745">
        <v>25.34</v>
      </c>
      <c r="DB70" s="745">
        <v>25.43</v>
      </c>
      <c r="DC70" s="745">
        <v>25.51</v>
      </c>
      <c r="DD70" s="745">
        <v>25.59</v>
      </c>
      <c r="DE70" s="745">
        <v>25.68</v>
      </c>
      <c r="DF70" s="745">
        <v>25.76</v>
      </c>
      <c r="DG70" s="745">
        <v>25.84</v>
      </c>
      <c r="DH70" s="745">
        <v>25.92</v>
      </c>
      <c r="DI70" s="745">
        <v>26</v>
      </c>
      <c r="DJ70" s="745">
        <v>26.08</v>
      </c>
      <c r="DK70" s="745">
        <v>26.16</v>
      </c>
      <c r="DL70" s="745">
        <v>26.24</v>
      </c>
      <c r="DM70" s="745">
        <v>26.32</v>
      </c>
      <c r="DN70" s="745">
        <v>26.4</v>
      </c>
      <c r="DO70" s="745">
        <v>26.47</v>
      </c>
      <c r="DP70" s="745">
        <v>26.55</v>
      </c>
      <c r="DQ70" s="745">
        <v>26.63</v>
      </c>
      <c r="DR70" s="745">
        <v>26.7</v>
      </c>
    </row>
    <row r="71" spans="1:122">
      <c r="A71" s="918">
        <v>69</v>
      </c>
      <c r="B71" s="90"/>
      <c r="C71" s="90"/>
      <c r="D71" s="90"/>
      <c r="E71" s="90"/>
      <c r="F71" s="90"/>
      <c r="G71" s="90"/>
      <c r="H71" s="90"/>
      <c r="I71" s="90"/>
      <c r="J71" s="90"/>
      <c r="K71" s="90"/>
      <c r="L71" s="90"/>
      <c r="M71" s="90"/>
      <c r="N71" s="90"/>
      <c r="O71" s="90"/>
      <c r="P71" s="90"/>
      <c r="Q71" s="90"/>
      <c r="R71" s="90"/>
      <c r="S71" s="90"/>
      <c r="T71" s="90"/>
      <c r="U71" s="90"/>
      <c r="V71" s="745"/>
      <c r="W71" s="745">
        <v>16.010000000000002</v>
      </c>
      <c r="X71" s="745">
        <v>16.14</v>
      </c>
      <c r="Y71" s="745">
        <v>16.3</v>
      </c>
      <c r="Z71" s="745">
        <v>16.45</v>
      </c>
      <c r="AA71" s="745">
        <v>16.559999999999999</v>
      </c>
      <c r="AB71" s="745">
        <v>16.7</v>
      </c>
      <c r="AC71" s="745">
        <v>16.86</v>
      </c>
      <c r="AD71" s="745">
        <v>16.96</v>
      </c>
      <c r="AE71" s="745">
        <v>17.11</v>
      </c>
      <c r="AF71" s="745">
        <v>17.25</v>
      </c>
      <c r="AG71" s="745">
        <v>17.350000000000001</v>
      </c>
      <c r="AH71" s="745">
        <v>17.48</v>
      </c>
      <c r="AI71" s="745">
        <v>17.600000000000001</v>
      </c>
      <c r="AJ71" s="745">
        <v>17.760000000000002</v>
      </c>
      <c r="AK71" s="745">
        <v>17.91</v>
      </c>
      <c r="AL71" s="745">
        <v>18.07</v>
      </c>
      <c r="AM71" s="745">
        <v>18.239999999999998</v>
      </c>
      <c r="AN71" s="745">
        <v>18.36</v>
      </c>
      <c r="AO71" s="745">
        <v>18.46</v>
      </c>
      <c r="AP71" s="745">
        <v>18.54</v>
      </c>
      <c r="AQ71" s="745">
        <v>18.600000000000001</v>
      </c>
      <c r="AR71" s="745">
        <v>18.649999999999999</v>
      </c>
      <c r="AS71" s="745">
        <v>18.72</v>
      </c>
      <c r="AT71" s="745">
        <v>18.78</v>
      </c>
      <c r="AU71" s="745">
        <v>18.84</v>
      </c>
      <c r="AV71" s="745">
        <v>18.93</v>
      </c>
      <c r="AW71" s="745">
        <v>19.059999999999999</v>
      </c>
      <c r="AX71" s="745">
        <v>19.149999999999999</v>
      </c>
      <c r="AY71" s="745">
        <v>19.260000000000002</v>
      </c>
      <c r="AZ71" s="745">
        <v>19.36</v>
      </c>
      <c r="BA71" s="745">
        <v>19.47</v>
      </c>
      <c r="BB71" s="745">
        <v>19.579999999999998</v>
      </c>
      <c r="BC71" s="745">
        <v>19.68</v>
      </c>
      <c r="BD71" s="745">
        <v>19.79</v>
      </c>
      <c r="BE71" s="745">
        <v>19.899999999999999</v>
      </c>
      <c r="BF71" s="745">
        <v>20</v>
      </c>
      <c r="BG71" s="745">
        <v>20.11</v>
      </c>
      <c r="BH71" s="745">
        <v>20.21</v>
      </c>
      <c r="BI71" s="745">
        <v>20.309999999999999</v>
      </c>
      <c r="BJ71" s="745">
        <v>20.420000000000002</v>
      </c>
      <c r="BK71" s="745">
        <v>20.52</v>
      </c>
      <c r="BL71" s="745">
        <v>20.62</v>
      </c>
      <c r="BM71" s="745">
        <v>20.72</v>
      </c>
      <c r="BN71" s="745">
        <v>20.83</v>
      </c>
      <c r="BO71" s="745">
        <v>20.93</v>
      </c>
      <c r="BP71" s="745">
        <v>21.03</v>
      </c>
      <c r="BQ71" s="745">
        <v>21.13</v>
      </c>
      <c r="BR71" s="745">
        <v>21.23</v>
      </c>
      <c r="BS71" s="745">
        <v>21.33</v>
      </c>
      <c r="BT71" s="745">
        <v>21.43</v>
      </c>
      <c r="BU71" s="745">
        <v>21.53</v>
      </c>
      <c r="BV71" s="745">
        <v>21.62</v>
      </c>
      <c r="BW71" s="745">
        <v>21.72</v>
      </c>
      <c r="BX71" s="745">
        <v>21.82</v>
      </c>
      <c r="BY71" s="745">
        <v>21.92</v>
      </c>
      <c r="BZ71" s="745">
        <v>22.01</v>
      </c>
      <c r="CA71" s="745">
        <v>22.11</v>
      </c>
      <c r="CB71" s="745">
        <v>22.2</v>
      </c>
      <c r="CC71" s="745">
        <v>22.3</v>
      </c>
      <c r="CD71" s="745">
        <v>22.39</v>
      </c>
      <c r="CE71" s="745">
        <v>22.49</v>
      </c>
      <c r="CF71" s="745">
        <v>22.58</v>
      </c>
      <c r="CG71" s="745">
        <v>22.67</v>
      </c>
      <c r="CH71" s="745">
        <v>22.77</v>
      </c>
      <c r="CI71" s="745">
        <v>22.86</v>
      </c>
      <c r="CJ71" s="745">
        <v>22.95</v>
      </c>
      <c r="CK71" s="745">
        <v>23.04</v>
      </c>
      <c r="CL71" s="745">
        <v>23.13</v>
      </c>
      <c r="CM71" s="745">
        <v>23.22</v>
      </c>
      <c r="CN71" s="745">
        <v>23.31</v>
      </c>
      <c r="CO71" s="745">
        <v>23.4</v>
      </c>
      <c r="CP71" s="745">
        <v>23.49</v>
      </c>
      <c r="CQ71" s="745">
        <v>23.58</v>
      </c>
      <c r="CR71" s="745">
        <v>23.67</v>
      </c>
      <c r="CS71" s="745">
        <v>23.75</v>
      </c>
      <c r="CT71" s="745">
        <v>23.84</v>
      </c>
      <c r="CU71" s="745">
        <v>23.93</v>
      </c>
      <c r="CV71" s="745">
        <v>24.01</v>
      </c>
      <c r="CW71" s="745">
        <v>24.1</v>
      </c>
      <c r="CX71" s="745">
        <v>24.18</v>
      </c>
      <c r="CY71" s="745">
        <v>24.27</v>
      </c>
      <c r="CZ71" s="745">
        <v>24.35</v>
      </c>
      <c r="DA71" s="745">
        <v>24.43</v>
      </c>
      <c r="DB71" s="745">
        <v>24.52</v>
      </c>
      <c r="DC71" s="745">
        <v>24.6</v>
      </c>
      <c r="DD71" s="745">
        <v>24.68</v>
      </c>
      <c r="DE71" s="745">
        <v>24.76</v>
      </c>
      <c r="DF71" s="745">
        <v>24.84</v>
      </c>
      <c r="DG71" s="745">
        <v>24.92</v>
      </c>
      <c r="DH71" s="745">
        <v>25</v>
      </c>
      <c r="DI71" s="745">
        <v>25.08</v>
      </c>
      <c r="DJ71" s="745">
        <v>25.16</v>
      </c>
      <c r="DK71" s="745">
        <v>25.24</v>
      </c>
      <c r="DL71" s="745">
        <v>25.32</v>
      </c>
      <c r="DM71" s="745">
        <v>25.39</v>
      </c>
      <c r="DN71" s="745">
        <v>25.47</v>
      </c>
      <c r="DO71" s="745">
        <v>25.55</v>
      </c>
      <c r="DP71" s="745">
        <v>25.62</v>
      </c>
      <c r="DQ71" s="745">
        <v>25.7</v>
      </c>
      <c r="DR71" s="745">
        <v>25.77</v>
      </c>
    </row>
    <row r="72" spans="1:122">
      <c r="A72" s="918">
        <v>70</v>
      </c>
      <c r="B72" s="90"/>
      <c r="C72" s="90"/>
      <c r="D72" s="90"/>
      <c r="E72" s="90"/>
      <c r="F72" s="90"/>
      <c r="G72" s="90"/>
      <c r="H72" s="90"/>
      <c r="I72" s="90"/>
      <c r="J72" s="90"/>
      <c r="K72" s="90"/>
      <c r="L72" s="90"/>
      <c r="M72" s="90"/>
      <c r="N72" s="90"/>
      <c r="O72" s="90"/>
      <c r="P72" s="90"/>
      <c r="Q72" s="90"/>
      <c r="R72" s="90"/>
      <c r="S72" s="90"/>
      <c r="T72" s="90"/>
      <c r="U72" s="90"/>
      <c r="V72" s="745"/>
      <c r="W72" s="745">
        <v>15.3</v>
      </c>
      <c r="X72" s="745">
        <v>15.42</v>
      </c>
      <c r="Y72" s="745">
        <v>15.57</v>
      </c>
      <c r="Z72" s="745">
        <v>15.72</v>
      </c>
      <c r="AA72" s="745">
        <v>15.83</v>
      </c>
      <c r="AB72" s="745">
        <v>15.97</v>
      </c>
      <c r="AC72" s="745">
        <v>16.12</v>
      </c>
      <c r="AD72" s="745">
        <v>16.21</v>
      </c>
      <c r="AE72" s="745">
        <v>16.36</v>
      </c>
      <c r="AF72" s="745">
        <v>16.489999999999998</v>
      </c>
      <c r="AG72" s="745">
        <v>16.579999999999998</v>
      </c>
      <c r="AH72" s="745">
        <v>16.71</v>
      </c>
      <c r="AI72" s="745">
        <v>16.829999999999998</v>
      </c>
      <c r="AJ72" s="745">
        <v>16.98</v>
      </c>
      <c r="AK72" s="745">
        <v>17.13</v>
      </c>
      <c r="AL72" s="745">
        <v>17.28</v>
      </c>
      <c r="AM72" s="745">
        <v>17.440000000000001</v>
      </c>
      <c r="AN72" s="745">
        <v>17.559999999999999</v>
      </c>
      <c r="AO72" s="745">
        <v>17.66</v>
      </c>
      <c r="AP72" s="745">
        <v>17.73</v>
      </c>
      <c r="AQ72" s="745">
        <v>17.79</v>
      </c>
      <c r="AR72" s="745">
        <v>17.850000000000001</v>
      </c>
      <c r="AS72" s="745">
        <v>17.920000000000002</v>
      </c>
      <c r="AT72" s="745">
        <v>17.98</v>
      </c>
      <c r="AU72" s="745">
        <v>18.04</v>
      </c>
      <c r="AV72" s="745">
        <v>18.14</v>
      </c>
      <c r="AW72" s="745">
        <v>18.27</v>
      </c>
      <c r="AX72" s="745">
        <v>18.37</v>
      </c>
      <c r="AY72" s="745">
        <v>18.47</v>
      </c>
      <c r="AZ72" s="745">
        <v>18.579999999999998</v>
      </c>
      <c r="BA72" s="745">
        <v>18.68</v>
      </c>
      <c r="BB72" s="745">
        <v>18.79</v>
      </c>
      <c r="BC72" s="745">
        <v>18.89</v>
      </c>
      <c r="BD72" s="745">
        <v>18.989999999999998</v>
      </c>
      <c r="BE72" s="745">
        <v>19.100000000000001</v>
      </c>
      <c r="BF72" s="745">
        <v>19.2</v>
      </c>
      <c r="BG72" s="745">
        <v>19.3</v>
      </c>
      <c r="BH72" s="745">
        <v>19.399999999999999</v>
      </c>
      <c r="BI72" s="745">
        <v>19.5</v>
      </c>
      <c r="BJ72" s="745">
        <v>19.600000000000001</v>
      </c>
      <c r="BK72" s="745">
        <v>19.7</v>
      </c>
      <c r="BL72" s="745">
        <v>19.8</v>
      </c>
      <c r="BM72" s="745">
        <v>19.899999999999999</v>
      </c>
      <c r="BN72" s="745">
        <v>20</v>
      </c>
      <c r="BO72" s="745">
        <v>20.100000000000001</v>
      </c>
      <c r="BP72" s="745">
        <v>20.2</v>
      </c>
      <c r="BQ72" s="745">
        <v>20.29</v>
      </c>
      <c r="BR72" s="745">
        <v>20.39</v>
      </c>
      <c r="BS72" s="745">
        <v>20.49</v>
      </c>
      <c r="BT72" s="745">
        <v>20.59</v>
      </c>
      <c r="BU72" s="745">
        <v>20.68</v>
      </c>
      <c r="BV72" s="745">
        <v>20.78</v>
      </c>
      <c r="BW72" s="745">
        <v>20.87</v>
      </c>
      <c r="BX72" s="745">
        <v>20.97</v>
      </c>
      <c r="BY72" s="745">
        <v>21.06</v>
      </c>
      <c r="BZ72" s="745">
        <v>21.16</v>
      </c>
      <c r="CA72" s="745">
        <v>21.25</v>
      </c>
      <c r="CB72" s="745">
        <v>21.34</v>
      </c>
      <c r="CC72" s="745">
        <v>21.44</v>
      </c>
      <c r="CD72" s="745">
        <v>21.53</v>
      </c>
      <c r="CE72" s="745">
        <v>21.62</v>
      </c>
      <c r="CF72" s="745">
        <v>21.71</v>
      </c>
      <c r="CG72" s="745">
        <v>21.8</v>
      </c>
      <c r="CH72" s="745">
        <v>21.89</v>
      </c>
      <c r="CI72" s="745">
        <v>21.98</v>
      </c>
      <c r="CJ72" s="745">
        <v>22.07</v>
      </c>
      <c r="CK72" s="745">
        <v>22.16</v>
      </c>
      <c r="CL72" s="745">
        <v>22.25</v>
      </c>
      <c r="CM72" s="745">
        <v>22.34</v>
      </c>
      <c r="CN72" s="745">
        <v>22.43</v>
      </c>
      <c r="CO72" s="745">
        <v>22.52</v>
      </c>
      <c r="CP72" s="745">
        <v>22.6</v>
      </c>
      <c r="CQ72" s="745">
        <v>22.69</v>
      </c>
      <c r="CR72" s="745">
        <v>22.77</v>
      </c>
      <c r="CS72" s="745">
        <v>22.86</v>
      </c>
      <c r="CT72" s="745">
        <v>22.95</v>
      </c>
      <c r="CU72" s="745">
        <v>23.03</v>
      </c>
      <c r="CV72" s="745">
        <v>23.11</v>
      </c>
      <c r="CW72" s="745">
        <v>23.2</v>
      </c>
      <c r="CX72" s="745">
        <v>23.28</v>
      </c>
      <c r="CY72" s="745">
        <v>23.36</v>
      </c>
      <c r="CZ72" s="745">
        <v>23.45</v>
      </c>
      <c r="DA72" s="745">
        <v>23.53</v>
      </c>
      <c r="DB72" s="745">
        <v>23.61</v>
      </c>
      <c r="DC72" s="745">
        <v>23.69</v>
      </c>
      <c r="DD72" s="745">
        <v>23.77</v>
      </c>
      <c r="DE72" s="745">
        <v>23.85</v>
      </c>
      <c r="DF72" s="745">
        <v>23.93</v>
      </c>
      <c r="DG72" s="745">
        <v>24.01</v>
      </c>
      <c r="DH72" s="745">
        <v>24.09</v>
      </c>
      <c r="DI72" s="745">
        <v>24.16</v>
      </c>
      <c r="DJ72" s="745">
        <v>24.24</v>
      </c>
      <c r="DK72" s="745">
        <v>24.32</v>
      </c>
      <c r="DL72" s="745">
        <v>24.39</v>
      </c>
      <c r="DM72" s="745">
        <v>24.47</v>
      </c>
      <c r="DN72" s="745">
        <v>24.55</v>
      </c>
      <c r="DO72" s="745">
        <v>24.62</v>
      </c>
      <c r="DP72" s="745">
        <v>24.7</v>
      </c>
      <c r="DQ72" s="745">
        <v>24.77</v>
      </c>
      <c r="DR72" s="745">
        <v>24.84</v>
      </c>
    </row>
    <row r="73" spans="1:122">
      <c r="A73" s="918">
        <v>71</v>
      </c>
      <c r="B73" s="90"/>
      <c r="C73" s="90"/>
      <c r="D73" s="90"/>
      <c r="E73" s="90"/>
      <c r="F73" s="90"/>
      <c r="G73" s="90"/>
      <c r="H73" s="90"/>
      <c r="I73" s="90"/>
      <c r="J73" s="90"/>
      <c r="K73" s="90"/>
      <c r="L73" s="90"/>
      <c r="M73" s="90"/>
      <c r="N73" s="90"/>
      <c r="O73" s="90"/>
      <c r="P73" s="90"/>
      <c r="Q73" s="90"/>
      <c r="R73" s="90"/>
      <c r="S73" s="90"/>
      <c r="T73" s="90"/>
      <c r="U73" s="90"/>
      <c r="V73" s="745"/>
      <c r="W73" s="745">
        <v>14.59</v>
      </c>
      <c r="X73" s="745">
        <v>14.71</v>
      </c>
      <c r="Y73" s="745">
        <v>14.86</v>
      </c>
      <c r="Z73" s="745">
        <v>15.01</v>
      </c>
      <c r="AA73" s="745">
        <v>15.11</v>
      </c>
      <c r="AB73" s="745">
        <v>15.24</v>
      </c>
      <c r="AC73" s="745">
        <v>15.38</v>
      </c>
      <c r="AD73" s="745">
        <v>15.47</v>
      </c>
      <c r="AE73" s="745">
        <v>15.61</v>
      </c>
      <c r="AF73" s="745">
        <v>15.74</v>
      </c>
      <c r="AG73" s="745">
        <v>15.82</v>
      </c>
      <c r="AH73" s="745">
        <v>15.95</v>
      </c>
      <c r="AI73" s="745">
        <v>16.059999999999999</v>
      </c>
      <c r="AJ73" s="745">
        <v>16.21</v>
      </c>
      <c r="AK73" s="745">
        <v>16.34</v>
      </c>
      <c r="AL73" s="745">
        <v>16.489999999999998</v>
      </c>
      <c r="AM73" s="745">
        <v>16.64</v>
      </c>
      <c r="AN73" s="745">
        <v>16.760000000000002</v>
      </c>
      <c r="AO73" s="745">
        <v>16.86</v>
      </c>
      <c r="AP73" s="745">
        <v>16.93</v>
      </c>
      <c r="AQ73" s="745">
        <v>17</v>
      </c>
      <c r="AR73" s="745">
        <v>17.059999999999999</v>
      </c>
      <c r="AS73" s="745">
        <v>17.12</v>
      </c>
      <c r="AT73" s="745">
        <v>17.2</v>
      </c>
      <c r="AU73" s="745">
        <v>17.27</v>
      </c>
      <c r="AV73" s="745">
        <v>17.38</v>
      </c>
      <c r="AW73" s="745">
        <v>17.5</v>
      </c>
      <c r="AX73" s="745">
        <v>17.59</v>
      </c>
      <c r="AY73" s="745">
        <v>17.7</v>
      </c>
      <c r="AZ73" s="745">
        <v>17.8</v>
      </c>
      <c r="BA73" s="745">
        <v>17.899999999999999</v>
      </c>
      <c r="BB73" s="745">
        <v>18</v>
      </c>
      <c r="BC73" s="745">
        <v>18.100000000000001</v>
      </c>
      <c r="BD73" s="745">
        <v>18.2</v>
      </c>
      <c r="BE73" s="745">
        <v>18.3</v>
      </c>
      <c r="BF73" s="745">
        <v>18.399999999999999</v>
      </c>
      <c r="BG73" s="745">
        <v>18.5</v>
      </c>
      <c r="BH73" s="745">
        <v>18.600000000000001</v>
      </c>
      <c r="BI73" s="745">
        <v>18.690000000000001</v>
      </c>
      <c r="BJ73" s="745">
        <v>18.79</v>
      </c>
      <c r="BK73" s="745">
        <v>18.89</v>
      </c>
      <c r="BL73" s="745">
        <v>18.989999999999998</v>
      </c>
      <c r="BM73" s="745">
        <v>19.079999999999998</v>
      </c>
      <c r="BN73" s="745">
        <v>19.18</v>
      </c>
      <c r="BO73" s="745">
        <v>19.28</v>
      </c>
      <c r="BP73" s="745">
        <v>19.37</v>
      </c>
      <c r="BQ73" s="745">
        <v>19.47</v>
      </c>
      <c r="BR73" s="745">
        <v>19.559999999999999</v>
      </c>
      <c r="BS73" s="745">
        <v>19.66</v>
      </c>
      <c r="BT73" s="745">
        <v>19.75</v>
      </c>
      <c r="BU73" s="745">
        <v>19.84</v>
      </c>
      <c r="BV73" s="745">
        <v>19.940000000000001</v>
      </c>
      <c r="BW73" s="745">
        <v>20.03</v>
      </c>
      <c r="BX73" s="745">
        <v>20.12</v>
      </c>
      <c r="BY73" s="745">
        <v>20.21</v>
      </c>
      <c r="BZ73" s="745">
        <v>20.309999999999999</v>
      </c>
      <c r="CA73" s="745">
        <v>20.399999999999999</v>
      </c>
      <c r="CB73" s="745">
        <v>20.49</v>
      </c>
      <c r="CC73" s="745">
        <v>20.58</v>
      </c>
      <c r="CD73" s="745">
        <v>20.67</v>
      </c>
      <c r="CE73" s="745">
        <v>20.76</v>
      </c>
      <c r="CF73" s="745">
        <v>20.85</v>
      </c>
      <c r="CG73" s="745">
        <v>20.94</v>
      </c>
      <c r="CH73" s="745">
        <v>21.03</v>
      </c>
      <c r="CI73" s="745">
        <v>21.11</v>
      </c>
      <c r="CJ73" s="745">
        <v>21.2</v>
      </c>
      <c r="CK73" s="745">
        <v>21.29</v>
      </c>
      <c r="CL73" s="745">
        <v>21.38</v>
      </c>
      <c r="CM73" s="745">
        <v>21.46</v>
      </c>
      <c r="CN73" s="745">
        <v>21.55</v>
      </c>
      <c r="CO73" s="745">
        <v>21.63</v>
      </c>
      <c r="CP73" s="745">
        <v>21.72</v>
      </c>
      <c r="CQ73" s="745">
        <v>21.8</v>
      </c>
      <c r="CR73" s="745">
        <v>21.89</v>
      </c>
      <c r="CS73" s="745">
        <v>21.97</v>
      </c>
      <c r="CT73" s="745">
        <v>22.05</v>
      </c>
      <c r="CU73" s="745">
        <v>22.14</v>
      </c>
      <c r="CV73" s="745">
        <v>22.22</v>
      </c>
      <c r="CW73" s="745">
        <v>22.3</v>
      </c>
      <c r="CX73" s="745">
        <v>22.38</v>
      </c>
      <c r="CY73" s="745">
        <v>22.46</v>
      </c>
      <c r="CZ73" s="745">
        <v>22.54</v>
      </c>
      <c r="DA73" s="745">
        <v>22.63</v>
      </c>
      <c r="DB73" s="745">
        <v>22.7</v>
      </c>
      <c r="DC73" s="745">
        <v>22.78</v>
      </c>
      <c r="DD73" s="745">
        <v>22.86</v>
      </c>
      <c r="DE73" s="745">
        <v>22.94</v>
      </c>
      <c r="DF73" s="745">
        <v>23.02</v>
      </c>
      <c r="DG73" s="745">
        <v>23.1</v>
      </c>
      <c r="DH73" s="745">
        <v>23.17</v>
      </c>
      <c r="DI73" s="745">
        <v>23.25</v>
      </c>
      <c r="DJ73" s="745">
        <v>23.33</v>
      </c>
      <c r="DK73" s="745">
        <v>23.4</v>
      </c>
      <c r="DL73" s="745">
        <v>23.48</v>
      </c>
      <c r="DM73" s="745">
        <v>23.55</v>
      </c>
      <c r="DN73" s="745">
        <v>23.62</v>
      </c>
      <c r="DO73" s="745">
        <v>23.7</v>
      </c>
      <c r="DP73" s="745">
        <v>23.77</v>
      </c>
      <c r="DQ73" s="745">
        <v>23.84</v>
      </c>
      <c r="DR73" s="745">
        <v>23.92</v>
      </c>
    </row>
    <row r="74" spans="1:122">
      <c r="A74" s="918">
        <v>72</v>
      </c>
      <c r="B74" s="90"/>
      <c r="C74" s="90"/>
      <c r="D74" s="90"/>
      <c r="E74" s="90"/>
      <c r="F74" s="90"/>
      <c r="G74" s="90"/>
      <c r="H74" s="90"/>
      <c r="I74" s="90"/>
      <c r="J74" s="90"/>
      <c r="K74" s="90"/>
      <c r="L74" s="90"/>
      <c r="M74" s="90"/>
      <c r="N74" s="90"/>
      <c r="O74" s="90"/>
      <c r="P74" s="90"/>
      <c r="Q74" s="90"/>
      <c r="R74" s="90"/>
      <c r="S74" s="90"/>
      <c r="T74" s="90"/>
      <c r="U74" s="90"/>
      <c r="V74" s="745"/>
      <c r="W74" s="745">
        <v>13.9</v>
      </c>
      <c r="X74" s="745">
        <v>14.01</v>
      </c>
      <c r="Y74" s="745">
        <v>14.15</v>
      </c>
      <c r="Z74" s="745">
        <v>14.3</v>
      </c>
      <c r="AA74" s="745">
        <v>14.39</v>
      </c>
      <c r="AB74" s="745">
        <v>14.52</v>
      </c>
      <c r="AC74" s="745">
        <v>14.66</v>
      </c>
      <c r="AD74" s="745">
        <v>14.74</v>
      </c>
      <c r="AE74" s="745">
        <v>14.86</v>
      </c>
      <c r="AF74" s="745">
        <v>15</v>
      </c>
      <c r="AG74" s="745">
        <v>15.08</v>
      </c>
      <c r="AH74" s="745">
        <v>15.2</v>
      </c>
      <c r="AI74" s="745">
        <v>15.3</v>
      </c>
      <c r="AJ74" s="745">
        <v>15.44</v>
      </c>
      <c r="AK74" s="745">
        <v>15.57</v>
      </c>
      <c r="AL74" s="745">
        <v>15.71</v>
      </c>
      <c r="AM74" s="745">
        <v>15.86</v>
      </c>
      <c r="AN74" s="745">
        <v>15.97</v>
      </c>
      <c r="AO74" s="745">
        <v>16.07</v>
      </c>
      <c r="AP74" s="745">
        <v>16.149999999999999</v>
      </c>
      <c r="AQ74" s="745">
        <v>16.21</v>
      </c>
      <c r="AR74" s="745">
        <v>16.27</v>
      </c>
      <c r="AS74" s="745">
        <v>16.350000000000001</v>
      </c>
      <c r="AT74" s="745">
        <v>16.420000000000002</v>
      </c>
      <c r="AU74" s="745">
        <v>16.510000000000002</v>
      </c>
      <c r="AV74" s="745">
        <v>16.62</v>
      </c>
      <c r="AW74" s="745">
        <v>16.72</v>
      </c>
      <c r="AX74" s="745">
        <v>16.82</v>
      </c>
      <c r="AY74" s="745">
        <v>16.920000000000002</v>
      </c>
      <c r="AZ74" s="745">
        <v>17.02</v>
      </c>
      <c r="BA74" s="745">
        <v>17.12</v>
      </c>
      <c r="BB74" s="745">
        <v>17.22</v>
      </c>
      <c r="BC74" s="745">
        <v>17.32</v>
      </c>
      <c r="BD74" s="745">
        <v>17.41</v>
      </c>
      <c r="BE74" s="745">
        <v>17.510000000000002</v>
      </c>
      <c r="BF74" s="745">
        <v>17.61</v>
      </c>
      <c r="BG74" s="745">
        <v>17.7</v>
      </c>
      <c r="BH74" s="745">
        <v>17.8</v>
      </c>
      <c r="BI74" s="745">
        <v>17.89</v>
      </c>
      <c r="BJ74" s="745">
        <v>17.989999999999998</v>
      </c>
      <c r="BK74" s="745">
        <v>18.079999999999998</v>
      </c>
      <c r="BL74" s="745">
        <v>18.18</v>
      </c>
      <c r="BM74" s="745">
        <v>18.27</v>
      </c>
      <c r="BN74" s="745">
        <v>18.36</v>
      </c>
      <c r="BO74" s="745">
        <v>18.46</v>
      </c>
      <c r="BP74" s="745">
        <v>18.55</v>
      </c>
      <c r="BQ74" s="745">
        <v>18.64</v>
      </c>
      <c r="BR74" s="745">
        <v>18.73</v>
      </c>
      <c r="BS74" s="745">
        <v>18.829999999999998</v>
      </c>
      <c r="BT74" s="745">
        <v>18.920000000000002</v>
      </c>
      <c r="BU74" s="745">
        <v>19.010000000000002</v>
      </c>
      <c r="BV74" s="745">
        <v>19.100000000000001</v>
      </c>
      <c r="BW74" s="745">
        <v>19.190000000000001</v>
      </c>
      <c r="BX74" s="745">
        <v>19.28</v>
      </c>
      <c r="BY74" s="745">
        <v>19.37</v>
      </c>
      <c r="BZ74" s="745">
        <v>19.46</v>
      </c>
      <c r="CA74" s="745">
        <v>19.55</v>
      </c>
      <c r="CB74" s="745">
        <v>19.64</v>
      </c>
      <c r="CC74" s="745">
        <v>19.73</v>
      </c>
      <c r="CD74" s="745">
        <v>19.809999999999999</v>
      </c>
      <c r="CE74" s="745">
        <v>19.899999999999999</v>
      </c>
      <c r="CF74" s="745">
        <v>19.989999999999998</v>
      </c>
      <c r="CG74" s="745">
        <v>20.079999999999998</v>
      </c>
      <c r="CH74" s="745">
        <v>20.16</v>
      </c>
      <c r="CI74" s="745">
        <v>20.25</v>
      </c>
      <c r="CJ74" s="745">
        <v>20.329999999999998</v>
      </c>
      <c r="CK74" s="745">
        <v>20.420000000000002</v>
      </c>
      <c r="CL74" s="745">
        <v>20.5</v>
      </c>
      <c r="CM74" s="745">
        <v>20.59</v>
      </c>
      <c r="CN74" s="745">
        <v>20.67</v>
      </c>
      <c r="CO74" s="745">
        <v>20.76</v>
      </c>
      <c r="CP74" s="745">
        <v>20.84</v>
      </c>
      <c r="CQ74" s="745">
        <v>20.92</v>
      </c>
      <c r="CR74" s="745">
        <v>21</v>
      </c>
      <c r="CS74" s="745">
        <v>21.09</v>
      </c>
      <c r="CT74" s="745">
        <v>21.17</v>
      </c>
      <c r="CU74" s="745">
        <v>21.25</v>
      </c>
      <c r="CV74" s="745">
        <v>21.33</v>
      </c>
      <c r="CW74" s="745">
        <v>21.41</v>
      </c>
      <c r="CX74" s="745">
        <v>21.49</v>
      </c>
      <c r="CY74" s="745">
        <v>21.57</v>
      </c>
      <c r="CZ74" s="745">
        <v>21.65</v>
      </c>
      <c r="DA74" s="745">
        <v>21.73</v>
      </c>
      <c r="DB74" s="745">
        <v>21.8</v>
      </c>
      <c r="DC74" s="745">
        <v>21.88</v>
      </c>
      <c r="DD74" s="745">
        <v>21.96</v>
      </c>
      <c r="DE74" s="745">
        <v>22.04</v>
      </c>
      <c r="DF74" s="745">
        <v>22.11</v>
      </c>
      <c r="DG74" s="745">
        <v>22.19</v>
      </c>
      <c r="DH74" s="745">
        <v>22.26</v>
      </c>
      <c r="DI74" s="745">
        <v>22.34</v>
      </c>
      <c r="DJ74" s="745">
        <v>22.41</v>
      </c>
      <c r="DK74" s="745">
        <v>22.49</v>
      </c>
      <c r="DL74" s="745">
        <v>22.56</v>
      </c>
      <c r="DM74" s="745">
        <v>22.63</v>
      </c>
      <c r="DN74" s="745">
        <v>22.71</v>
      </c>
      <c r="DO74" s="745">
        <v>22.78</v>
      </c>
      <c r="DP74" s="745">
        <v>22.85</v>
      </c>
      <c r="DQ74" s="745">
        <v>22.92</v>
      </c>
      <c r="DR74" s="745">
        <v>22.99</v>
      </c>
    </row>
    <row r="75" spans="1:122">
      <c r="A75" s="918">
        <v>73</v>
      </c>
      <c r="B75" s="90"/>
      <c r="C75" s="90"/>
      <c r="D75" s="90"/>
      <c r="E75" s="90"/>
      <c r="F75" s="90"/>
      <c r="G75" s="90"/>
      <c r="H75" s="90"/>
      <c r="I75" s="90"/>
      <c r="J75" s="90"/>
      <c r="K75" s="90"/>
      <c r="L75" s="90"/>
      <c r="M75" s="90"/>
      <c r="N75" s="90"/>
      <c r="O75" s="90"/>
      <c r="P75" s="90"/>
      <c r="Q75" s="90"/>
      <c r="R75" s="90"/>
      <c r="S75" s="90"/>
      <c r="T75" s="90"/>
      <c r="U75" s="90"/>
      <c r="V75" s="745"/>
      <c r="W75" s="745">
        <v>13.23</v>
      </c>
      <c r="X75" s="745">
        <v>13.32</v>
      </c>
      <c r="Y75" s="745">
        <v>13.47</v>
      </c>
      <c r="Z75" s="745">
        <v>13.6</v>
      </c>
      <c r="AA75" s="745">
        <v>13.7</v>
      </c>
      <c r="AB75" s="745">
        <v>13.82</v>
      </c>
      <c r="AC75" s="745">
        <v>13.94</v>
      </c>
      <c r="AD75" s="745">
        <v>14.02</v>
      </c>
      <c r="AE75" s="745">
        <v>14.14</v>
      </c>
      <c r="AF75" s="745">
        <v>14.27</v>
      </c>
      <c r="AG75" s="745">
        <v>14.34</v>
      </c>
      <c r="AH75" s="745">
        <v>14.46</v>
      </c>
      <c r="AI75" s="745">
        <v>14.56</v>
      </c>
      <c r="AJ75" s="745">
        <v>14.68</v>
      </c>
      <c r="AK75" s="745">
        <v>14.81</v>
      </c>
      <c r="AL75" s="745">
        <v>14.94</v>
      </c>
      <c r="AM75" s="745">
        <v>15.09</v>
      </c>
      <c r="AN75" s="745">
        <v>15.2</v>
      </c>
      <c r="AO75" s="745">
        <v>15.29</v>
      </c>
      <c r="AP75" s="745">
        <v>15.37</v>
      </c>
      <c r="AQ75" s="745">
        <v>15.43</v>
      </c>
      <c r="AR75" s="745">
        <v>15.51</v>
      </c>
      <c r="AS75" s="745">
        <v>15.58</v>
      </c>
      <c r="AT75" s="745">
        <v>15.66</v>
      </c>
      <c r="AU75" s="745">
        <v>15.75</v>
      </c>
      <c r="AV75" s="745">
        <v>15.87</v>
      </c>
      <c r="AW75" s="745">
        <v>15.96</v>
      </c>
      <c r="AX75" s="745">
        <v>16.059999999999999</v>
      </c>
      <c r="AY75" s="745">
        <v>16.16</v>
      </c>
      <c r="AZ75" s="745">
        <v>16.25</v>
      </c>
      <c r="BA75" s="745">
        <v>16.350000000000001</v>
      </c>
      <c r="BB75" s="745">
        <v>16.440000000000001</v>
      </c>
      <c r="BC75" s="745">
        <v>16.54</v>
      </c>
      <c r="BD75" s="745">
        <v>16.63</v>
      </c>
      <c r="BE75" s="745">
        <v>16.72</v>
      </c>
      <c r="BF75" s="745">
        <v>16.82</v>
      </c>
      <c r="BG75" s="745">
        <v>16.91</v>
      </c>
      <c r="BH75" s="745">
        <v>17</v>
      </c>
      <c r="BI75" s="745">
        <v>17.09</v>
      </c>
      <c r="BJ75" s="745">
        <v>17.190000000000001</v>
      </c>
      <c r="BK75" s="745">
        <v>17.28</v>
      </c>
      <c r="BL75" s="745">
        <v>17.37</v>
      </c>
      <c r="BM75" s="745">
        <v>17.46</v>
      </c>
      <c r="BN75" s="745">
        <v>17.55</v>
      </c>
      <c r="BO75" s="745">
        <v>17.64</v>
      </c>
      <c r="BP75" s="745">
        <v>17.73</v>
      </c>
      <c r="BQ75" s="745">
        <v>17.82</v>
      </c>
      <c r="BR75" s="745">
        <v>17.91</v>
      </c>
      <c r="BS75" s="745">
        <v>18</v>
      </c>
      <c r="BT75" s="745">
        <v>18.09</v>
      </c>
      <c r="BU75" s="745">
        <v>18.18</v>
      </c>
      <c r="BV75" s="745">
        <v>18.27</v>
      </c>
      <c r="BW75" s="745">
        <v>18.36</v>
      </c>
      <c r="BX75" s="745">
        <v>18.440000000000001</v>
      </c>
      <c r="BY75" s="745">
        <v>18.53</v>
      </c>
      <c r="BZ75" s="745">
        <v>18.62</v>
      </c>
      <c r="CA75" s="745">
        <v>18.7</v>
      </c>
      <c r="CB75" s="745">
        <v>18.79</v>
      </c>
      <c r="CC75" s="745">
        <v>18.88</v>
      </c>
      <c r="CD75" s="745">
        <v>18.96</v>
      </c>
      <c r="CE75" s="745">
        <v>19.05</v>
      </c>
      <c r="CF75" s="745">
        <v>19.13</v>
      </c>
      <c r="CG75" s="745">
        <v>19.22</v>
      </c>
      <c r="CH75" s="745">
        <v>19.3</v>
      </c>
      <c r="CI75" s="745">
        <v>19.39</v>
      </c>
      <c r="CJ75" s="745">
        <v>19.47</v>
      </c>
      <c r="CK75" s="745">
        <v>19.55</v>
      </c>
      <c r="CL75" s="745">
        <v>19.64</v>
      </c>
      <c r="CM75" s="745">
        <v>19.72</v>
      </c>
      <c r="CN75" s="745">
        <v>19.8</v>
      </c>
      <c r="CO75" s="745">
        <v>19.88</v>
      </c>
      <c r="CP75" s="745">
        <v>19.96</v>
      </c>
      <c r="CQ75" s="745">
        <v>20.04</v>
      </c>
      <c r="CR75" s="745">
        <v>20.12</v>
      </c>
      <c r="CS75" s="745">
        <v>20.2</v>
      </c>
      <c r="CT75" s="745">
        <v>20.28</v>
      </c>
      <c r="CU75" s="745">
        <v>20.36</v>
      </c>
      <c r="CV75" s="745">
        <v>20.440000000000001</v>
      </c>
      <c r="CW75" s="745">
        <v>20.52</v>
      </c>
      <c r="CX75" s="745">
        <v>20.6</v>
      </c>
      <c r="CY75" s="745">
        <v>20.68</v>
      </c>
      <c r="CZ75" s="745">
        <v>20.75</v>
      </c>
      <c r="DA75" s="745">
        <v>20.83</v>
      </c>
      <c r="DB75" s="745">
        <v>20.91</v>
      </c>
      <c r="DC75" s="745">
        <v>20.98</v>
      </c>
      <c r="DD75" s="745">
        <v>21.06</v>
      </c>
      <c r="DE75" s="745">
        <v>21.13</v>
      </c>
      <c r="DF75" s="745">
        <v>21.21</v>
      </c>
      <c r="DG75" s="745">
        <v>21.28</v>
      </c>
      <c r="DH75" s="745">
        <v>21.36</v>
      </c>
      <c r="DI75" s="745">
        <v>21.43</v>
      </c>
      <c r="DJ75" s="745">
        <v>21.5</v>
      </c>
      <c r="DK75" s="745">
        <v>21.58</v>
      </c>
      <c r="DL75" s="745">
        <v>21.65</v>
      </c>
      <c r="DM75" s="745">
        <v>21.72</v>
      </c>
      <c r="DN75" s="745">
        <v>21.79</v>
      </c>
      <c r="DO75" s="745">
        <v>21.86</v>
      </c>
      <c r="DP75" s="745">
        <v>21.93</v>
      </c>
      <c r="DQ75" s="745">
        <v>22</v>
      </c>
      <c r="DR75" s="745">
        <v>22.07</v>
      </c>
    </row>
    <row r="76" spans="1:122">
      <c r="A76" s="918">
        <v>74</v>
      </c>
      <c r="B76" s="90"/>
      <c r="C76" s="90"/>
      <c r="D76" s="90"/>
      <c r="E76" s="90"/>
      <c r="F76" s="90"/>
      <c r="G76" s="90"/>
      <c r="H76" s="90"/>
      <c r="I76" s="90"/>
      <c r="J76" s="90"/>
      <c r="K76" s="90"/>
      <c r="L76" s="90"/>
      <c r="M76" s="90"/>
      <c r="N76" s="90"/>
      <c r="O76" s="90"/>
      <c r="P76" s="90"/>
      <c r="Q76" s="90"/>
      <c r="R76" s="90"/>
      <c r="S76" s="90"/>
      <c r="T76" s="90"/>
      <c r="U76" s="90"/>
      <c r="V76" s="745"/>
      <c r="W76" s="745">
        <v>12.56</v>
      </c>
      <c r="X76" s="745">
        <v>12.66</v>
      </c>
      <c r="Y76" s="745">
        <v>12.79</v>
      </c>
      <c r="Z76" s="745">
        <v>12.91</v>
      </c>
      <c r="AA76" s="745">
        <v>13.01</v>
      </c>
      <c r="AB76" s="745">
        <v>13.12</v>
      </c>
      <c r="AC76" s="745">
        <v>13.24</v>
      </c>
      <c r="AD76" s="745">
        <v>13.3</v>
      </c>
      <c r="AE76" s="745">
        <v>13.43</v>
      </c>
      <c r="AF76" s="745">
        <v>13.55</v>
      </c>
      <c r="AG76" s="745">
        <v>13.62</v>
      </c>
      <c r="AH76" s="745">
        <v>13.72</v>
      </c>
      <c r="AI76" s="745">
        <v>13.81</v>
      </c>
      <c r="AJ76" s="745">
        <v>13.94</v>
      </c>
      <c r="AK76" s="745">
        <v>14.07</v>
      </c>
      <c r="AL76" s="745">
        <v>14.18</v>
      </c>
      <c r="AM76" s="745">
        <v>14.32</v>
      </c>
      <c r="AN76" s="745">
        <v>14.43</v>
      </c>
      <c r="AO76" s="745">
        <v>14.53</v>
      </c>
      <c r="AP76" s="745">
        <v>14.6</v>
      </c>
      <c r="AQ76" s="745">
        <v>14.67</v>
      </c>
      <c r="AR76" s="745">
        <v>14.75</v>
      </c>
      <c r="AS76" s="745">
        <v>14.82</v>
      </c>
      <c r="AT76" s="745">
        <v>14.92</v>
      </c>
      <c r="AU76" s="745">
        <v>15.02</v>
      </c>
      <c r="AV76" s="745">
        <v>15.11</v>
      </c>
      <c r="AW76" s="745">
        <v>15.21</v>
      </c>
      <c r="AX76" s="745">
        <v>15.3</v>
      </c>
      <c r="AY76" s="745">
        <v>15.39</v>
      </c>
      <c r="AZ76" s="745">
        <v>15.49</v>
      </c>
      <c r="BA76" s="745">
        <v>15.58</v>
      </c>
      <c r="BB76" s="745">
        <v>15.67</v>
      </c>
      <c r="BC76" s="745">
        <v>15.76</v>
      </c>
      <c r="BD76" s="745">
        <v>15.85</v>
      </c>
      <c r="BE76" s="745">
        <v>15.94</v>
      </c>
      <c r="BF76" s="745">
        <v>16.03</v>
      </c>
      <c r="BG76" s="745">
        <v>16.12</v>
      </c>
      <c r="BH76" s="745">
        <v>16.21</v>
      </c>
      <c r="BI76" s="745">
        <v>16.3</v>
      </c>
      <c r="BJ76" s="745">
        <v>16.39</v>
      </c>
      <c r="BK76" s="745">
        <v>16.48</v>
      </c>
      <c r="BL76" s="745">
        <v>16.57</v>
      </c>
      <c r="BM76" s="745">
        <v>16.66</v>
      </c>
      <c r="BN76" s="745">
        <v>16.739999999999998</v>
      </c>
      <c r="BO76" s="745">
        <v>16.829999999999998</v>
      </c>
      <c r="BP76" s="745">
        <v>16.920000000000002</v>
      </c>
      <c r="BQ76" s="745">
        <v>17.010000000000002</v>
      </c>
      <c r="BR76" s="745">
        <v>17.09</v>
      </c>
      <c r="BS76" s="745">
        <v>17.18</v>
      </c>
      <c r="BT76" s="745">
        <v>17.27</v>
      </c>
      <c r="BU76" s="745">
        <v>17.350000000000001</v>
      </c>
      <c r="BV76" s="745">
        <v>17.440000000000001</v>
      </c>
      <c r="BW76" s="745">
        <v>17.53</v>
      </c>
      <c r="BX76" s="745">
        <v>17.61</v>
      </c>
      <c r="BY76" s="745">
        <v>17.7</v>
      </c>
      <c r="BZ76" s="745">
        <v>17.78</v>
      </c>
      <c r="CA76" s="745">
        <v>17.87</v>
      </c>
      <c r="CB76" s="745">
        <v>17.95</v>
      </c>
      <c r="CC76" s="745">
        <v>18.03</v>
      </c>
      <c r="CD76" s="745">
        <v>18.12</v>
      </c>
      <c r="CE76" s="745">
        <v>18.2</v>
      </c>
      <c r="CF76" s="745">
        <v>18.28</v>
      </c>
      <c r="CG76" s="745">
        <v>18.37</v>
      </c>
      <c r="CH76" s="745">
        <v>18.45</v>
      </c>
      <c r="CI76" s="745">
        <v>18.53</v>
      </c>
      <c r="CJ76" s="745">
        <v>18.61</v>
      </c>
      <c r="CK76" s="745">
        <v>18.690000000000001</v>
      </c>
      <c r="CL76" s="745">
        <v>18.77</v>
      </c>
      <c r="CM76" s="745">
        <v>18.850000000000001</v>
      </c>
      <c r="CN76" s="745">
        <v>18.93</v>
      </c>
      <c r="CO76" s="745">
        <v>19.010000000000002</v>
      </c>
      <c r="CP76" s="745">
        <v>19.09</v>
      </c>
      <c r="CQ76" s="745">
        <v>19.170000000000002</v>
      </c>
      <c r="CR76" s="745">
        <v>19.25</v>
      </c>
      <c r="CS76" s="745">
        <v>19.329999999999998</v>
      </c>
      <c r="CT76" s="745">
        <v>19.41</v>
      </c>
      <c r="CU76" s="745">
        <v>19.48</v>
      </c>
      <c r="CV76" s="745">
        <v>19.559999999999999</v>
      </c>
      <c r="CW76" s="745">
        <v>19.64</v>
      </c>
      <c r="CX76" s="745">
        <v>19.71</v>
      </c>
      <c r="CY76" s="745">
        <v>19.79</v>
      </c>
      <c r="CZ76" s="745">
        <v>19.86</v>
      </c>
      <c r="DA76" s="745">
        <v>19.940000000000001</v>
      </c>
      <c r="DB76" s="745">
        <v>20.010000000000002</v>
      </c>
      <c r="DC76" s="745">
        <v>20.09</v>
      </c>
      <c r="DD76" s="745">
        <v>20.16</v>
      </c>
      <c r="DE76" s="745">
        <v>20.239999999999998</v>
      </c>
      <c r="DF76" s="745">
        <v>20.309999999999999</v>
      </c>
      <c r="DG76" s="745">
        <v>20.38</v>
      </c>
      <c r="DH76" s="745">
        <v>20.45</v>
      </c>
      <c r="DI76" s="745">
        <v>20.53</v>
      </c>
      <c r="DJ76" s="745">
        <v>20.6</v>
      </c>
      <c r="DK76" s="745">
        <v>20.67</v>
      </c>
      <c r="DL76" s="745">
        <v>20.74</v>
      </c>
      <c r="DM76" s="745">
        <v>20.81</v>
      </c>
      <c r="DN76" s="745">
        <v>20.88</v>
      </c>
      <c r="DO76" s="745">
        <v>20.95</v>
      </c>
      <c r="DP76" s="745">
        <v>21.02</v>
      </c>
      <c r="DQ76" s="745">
        <v>21.09</v>
      </c>
      <c r="DR76" s="745">
        <v>21.16</v>
      </c>
    </row>
    <row r="77" spans="1:122">
      <c r="A77" s="918">
        <v>75</v>
      </c>
      <c r="B77" s="90"/>
      <c r="C77" s="90"/>
      <c r="D77" s="90"/>
      <c r="E77" s="90"/>
      <c r="F77" s="90"/>
      <c r="G77" s="90"/>
      <c r="H77" s="90"/>
      <c r="I77" s="90"/>
      <c r="J77" s="90"/>
      <c r="K77" s="90"/>
      <c r="L77" s="90"/>
      <c r="M77" s="90"/>
      <c r="N77" s="90"/>
      <c r="O77" s="90"/>
      <c r="P77" s="90"/>
      <c r="Q77" s="90"/>
      <c r="R77" s="90"/>
      <c r="S77" s="90"/>
      <c r="T77" s="90"/>
      <c r="U77" s="90"/>
      <c r="V77" s="745"/>
      <c r="W77" s="745">
        <v>11.92</v>
      </c>
      <c r="X77" s="745">
        <v>12.01</v>
      </c>
      <c r="Y77" s="745">
        <v>12.12</v>
      </c>
      <c r="Z77" s="745">
        <v>12.24</v>
      </c>
      <c r="AA77" s="745">
        <v>12.32</v>
      </c>
      <c r="AB77" s="745">
        <v>12.42</v>
      </c>
      <c r="AC77" s="745">
        <v>12.54</v>
      </c>
      <c r="AD77" s="745">
        <v>12.61</v>
      </c>
      <c r="AE77" s="745">
        <v>12.72</v>
      </c>
      <c r="AF77" s="745">
        <v>12.84</v>
      </c>
      <c r="AG77" s="745">
        <v>12.9</v>
      </c>
      <c r="AH77" s="745">
        <v>12.99</v>
      </c>
      <c r="AI77" s="745">
        <v>13.08</v>
      </c>
      <c r="AJ77" s="745">
        <v>13.2</v>
      </c>
      <c r="AK77" s="745">
        <v>13.33</v>
      </c>
      <c r="AL77" s="745">
        <v>13.44</v>
      </c>
      <c r="AM77" s="745">
        <v>13.58</v>
      </c>
      <c r="AN77" s="745">
        <v>13.68</v>
      </c>
      <c r="AO77" s="745">
        <v>13.77</v>
      </c>
      <c r="AP77" s="745">
        <v>13.85</v>
      </c>
      <c r="AQ77" s="745">
        <v>13.92</v>
      </c>
      <c r="AR77" s="745">
        <v>14</v>
      </c>
      <c r="AS77" s="745">
        <v>14.08</v>
      </c>
      <c r="AT77" s="745">
        <v>14.18</v>
      </c>
      <c r="AU77" s="745">
        <v>14.27</v>
      </c>
      <c r="AV77" s="745">
        <v>14.37</v>
      </c>
      <c r="AW77" s="745">
        <v>14.46</v>
      </c>
      <c r="AX77" s="745">
        <v>14.55</v>
      </c>
      <c r="AY77" s="745">
        <v>14.64</v>
      </c>
      <c r="AZ77" s="745">
        <v>14.72</v>
      </c>
      <c r="BA77" s="745">
        <v>14.81</v>
      </c>
      <c r="BB77" s="745">
        <v>14.9</v>
      </c>
      <c r="BC77" s="745">
        <v>14.99</v>
      </c>
      <c r="BD77" s="745">
        <v>15.08</v>
      </c>
      <c r="BE77" s="745">
        <v>15.17</v>
      </c>
      <c r="BF77" s="745">
        <v>15.25</v>
      </c>
      <c r="BG77" s="745">
        <v>15.34</v>
      </c>
      <c r="BH77" s="745">
        <v>15.43</v>
      </c>
      <c r="BI77" s="745">
        <v>15.51</v>
      </c>
      <c r="BJ77" s="745">
        <v>15.6</v>
      </c>
      <c r="BK77" s="745">
        <v>15.69</v>
      </c>
      <c r="BL77" s="745">
        <v>15.77</v>
      </c>
      <c r="BM77" s="745">
        <v>15.86</v>
      </c>
      <c r="BN77" s="745">
        <v>15.94</v>
      </c>
      <c r="BO77" s="745">
        <v>16.03</v>
      </c>
      <c r="BP77" s="745">
        <v>16.11</v>
      </c>
      <c r="BQ77" s="745">
        <v>16.2</v>
      </c>
      <c r="BR77" s="745">
        <v>16.28</v>
      </c>
      <c r="BS77" s="745">
        <v>16.37</v>
      </c>
      <c r="BT77" s="745">
        <v>16.45</v>
      </c>
      <c r="BU77" s="745">
        <v>16.53</v>
      </c>
      <c r="BV77" s="745">
        <v>16.62</v>
      </c>
      <c r="BW77" s="745">
        <v>16.7</v>
      </c>
      <c r="BX77" s="745">
        <v>16.78</v>
      </c>
      <c r="BY77" s="745">
        <v>16.87</v>
      </c>
      <c r="BZ77" s="745">
        <v>16.95</v>
      </c>
      <c r="CA77" s="745">
        <v>17.03</v>
      </c>
      <c r="CB77" s="745">
        <v>17.11</v>
      </c>
      <c r="CC77" s="745">
        <v>17.190000000000001</v>
      </c>
      <c r="CD77" s="745">
        <v>17.28</v>
      </c>
      <c r="CE77" s="745">
        <v>17.36</v>
      </c>
      <c r="CF77" s="745">
        <v>17.440000000000001</v>
      </c>
      <c r="CG77" s="745">
        <v>17.52</v>
      </c>
      <c r="CH77" s="745">
        <v>17.600000000000001</v>
      </c>
      <c r="CI77" s="745">
        <v>17.68</v>
      </c>
      <c r="CJ77" s="745">
        <v>17.760000000000002</v>
      </c>
      <c r="CK77" s="745">
        <v>17.84</v>
      </c>
      <c r="CL77" s="745">
        <v>17.91</v>
      </c>
      <c r="CM77" s="745">
        <v>17.989999999999998</v>
      </c>
      <c r="CN77" s="745">
        <v>18.07</v>
      </c>
      <c r="CO77" s="745">
        <v>18.149999999999999</v>
      </c>
      <c r="CP77" s="745">
        <v>18.23</v>
      </c>
      <c r="CQ77" s="745">
        <v>18.3</v>
      </c>
      <c r="CR77" s="745">
        <v>18.38</v>
      </c>
      <c r="CS77" s="745">
        <v>18.46</v>
      </c>
      <c r="CT77" s="745">
        <v>18.53</v>
      </c>
      <c r="CU77" s="745">
        <v>18.61</v>
      </c>
      <c r="CV77" s="745">
        <v>18.68</v>
      </c>
      <c r="CW77" s="745">
        <v>18.760000000000002</v>
      </c>
      <c r="CX77" s="745">
        <v>18.829999999999998</v>
      </c>
      <c r="CY77" s="745">
        <v>18.91</v>
      </c>
      <c r="CZ77" s="745">
        <v>18.98</v>
      </c>
      <c r="DA77" s="745">
        <v>19.05</v>
      </c>
      <c r="DB77" s="745">
        <v>19.13</v>
      </c>
      <c r="DC77" s="745">
        <v>19.2</v>
      </c>
      <c r="DD77" s="745">
        <v>19.27</v>
      </c>
      <c r="DE77" s="745">
        <v>19.34</v>
      </c>
      <c r="DF77" s="745">
        <v>19.420000000000002</v>
      </c>
      <c r="DG77" s="745">
        <v>19.489999999999998</v>
      </c>
      <c r="DH77" s="745">
        <v>19.559999999999999</v>
      </c>
      <c r="DI77" s="745">
        <v>19.63</v>
      </c>
      <c r="DJ77" s="745">
        <v>19.7</v>
      </c>
      <c r="DK77" s="745">
        <v>19.77</v>
      </c>
      <c r="DL77" s="745">
        <v>19.84</v>
      </c>
      <c r="DM77" s="745">
        <v>19.91</v>
      </c>
      <c r="DN77" s="745">
        <v>19.97</v>
      </c>
      <c r="DO77" s="745">
        <v>20.04</v>
      </c>
      <c r="DP77" s="745">
        <v>20.11</v>
      </c>
      <c r="DQ77" s="745">
        <v>20.18</v>
      </c>
      <c r="DR77" s="745">
        <v>20.239999999999998</v>
      </c>
    </row>
    <row r="78" spans="1:122">
      <c r="A78" s="918">
        <v>76</v>
      </c>
      <c r="B78" s="90"/>
      <c r="C78" s="90"/>
      <c r="D78" s="90"/>
      <c r="E78" s="90"/>
      <c r="F78" s="90"/>
      <c r="G78" s="90"/>
      <c r="H78" s="90"/>
      <c r="I78" s="90"/>
      <c r="J78" s="90"/>
      <c r="K78" s="90"/>
      <c r="L78" s="90"/>
      <c r="M78" s="90"/>
      <c r="N78" s="90"/>
      <c r="O78" s="90"/>
      <c r="P78" s="90"/>
      <c r="Q78" s="90"/>
      <c r="R78" s="90"/>
      <c r="S78" s="90"/>
      <c r="T78" s="90"/>
      <c r="U78" s="90"/>
      <c r="V78" s="745"/>
      <c r="W78" s="745">
        <v>11.28</v>
      </c>
      <c r="X78" s="745">
        <v>11.35</v>
      </c>
      <c r="Y78" s="745">
        <v>11.47</v>
      </c>
      <c r="Z78" s="745">
        <v>11.57</v>
      </c>
      <c r="AA78" s="745">
        <v>11.65</v>
      </c>
      <c r="AB78" s="745">
        <v>11.74</v>
      </c>
      <c r="AC78" s="745">
        <v>11.87</v>
      </c>
      <c r="AD78" s="745">
        <v>11.93</v>
      </c>
      <c r="AE78" s="745">
        <v>12.02</v>
      </c>
      <c r="AF78" s="745">
        <v>12.13</v>
      </c>
      <c r="AG78" s="745">
        <v>12.19</v>
      </c>
      <c r="AH78" s="745">
        <v>12.28</v>
      </c>
      <c r="AI78" s="745">
        <v>12.37</v>
      </c>
      <c r="AJ78" s="745">
        <v>12.48</v>
      </c>
      <c r="AK78" s="745">
        <v>12.6</v>
      </c>
      <c r="AL78" s="745">
        <v>12.72</v>
      </c>
      <c r="AM78" s="745">
        <v>12.85</v>
      </c>
      <c r="AN78" s="745">
        <v>12.94</v>
      </c>
      <c r="AO78" s="745">
        <v>13.03</v>
      </c>
      <c r="AP78" s="745">
        <v>13.1</v>
      </c>
      <c r="AQ78" s="745">
        <v>13.18</v>
      </c>
      <c r="AR78" s="745">
        <v>13.27</v>
      </c>
      <c r="AS78" s="745">
        <v>13.36</v>
      </c>
      <c r="AT78" s="745">
        <v>13.45</v>
      </c>
      <c r="AU78" s="745">
        <v>13.54</v>
      </c>
      <c r="AV78" s="745">
        <v>13.62</v>
      </c>
      <c r="AW78" s="745">
        <v>13.71</v>
      </c>
      <c r="AX78" s="745">
        <v>13.8</v>
      </c>
      <c r="AY78" s="745">
        <v>13.88</v>
      </c>
      <c r="AZ78" s="745">
        <v>13.97</v>
      </c>
      <c r="BA78" s="745">
        <v>14.06</v>
      </c>
      <c r="BB78" s="745">
        <v>14.14</v>
      </c>
      <c r="BC78" s="745">
        <v>14.23</v>
      </c>
      <c r="BD78" s="745">
        <v>14.31</v>
      </c>
      <c r="BE78" s="745">
        <v>14.4</v>
      </c>
      <c r="BF78" s="745">
        <v>14.48</v>
      </c>
      <c r="BG78" s="745">
        <v>14.56</v>
      </c>
      <c r="BH78" s="745">
        <v>14.65</v>
      </c>
      <c r="BI78" s="745">
        <v>14.73</v>
      </c>
      <c r="BJ78" s="745">
        <v>14.81</v>
      </c>
      <c r="BK78" s="745">
        <v>14.9</v>
      </c>
      <c r="BL78" s="745">
        <v>14.98</v>
      </c>
      <c r="BM78" s="745">
        <v>15.06</v>
      </c>
      <c r="BN78" s="745">
        <v>15.15</v>
      </c>
      <c r="BO78" s="745">
        <v>15.23</v>
      </c>
      <c r="BP78" s="745">
        <v>15.31</v>
      </c>
      <c r="BQ78" s="745">
        <v>15.39</v>
      </c>
      <c r="BR78" s="745">
        <v>15.48</v>
      </c>
      <c r="BS78" s="745">
        <v>15.56</v>
      </c>
      <c r="BT78" s="745">
        <v>15.64</v>
      </c>
      <c r="BU78" s="745">
        <v>15.72</v>
      </c>
      <c r="BV78" s="745">
        <v>15.8</v>
      </c>
      <c r="BW78" s="745">
        <v>15.88</v>
      </c>
      <c r="BX78" s="745">
        <v>15.96</v>
      </c>
      <c r="BY78" s="745">
        <v>16.04</v>
      </c>
      <c r="BZ78" s="745">
        <v>16.12</v>
      </c>
      <c r="CA78" s="745">
        <v>16.2</v>
      </c>
      <c r="CB78" s="745">
        <v>16.28</v>
      </c>
      <c r="CC78" s="745">
        <v>16.36</v>
      </c>
      <c r="CD78" s="745">
        <v>16.440000000000001</v>
      </c>
      <c r="CE78" s="745">
        <v>16.52</v>
      </c>
      <c r="CF78" s="745">
        <v>16.600000000000001</v>
      </c>
      <c r="CG78" s="745">
        <v>16.68</v>
      </c>
      <c r="CH78" s="745">
        <v>16.75</v>
      </c>
      <c r="CI78" s="745">
        <v>16.829999999999998</v>
      </c>
      <c r="CJ78" s="745">
        <v>16.91</v>
      </c>
      <c r="CK78" s="745">
        <v>16.989999999999998</v>
      </c>
      <c r="CL78" s="745">
        <v>17.059999999999999</v>
      </c>
      <c r="CM78" s="745">
        <v>17.14</v>
      </c>
      <c r="CN78" s="745">
        <v>17.21</v>
      </c>
      <c r="CO78" s="745">
        <v>17.29</v>
      </c>
      <c r="CP78" s="745">
        <v>17.37</v>
      </c>
      <c r="CQ78" s="745">
        <v>17.440000000000001</v>
      </c>
      <c r="CR78" s="745">
        <v>17.52</v>
      </c>
      <c r="CS78" s="745">
        <v>17.59</v>
      </c>
      <c r="CT78" s="745">
        <v>17.66</v>
      </c>
      <c r="CU78" s="745">
        <v>17.739999999999998</v>
      </c>
      <c r="CV78" s="745">
        <v>17.809999999999999</v>
      </c>
      <c r="CW78" s="745">
        <v>17.88</v>
      </c>
      <c r="CX78" s="745">
        <v>17.96</v>
      </c>
      <c r="CY78" s="745">
        <v>18.03</v>
      </c>
      <c r="CZ78" s="745">
        <v>18.100000000000001</v>
      </c>
      <c r="DA78" s="745">
        <v>18.170000000000002</v>
      </c>
      <c r="DB78" s="745">
        <v>18.25</v>
      </c>
      <c r="DC78" s="745">
        <v>18.32</v>
      </c>
      <c r="DD78" s="745">
        <v>18.39</v>
      </c>
      <c r="DE78" s="745">
        <v>18.46</v>
      </c>
      <c r="DF78" s="745">
        <v>18.53</v>
      </c>
      <c r="DG78" s="745">
        <v>18.600000000000001</v>
      </c>
      <c r="DH78" s="745">
        <v>18.670000000000002</v>
      </c>
      <c r="DI78" s="745">
        <v>18.73</v>
      </c>
      <c r="DJ78" s="745">
        <v>18.8</v>
      </c>
      <c r="DK78" s="745">
        <v>18.87</v>
      </c>
      <c r="DL78" s="745">
        <v>18.940000000000001</v>
      </c>
      <c r="DM78" s="745">
        <v>19.010000000000002</v>
      </c>
      <c r="DN78" s="745">
        <v>19.07</v>
      </c>
      <c r="DO78" s="745">
        <v>19.14</v>
      </c>
      <c r="DP78" s="745">
        <v>19.21</v>
      </c>
      <c r="DQ78" s="745">
        <v>19.27</v>
      </c>
      <c r="DR78" s="745">
        <v>19.34</v>
      </c>
    </row>
    <row r="79" spans="1:122">
      <c r="A79" s="918">
        <v>77</v>
      </c>
      <c r="B79" s="90"/>
      <c r="C79" s="90"/>
      <c r="D79" s="90"/>
      <c r="E79" s="90"/>
      <c r="F79" s="90"/>
      <c r="G79" s="90"/>
      <c r="H79" s="90"/>
      <c r="I79" s="90"/>
      <c r="J79" s="90"/>
      <c r="K79" s="90"/>
      <c r="L79" s="90"/>
      <c r="M79" s="90"/>
      <c r="N79" s="90"/>
      <c r="O79" s="90"/>
      <c r="P79" s="90"/>
      <c r="Q79" s="90"/>
      <c r="R79" s="90"/>
      <c r="S79" s="90"/>
      <c r="T79" s="90"/>
      <c r="U79" s="90"/>
      <c r="V79" s="745"/>
      <c r="W79" s="745">
        <v>10.65</v>
      </c>
      <c r="X79" s="745">
        <v>10.73</v>
      </c>
      <c r="Y79" s="745">
        <v>10.83</v>
      </c>
      <c r="Z79" s="745">
        <v>10.92</v>
      </c>
      <c r="AA79" s="745">
        <v>10.99</v>
      </c>
      <c r="AB79" s="745">
        <v>11.09</v>
      </c>
      <c r="AC79" s="745">
        <v>11.21</v>
      </c>
      <c r="AD79" s="745">
        <v>11.26</v>
      </c>
      <c r="AE79" s="745">
        <v>11.34</v>
      </c>
      <c r="AF79" s="745">
        <v>11.44</v>
      </c>
      <c r="AG79" s="745">
        <v>11.5</v>
      </c>
      <c r="AH79" s="745">
        <v>11.59</v>
      </c>
      <c r="AI79" s="745">
        <v>11.68</v>
      </c>
      <c r="AJ79" s="745">
        <v>11.78</v>
      </c>
      <c r="AK79" s="745">
        <v>11.9</v>
      </c>
      <c r="AL79" s="745">
        <v>12.01</v>
      </c>
      <c r="AM79" s="745">
        <v>12.12</v>
      </c>
      <c r="AN79" s="745">
        <v>12.22</v>
      </c>
      <c r="AO79" s="745">
        <v>12.3</v>
      </c>
      <c r="AP79" s="745">
        <v>12.38</v>
      </c>
      <c r="AQ79" s="745">
        <v>12.47</v>
      </c>
      <c r="AR79" s="745">
        <v>12.55</v>
      </c>
      <c r="AS79" s="745">
        <v>12.63</v>
      </c>
      <c r="AT79" s="745">
        <v>12.72</v>
      </c>
      <c r="AU79" s="745">
        <v>12.8</v>
      </c>
      <c r="AV79" s="745">
        <v>12.89</v>
      </c>
      <c r="AW79" s="745">
        <v>12.97</v>
      </c>
      <c r="AX79" s="745">
        <v>13.06</v>
      </c>
      <c r="AY79" s="745">
        <v>13.14</v>
      </c>
      <c r="AZ79" s="745">
        <v>13.22</v>
      </c>
      <c r="BA79" s="745">
        <v>13.31</v>
      </c>
      <c r="BB79" s="745">
        <v>13.39</v>
      </c>
      <c r="BC79" s="745">
        <v>13.47</v>
      </c>
      <c r="BD79" s="745">
        <v>13.55</v>
      </c>
      <c r="BE79" s="745">
        <v>13.63</v>
      </c>
      <c r="BF79" s="745">
        <v>13.71</v>
      </c>
      <c r="BG79" s="745">
        <v>13.8</v>
      </c>
      <c r="BH79" s="745">
        <v>13.88</v>
      </c>
      <c r="BI79" s="745">
        <v>13.96</v>
      </c>
      <c r="BJ79" s="745">
        <v>14.04</v>
      </c>
      <c r="BK79" s="745">
        <v>14.12</v>
      </c>
      <c r="BL79" s="745">
        <v>14.2</v>
      </c>
      <c r="BM79" s="745">
        <v>14.28</v>
      </c>
      <c r="BN79" s="745">
        <v>14.36</v>
      </c>
      <c r="BO79" s="745">
        <v>14.44</v>
      </c>
      <c r="BP79" s="745">
        <v>14.52</v>
      </c>
      <c r="BQ79" s="745">
        <v>14.6</v>
      </c>
      <c r="BR79" s="745">
        <v>14.68</v>
      </c>
      <c r="BS79" s="745">
        <v>14.76</v>
      </c>
      <c r="BT79" s="745">
        <v>14.84</v>
      </c>
      <c r="BU79" s="745">
        <v>14.92</v>
      </c>
      <c r="BV79" s="745">
        <v>14.99</v>
      </c>
      <c r="BW79" s="745">
        <v>15.07</v>
      </c>
      <c r="BX79" s="745">
        <v>15.15</v>
      </c>
      <c r="BY79" s="745">
        <v>15.23</v>
      </c>
      <c r="BZ79" s="745">
        <v>15.31</v>
      </c>
      <c r="CA79" s="745">
        <v>15.38</v>
      </c>
      <c r="CB79" s="745">
        <v>15.46</v>
      </c>
      <c r="CC79" s="745">
        <v>15.54</v>
      </c>
      <c r="CD79" s="745">
        <v>15.61</v>
      </c>
      <c r="CE79" s="745">
        <v>15.69</v>
      </c>
      <c r="CF79" s="745">
        <v>15.77</v>
      </c>
      <c r="CG79" s="745">
        <v>15.84</v>
      </c>
      <c r="CH79" s="745">
        <v>15.92</v>
      </c>
      <c r="CI79" s="745">
        <v>15.99</v>
      </c>
      <c r="CJ79" s="745">
        <v>16.07</v>
      </c>
      <c r="CK79" s="745">
        <v>16.14</v>
      </c>
      <c r="CL79" s="745">
        <v>16.22</v>
      </c>
      <c r="CM79" s="745">
        <v>16.29</v>
      </c>
      <c r="CN79" s="745">
        <v>16.37</v>
      </c>
      <c r="CO79" s="745">
        <v>16.440000000000001</v>
      </c>
      <c r="CP79" s="745">
        <v>16.510000000000002</v>
      </c>
      <c r="CQ79" s="745">
        <v>16.59</v>
      </c>
      <c r="CR79" s="745">
        <v>16.66</v>
      </c>
      <c r="CS79" s="745">
        <v>16.73</v>
      </c>
      <c r="CT79" s="745">
        <v>16.8</v>
      </c>
      <c r="CU79" s="745">
        <v>16.88</v>
      </c>
      <c r="CV79" s="745">
        <v>16.95</v>
      </c>
      <c r="CW79" s="745">
        <v>17.02</v>
      </c>
      <c r="CX79" s="745">
        <v>17.09</v>
      </c>
      <c r="CY79" s="745">
        <v>17.16</v>
      </c>
      <c r="CZ79" s="745">
        <v>17.23</v>
      </c>
      <c r="DA79" s="745">
        <v>17.3</v>
      </c>
      <c r="DB79" s="745">
        <v>17.37</v>
      </c>
      <c r="DC79" s="745">
        <v>17.440000000000001</v>
      </c>
      <c r="DD79" s="745">
        <v>17.510000000000002</v>
      </c>
      <c r="DE79" s="745">
        <v>17.579999999999998</v>
      </c>
      <c r="DF79" s="745">
        <v>17.649999999999999</v>
      </c>
      <c r="DG79" s="745">
        <v>17.71</v>
      </c>
      <c r="DH79" s="745">
        <v>17.78</v>
      </c>
      <c r="DI79" s="745">
        <v>17.850000000000001</v>
      </c>
      <c r="DJ79" s="745">
        <v>17.91</v>
      </c>
      <c r="DK79" s="745">
        <v>17.98</v>
      </c>
      <c r="DL79" s="745">
        <v>18.05</v>
      </c>
      <c r="DM79" s="745">
        <v>18.11</v>
      </c>
      <c r="DN79" s="745">
        <v>18.18</v>
      </c>
      <c r="DO79" s="745">
        <v>18.239999999999998</v>
      </c>
      <c r="DP79" s="745">
        <v>18.309999999999999</v>
      </c>
      <c r="DQ79" s="745">
        <v>18.37</v>
      </c>
      <c r="DR79" s="745">
        <v>18.440000000000001</v>
      </c>
    </row>
    <row r="80" spans="1:122">
      <c r="A80" s="918">
        <v>78</v>
      </c>
      <c r="B80" s="90"/>
      <c r="C80" s="90"/>
      <c r="D80" s="90"/>
      <c r="E80" s="90"/>
      <c r="F80" s="90"/>
      <c r="G80" s="90"/>
      <c r="H80" s="90"/>
      <c r="I80" s="90"/>
      <c r="J80" s="90"/>
      <c r="K80" s="90"/>
      <c r="L80" s="90"/>
      <c r="M80" s="90"/>
      <c r="N80" s="90"/>
      <c r="O80" s="90"/>
      <c r="P80" s="90"/>
      <c r="Q80" s="90"/>
      <c r="R80" s="90"/>
      <c r="S80" s="90"/>
      <c r="T80" s="90"/>
      <c r="U80" s="90"/>
      <c r="V80" s="745"/>
      <c r="W80" s="745">
        <v>10.039999999999999</v>
      </c>
      <c r="X80" s="745">
        <v>10.1</v>
      </c>
      <c r="Y80" s="745">
        <v>10.19</v>
      </c>
      <c r="Z80" s="745">
        <v>10.28</v>
      </c>
      <c r="AA80" s="745">
        <v>10.35</v>
      </c>
      <c r="AB80" s="745">
        <v>10.44</v>
      </c>
      <c r="AC80" s="745">
        <v>10.54</v>
      </c>
      <c r="AD80" s="745">
        <v>10.6</v>
      </c>
      <c r="AE80" s="745">
        <v>10.67</v>
      </c>
      <c r="AF80" s="745">
        <v>10.77</v>
      </c>
      <c r="AG80" s="745">
        <v>10.83</v>
      </c>
      <c r="AH80" s="745">
        <v>10.91</v>
      </c>
      <c r="AI80" s="745">
        <v>10.99</v>
      </c>
      <c r="AJ80" s="745">
        <v>11.09</v>
      </c>
      <c r="AK80" s="745">
        <v>11.21</v>
      </c>
      <c r="AL80" s="745">
        <v>11.31</v>
      </c>
      <c r="AM80" s="745">
        <v>11.42</v>
      </c>
      <c r="AN80" s="745">
        <v>11.51</v>
      </c>
      <c r="AO80" s="745">
        <v>11.59</v>
      </c>
      <c r="AP80" s="745">
        <v>11.67</v>
      </c>
      <c r="AQ80" s="745">
        <v>11.75</v>
      </c>
      <c r="AR80" s="745">
        <v>11.84</v>
      </c>
      <c r="AS80" s="745">
        <v>11.92</v>
      </c>
      <c r="AT80" s="745">
        <v>12</v>
      </c>
      <c r="AU80" s="745">
        <v>12.08</v>
      </c>
      <c r="AV80" s="745">
        <v>12.17</v>
      </c>
      <c r="AW80" s="745">
        <v>12.25</v>
      </c>
      <c r="AX80" s="745">
        <v>12.33</v>
      </c>
      <c r="AY80" s="745">
        <v>12.41</v>
      </c>
      <c r="AZ80" s="745">
        <v>12.49</v>
      </c>
      <c r="BA80" s="745">
        <v>12.57</v>
      </c>
      <c r="BB80" s="745">
        <v>12.64</v>
      </c>
      <c r="BC80" s="745">
        <v>12.72</v>
      </c>
      <c r="BD80" s="745">
        <v>12.8</v>
      </c>
      <c r="BE80" s="745">
        <v>12.88</v>
      </c>
      <c r="BF80" s="745">
        <v>12.96</v>
      </c>
      <c r="BG80" s="745">
        <v>13.04</v>
      </c>
      <c r="BH80" s="745">
        <v>13.12</v>
      </c>
      <c r="BI80" s="745">
        <v>13.19</v>
      </c>
      <c r="BJ80" s="745">
        <v>13.27</v>
      </c>
      <c r="BK80" s="745">
        <v>13.35</v>
      </c>
      <c r="BL80" s="745">
        <v>13.43</v>
      </c>
      <c r="BM80" s="745">
        <v>13.51</v>
      </c>
      <c r="BN80" s="745">
        <v>13.58</v>
      </c>
      <c r="BO80" s="745">
        <v>13.66</v>
      </c>
      <c r="BP80" s="745">
        <v>13.74</v>
      </c>
      <c r="BQ80" s="745">
        <v>13.81</v>
      </c>
      <c r="BR80" s="745">
        <v>13.89</v>
      </c>
      <c r="BS80" s="745">
        <v>13.97</v>
      </c>
      <c r="BT80" s="745">
        <v>14.04</v>
      </c>
      <c r="BU80" s="745">
        <v>14.12</v>
      </c>
      <c r="BV80" s="745">
        <v>14.2</v>
      </c>
      <c r="BW80" s="745">
        <v>14.27</v>
      </c>
      <c r="BX80" s="745">
        <v>14.35</v>
      </c>
      <c r="BY80" s="745">
        <v>14.42</v>
      </c>
      <c r="BZ80" s="745">
        <v>14.5</v>
      </c>
      <c r="CA80" s="745">
        <v>14.57</v>
      </c>
      <c r="CB80" s="745">
        <v>14.65</v>
      </c>
      <c r="CC80" s="745">
        <v>14.72</v>
      </c>
      <c r="CD80" s="745">
        <v>14.8</v>
      </c>
      <c r="CE80" s="745">
        <v>14.87</v>
      </c>
      <c r="CF80" s="745">
        <v>14.95</v>
      </c>
      <c r="CG80" s="745">
        <v>15.02</v>
      </c>
      <c r="CH80" s="745">
        <v>15.09</v>
      </c>
      <c r="CI80" s="745">
        <v>15.17</v>
      </c>
      <c r="CJ80" s="745">
        <v>15.24</v>
      </c>
      <c r="CK80" s="745">
        <v>15.31</v>
      </c>
      <c r="CL80" s="745">
        <v>15.38</v>
      </c>
      <c r="CM80" s="745">
        <v>15.46</v>
      </c>
      <c r="CN80" s="745">
        <v>15.53</v>
      </c>
      <c r="CO80" s="745">
        <v>15.6</v>
      </c>
      <c r="CP80" s="745">
        <v>15.67</v>
      </c>
      <c r="CQ80" s="745">
        <v>15.74</v>
      </c>
      <c r="CR80" s="745">
        <v>15.81</v>
      </c>
      <c r="CS80" s="745">
        <v>15.88</v>
      </c>
      <c r="CT80" s="745">
        <v>15.95</v>
      </c>
      <c r="CU80" s="745">
        <v>16.02</v>
      </c>
      <c r="CV80" s="745">
        <v>16.09</v>
      </c>
      <c r="CW80" s="745">
        <v>16.16</v>
      </c>
      <c r="CX80" s="745">
        <v>16.23</v>
      </c>
      <c r="CY80" s="745">
        <v>16.3</v>
      </c>
      <c r="CZ80" s="745">
        <v>16.37</v>
      </c>
      <c r="DA80" s="745">
        <v>16.440000000000001</v>
      </c>
      <c r="DB80" s="745">
        <v>16.5</v>
      </c>
      <c r="DC80" s="745">
        <v>16.57</v>
      </c>
      <c r="DD80" s="745">
        <v>16.64</v>
      </c>
      <c r="DE80" s="745">
        <v>16.7</v>
      </c>
      <c r="DF80" s="745">
        <v>16.77</v>
      </c>
      <c r="DG80" s="745">
        <v>16.84</v>
      </c>
      <c r="DH80" s="745">
        <v>16.899999999999999</v>
      </c>
      <c r="DI80" s="745">
        <v>16.97</v>
      </c>
      <c r="DJ80" s="745">
        <v>17.03</v>
      </c>
      <c r="DK80" s="745">
        <v>17.100000000000001</v>
      </c>
      <c r="DL80" s="745">
        <v>17.16</v>
      </c>
      <c r="DM80" s="745">
        <v>17.23</v>
      </c>
      <c r="DN80" s="745">
        <v>17.29</v>
      </c>
      <c r="DO80" s="745">
        <v>17.36</v>
      </c>
      <c r="DP80" s="745">
        <v>17.420000000000002</v>
      </c>
      <c r="DQ80" s="745">
        <v>17.48</v>
      </c>
      <c r="DR80" s="745">
        <v>17.54</v>
      </c>
    </row>
    <row r="81" spans="1:122">
      <c r="A81" s="918">
        <v>79</v>
      </c>
      <c r="B81" s="90"/>
      <c r="C81" s="90"/>
      <c r="D81" s="90"/>
      <c r="E81" s="90"/>
      <c r="F81" s="90"/>
      <c r="G81" s="90"/>
      <c r="H81" s="90"/>
      <c r="I81" s="90"/>
      <c r="J81" s="90"/>
      <c r="K81" s="90"/>
      <c r="L81" s="90"/>
      <c r="M81" s="90"/>
      <c r="N81" s="90"/>
      <c r="O81" s="90"/>
      <c r="P81" s="90"/>
      <c r="Q81" s="90"/>
      <c r="R81" s="90"/>
      <c r="S81" s="90"/>
      <c r="T81" s="90"/>
      <c r="U81" s="90"/>
      <c r="V81" s="745"/>
      <c r="W81" s="745">
        <v>9.44</v>
      </c>
      <c r="X81" s="745">
        <v>9.48</v>
      </c>
      <c r="Y81" s="745">
        <v>9.58</v>
      </c>
      <c r="Z81" s="745">
        <v>9.67</v>
      </c>
      <c r="AA81" s="745">
        <v>9.7200000000000006</v>
      </c>
      <c r="AB81" s="745">
        <v>9.8000000000000007</v>
      </c>
      <c r="AC81" s="745">
        <v>9.9</v>
      </c>
      <c r="AD81" s="745">
        <v>9.94</v>
      </c>
      <c r="AE81" s="745">
        <v>10.02</v>
      </c>
      <c r="AF81" s="745">
        <v>10.119999999999999</v>
      </c>
      <c r="AG81" s="745">
        <v>10.17</v>
      </c>
      <c r="AH81" s="745">
        <v>10.25</v>
      </c>
      <c r="AI81" s="745">
        <v>10.33</v>
      </c>
      <c r="AJ81" s="745">
        <v>10.43</v>
      </c>
      <c r="AK81" s="745">
        <v>10.53</v>
      </c>
      <c r="AL81" s="745">
        <v>10.63</v>
      </c>
      <c r="AM81" s="745">
        <v>10.73</v>
      </c>
      <c r="AN81" s="745">
        <v>10.82</v>
      </c>
      <c r="AO81" s="745">
        <v>10.9</v>
      </c>
      <c r="AP81" s="745">
        <v>10.98</v>
      </c>
      <c r="AQ81" s="745">
        <v>11.06</v>
      </c>
      <c r="AR81" s="745">
        <v>11.14</v>
      </c>
      <c r="AS81" s="745">
        <v>11.22</v>
      </c>
      <c r="AT81" s="745">
        <v>11.3</v>
      </c>
      <c r="AU81" s="745">
        <v>11.38</v>
      </c>
      <c r="AV81" s="745">
        <v>11.45</v>
      </c>
      <c r="AW81" s="745">
        <v>11.53</v>
      </c>
      <c r="AX81" s="745">
        <v>11.61</v>
      </c>
      <c r="AY81" s="745">
        <v>11.69</v>
      </c>
      <c r="AZ81" s="745">
        <v>11.76</v>
      </c>
      <c r="BA81" s="745">
        <v>11.84</v>
      </c>
      <c r="BB81" s="745">
        <v>11.91</v>
      </c>
      <c r="BC81" s="745">
        <v>11.99</v>
      </c>
      <c r="BD81" s="745">
        <v>12.07</v>
      </c>
      <c r="BE81" s="745">
        <v>12.14</v>
      </c>
      <c r="BF81" s="745">
        <v>12.22</v>
      </c>
      <c r="BG81" s="745">
        <v>12.29</v>
      </c>
      <c r="BH81" s="745">
        <v>12.37</v>
      </c>
      <c r="BI81" s="745">
        <v>12.44</v>
      </c>
      <c r="BJ81" s="745">
        <v>12.52</v>
      </c>
      <c r="BK81" s="745">
        <v>12.59</v>
      </c>
      <c r="BL81" s="745">
        <v>12.67</v>
      </c>
      <c r="BM81" s="745">
        <v>12.74</v>
      </c>
      <c r="BN81" s="745">
        <v>12.82</v>
      </c>
      <c r="BO81" s="745">
        <v>12.89</v>
      </c>
      <c r="BP81" s="745">
        <v>12.97</v>
      </c>
      <c r="BQ81" s="745">
        <v>13.04</v>
      </c>
      <c r="BR81" s="745">
        <v>13.12</v>
      </c>
      <c r="BS81" s="745">
        <v>13.19</v>
      </c>
      <c r="BT81" s="745">
        <v>13.26</v>
      </c>
      <c r="BU81" s="745">
        <v>13.34</v>
      </c>
      <c r="BV81" s="745">
        <v>13.41</v>
      </c>
      <c r="BW81" s="745">
        <v>13.48</v>
      </c>
      <c r="BX81" s="745">
        <v>13.56</v>
      </c>
      <c r="BY81" s="745">
        <v>13.63</v>
      </c>
      <c r="BZ81" s="745">
        <v>13.7</v>
      </c>
      <c r="CA81" s="745">
        <v>13.78</v>
      </c>
      <c r="CB81" s="745">
        <v>13.85</v>
      </c>
      <c r="CC81" s="745">
        <v>13.92</v>
      </c>
      <c r="CD81" s="745">
        <v>13.99</v>
      </c>
      <c r="CE81" s="745">
        <v>14.06</v>
      </c>
      <c r="CF81" s="745">
        <v>14.14</v>
      </c>
      <c r="CG81" s="745">
        <v>14.21</v>
      </c>
      <c r="CH81" s="745">
        <v>14.28</v>
      </c>
      <c r="CI81" s="745">
        <v>14.35</v>
      </c>
      <c r="CJ81" s="745">
        <v>14.42</v>
      </c>
      <c r="CK81" s="745">
        <v>14.49</v>
      </c>
      <c r="CL81" s="745">
        <v>14.56</v>
      </c>
      <c r="CM81" s="745">
        <v>14.63</v>
      </c>
      <c r="CN81" s="745">
        <v>14.7</v>
      </c>
      <c r="CO81" s="745">
        <v>14.77</v>
      </c>
      <c r="CP81" s="745">
        <v>14.84</v>
      </c>
      <c r="CQ81" s="745">
        <v>14.91</v>
      </c>
      <c r="CR81" s="745">
        <v>14.98</v>
      </c>
      <c r="CS81" s="745">
        <v>15.04</v>
      </c>
      <c r="CT81" s="745">
        <v>15.11</v>
      </c>
      <c r="CU81" s="745">
        <v>15.18</v>
      </c>
      <c r="CV81" s="745">
        <v>15.25</v>
      </c>
      <c r="CW81" s="745">
        <v>15.31</v>
      </c>
      <c r="CX81" s="745">
        <v>15.38</v>
      </c>
      <c r="CY81" s="745">
        <v>15.45</v>
      </c>
      <c r="CZ81" s="745">
        <v>15.52</v>
      </c>
      <c r="DA81" s="745">
        <v>15.58</v>
      </c>
      <c r="DB81" s="745">
        <v>15.65</v>
      </c>
      <c r="DC81" s="745">
        <v>15.71</v>
      </c>
      <c r="DD81" s="745">
        <v>15.78</v>
      </c>
      <c r="DE81" s="745">
        <v>15.84</v>
      </c>
      <c r="DF81" s="745">
        <v>15.91</v>
      </c>
      <c r="DG81" s="745">
        <v>15.97</v>
      </c>
      <c r="DH81" s="745">
        <v>16.04</v>
      </c>
      <c r="DI81" s="745">
        <v>16.100000000000001</v>
      </c>
      <c r="DJ81" s="745">
        <v>16.16</v>
      </c>
      <c r="DK81" s="745">
        <v>16.23</v>
      </c>
      <c r="DL81" s="745">
        <v>16.29</v>
      </c>
      <c r="DM81" s="745">
        <v>16.350000000000001</v>
      </c>
      <c r="DN81" s="745">
        <v>16.41</v>
      </c>
      <c r="DO81" s="745">
        <v>16.48</v>
      </c>
      <c r="DP81" s="745">
        <v>16.54</v>
      </c>
      <c r="DQ81" s="745">
        <v>16.600000000000001</v>
      </c>
      <c r="DR81" s="745">
        <v>16.66</v>
      </c>
    </row>
    <row r="82" spans="1:122">
      <c r="A82" s="918">
        <v>80</v>
      </c>
      <c r="B82" s="90"/>
      <c r="C82" s="90"/>
      <c r="D82" s="90"/>
      <c r="E82" s="90"/>
      <c r="F82" s="90"/>
      <c r="G82" s="90"/>
      <c r="H82" s="90"/>
      <c r="I82" s="90"/>
      <c r="J82" s="90"/>
      <c r="K82" s="90"/>
      <c r="L82" s="90"/>
      <c r="M82" s="90"/>
      <c r="N82" s="90"/>
      <c r="O82" s="90"/>
      <c r="P82" s="90"/>
      <c r="Q82" s="90"/>
      <c r="R82" s="90"/>
      <c r="S82" s="90"/>
      <c r="T82" s="90"/>
      <c r="U82" s="90"/>
      <c r="V82" s="745"/>
      <c r="W82" s="745">
        <v>8.85</v>
      </c>
      <c r="X82" s="745">
        <v>8.89</v>
      </c>
      <c r="Y82" s="745">
        <v>8.99</v>
      </c>
      <c r="Z82" s="745">
        <v>9.07</v>
      </c>
      <c r="AA82" s="745">
        <v>9.11</v>
      </c>
      <c r="AB82" s="745">
        <v>9.18</v>
      </c>
      <c r="AC82" s="745">
        <v>9.27</v>
      </c>
      <c r="AD82" s="745">
        <v>9.32</v>
      </c>
      <c r="AE82" s="745">
        <v>9.4</v>
      </c>
      <c r="AF82" s="745">
        <v>9.48</v>
      </c>
      <c r="AG82" s="745">
        <v>9.5399999999999991</v>
      </c>
      <c r="AH82" s="745">
        <v>9.61</v>
      </c>
      <c r="AI82" s="745">
        <v>9.6999999999999993</v>
      </c>
      <c r="AJ82" s="745">
        <v>9.7799999999999994</v>
      </c>
      <c r="AK82" s="745">
        <v>9.8800000000000008</v>
      </c>
      <c r="AL82" s="745">
        <v>9.9700000000000006</v>
      </c>
      <c r="AM82" s="745">
        <v>10.07</v>
      </c>
      <c r="AN82" s="745">
        <v>10.16</v>
      </c>
      <c r="AO82" s="745">
        <v>10.23</v>
      </c>
      <c r="AP82" s="745">
        <v>10.31</v>
      </c>
      <c r="AQ82" s="745">
        <v>10.38</v>
      </c>
      <c r="AR82" s="745">
        <v>10.46</v>
      </c>
      <c r="AS82" s="745">
        <v>10.53</v>
      </c>
      <c r="AT82" s="745">
        <v>10.61</v>
      </c>
      <c r="AU82" s="745">
        <v>10.69</v>
      </c>
      <c r="AV82" s="745">
        <v>10.76</v>
      </c>
      <c r="AW82" s="745">
        <v>10.83</v>
      </c>
      <c r="AX82" s="745">
        <v>10.91</v>
      </c>
      <c r="AY82" s="745">
        <v>10.98</v>
      </c>
      <c r="AZ82" s="745">
        <v>11.05</v>
      </c>
      <c r="BA82" s="745">
        <v>11.13</v>
      </c>
      <c r="BB82" s="745">
        <v>11.2</v>
      </c>
      <c r="BC82" s="745">
        <v>11.27</v>
      </c>
      <c r="BD82" s="745">
        <v>11.35</v>
      </c>
      <c r="BE82" s="745">
        <v>11.42</v>
      </c>
      <c r="BF82" s="745">
        <v>11.49</v>
      </c>
      <c r="BG82" s="745">
        <v>11.56</v>
      </c>
      <c r="BH82" s="745">
        <v>11.64</v>
      </c>
      <c r="BI82" s="745">
        <v>11.71</v>
      </c>
      <c r="BJ82" s="745">
        <v>11.78</v>
      </c>
      <c r="BK82" s="745">
        <v>11.85</v>
      </c>
      <c r="BL82" s="745">
        <v>11.93</v>
      </c>
      <c r="BM82" s="745">
        <v>12</v>
      </c>
      <c r="BN82" s="745">
        <v>12.07</v>
      </c>
      <c r="BO82" s="745">
        <v>12.14</v>
      </c>
      <c r="BP82" s="745">
        <v>12.21</v>
      </c>
      <c r="BQ82" s="745">
        <v>12.28</v>
      </c>
      <c r="BR82" s="745">
        <v>12.36</v>
      </c>
      <c r="BS82" s="745">
        <v>12.43</v>
      </c>
      <c r="BT82" s="745">
        <v>12.5</v>
      </c>
      <c r="BU82" s="745">
        <v>12.57</v>
      </c>
      <c r="BV82" s="745">
        <v>12.64</v>
      </c>
      <c r="BW82" s="745">
        <v>12.71</v>
      </c>
      <c r="BX82" s="745">
        <v>12.78</v>
      </c>
      <c r="BY82" s="745">
        <v>12.85</v>
      </c>
      <c r="BZ82" s="745">
        <v>12.92</v>
      </c>
      <c r="CA82" s="745">
        <v>12.99</v>
      </c>
      <c r="CB82" s="745">
        <v>13.06</v>
      </c>
      <c r="CC82" s="745">
        <v>13.13</v>
      </c>
      <c r="CD82" s="745">
        <v>13.2</v>
      </c>
      <c r="CE82" s="745">
        <v>13.27</v>
      </c>
      <c r="CF82" s="745">
        <v>13.34</v>
      </c>
      <c r="CG82" s="745">
        <v>13.41</v>
      </c>
      <c r="CH82" s="745">
        <v>13.48</v>
      </c>
      <c r="CI82" s="745">
        <v>13.55</v>
      </c>
      <c r="CJ82" s="745">
        <v>13.61</v>
      </c>
      <c r="CK82" s="745">
        <v>13.68</v>
      </c>
      <c r="CL82" s="745">
        <v>13.75</v>
      </c>
      <c r="CM82" s="745">
        <v>13.82</v>
      </c>
      <c r="CN82" s="745">
        <v>13.88</v>
      </c>
      <c r="CO82" s="745">
        <v>13.95</v>
      </c>
      <c r="CP82" s="745">
        <v>14.02</v>
      </c>
      <c r="CQ82" s="745">
        <v>14.09</v>
      </c>
      <c r="CR82" s="745">
        <v>14.15</v>
      </c>
      <c r="CS82" s="745">
        <v>14.22</v>
      </c>
      <c r="CT82" s="745">
        <v>14.28</v>
      </c>
      <c r="CU82" s="745">
        <v>14.35</v>
      </c>
      <c r="CV82" s="745">
        <v>14.42</v>
      </c>
      <c r="CW82" s="745">
        <v>14.48</v>
      </c>
      <c r="CX82" s="745">
        <v>14.55</v>
      </c>
      <c r="CY82" s="745">
        <v>14.61</v>
      </c>
      <c r="CZ82" s="745">
        <v>14.67</v>
      </c>
      <c r="DA82" s="745">
        <v>14.74</v>
      </c>
      <c r="DB82" s="745">
        <v>14.8</v>
      </c>
      <c r="DC82" s="745">
        <v>14.87</v>
      </c>
      <c r="DD82" s="745">
        <v>14.93</v>
      </c>
      <c r="DE82" s="745">
        <v>14.99</v>
      </c>
      <c r="DF82" s="745">
        <v>15.06</v>
      </c>
      <c r="DG82" s="745">
        <v>15.12</v>
      </c>
      <c r="DH82" s="745">
        <v>15.18</v>
      </c>
      <c r="DI82" s="745">
        <v>15.24</v>
      </c>
      <c r="DJ82" s="745">
        <v>15.3</v>
      </c>
      <c r="DK82" s="745">
        <v>15.37</v>
      </c>
      <c r="DL82" s="745">
        <v>15.43</v>
      </c>
      <c r="DM82" s="745">
        <v>15.49</v>
      </c>
      <c r="DN82" s="745">
        <v>15.55</v>
      </c>
      <c r="DO82" s="745">
        <v>15.61</v>
      </c>
      <c r="DP82" s="745">
        <v>15.67</v>
      </c>
      <c r="DQ82" s="745">
        <v>15.73</v>
      </c>
      <c r="DR82" s="745">
        <v>15.79</v>
      </c>
    </row>
    <row r="83" spans="1:122">
      <c r="A83" s="918">
        <v>81</v>
      </c>
      <c r="B83" s="90"/>
      <c r="C83" s="90"/>
      <c r="D83" s="90"/>
      <c r="E83" s="90"/>
      <c r="F83" s="90"/>
      <c r="G83" s="90"/>
      <c r="H83" s="90"/>
      <c r="I83" s="90"/>
      <c r="J83" s="90"/>
      <c r="K83" s="90"/>
      <c r="L83" s="90"/>
      <c r="M83" s="90"/>
      <c r="N83" s="90"/>
      <c r="O83" s="90"/>
      <c r="P83" s="90"/>
      <c r="Q83" s="90"/>
      <c r="R83" s="90"/>
      <c r="S83" s="90"/>
      <c r="T83" s="90"/>
      <c r="U83" s="90"/>
      <c r="V83" s="745"/>
      <c r="W83" s="745">
        <v>8.2899999999999991</v>
      </c>
      <c r="X83" s="745">
        <v>8.34</v>
      </c>
      <c r="Y83" s="745">
        <v>8.41</v>
      </c>
      <c r="Z83" s="745">
        <v>8.48</v>
      </c>
      <c r="AA83" s="745">
        <v>8.52</v>
      </c>
      <c r="AB83" s="745">
        <v>8.59</v>
      </c>
      <c r="AC83" s="745">
        <v>8.67</v>
      </c>
      <c r="AD83" s="745">
        <v>8.7200000000000006</v>
      </c>
      <c r="AE83" s="745">
        <v>8.7799999999999994</v>
      </c>
      <c r="AF83" s="745">
        <v>8.8699999999999992</v>
      </c>
      <c r="AG83" s="745">
        <v>8.92</v>
      </c>
      <c r="AH83" s="745">
        <v>9</v>
      </c>
      <c r="AI83" s="745">
        <v>9.07</v>
      </c>
      <c r="AJ83" s="745">
        <v>9.16</v>
      </c>
      <c r="AK83" s="745">
        <v>9.25</v>
      </c>
      <c r="AL83" s="745">
        <v>9.34</v>
      </c>
      <c r="AM83" s="745">
        <v>9.43</v>
      </c>
      <c r="AN83" s="745">
        <v>9.5</v>
      </c>
      <c r="AO83" s="745">
        <v>9.58</v>
      </c>
      <c r="AP83" s="745">
        <v>9.65</v>
      </c>
      <c r="AQ83" s="745">
        <v>9.7200000000000006</v>
      </c>
      <c r="AR83" s="745">
        <v>9.8000000000000007</v>
      </c>
      <c r="AS83" s="745">
        <v>9.8699999999999992</v>
      </c>
      <c r="AT83" s="745">
        <v>9.94</v>
      </c>
      <c r="AU83" s="745">
        <v>10.01</v>
      </c>
      <c r="AV83" s="745">
        <v>10.08</v>
      </c>
      <c r="AW83" s="745">
        <v>10.15</v>
      </c>
      <c r="AX83" s="745">
        <v>10.220000000000001</v>
      </c>
      <c r="AY83" s="745">
        <v>10.29</v>
      </c>
      <c r="AZ83" s="745">
        <v>10.36</v>
      </c>
      <c r="BA83" s="745">
        <v>10.43</v>
      </c>
      <c r="BB83" s="745">
        <v>10.5</v>
      </c>
      <c r="BC83" s="745">
        <v>10.57</v>
      </c>
      <c r="BD83" s="745">
        <v>10.64</v>
      </c>
      <c r="BE83" s="745">
        <v>10.71</v>
      </c>
      <c r="BF83" s="745">
        <v>10.78</v>
      </c>
      <c r="BG83" s="745">
        <v>10.85</v>
      </c>
      <c r="BH83" s="745">
        <v>10.92</v>
      </c>
      <c r="BI83" s="745">
        <v>10.99</v>
      </c>
      <c r="BJ83" s="745">
        <v>11.06</v>
      </c>
      <c r="BK83" s="745">
        <v>11.13</v>
      </c>
      <c r="BL83" s="745">
        <v>11.2</v>
      </c>
      <c r="BM83" s="745">
        <v>11.27</v>
      </c>
      <c r="BN83" s="745">
        <v>11.34</v>
      </c>
      <c r="BO83" s="745">
        <v>11.41</v>
      </c>
      <c r="BP83" s="745">
        <v>11.48</v>
      </c>
      <c r="BQ83" s="745">
        <v>11.54</v>
      </c>
      <c r="BR83" s="745">
        <v>11.61</v>
      </c>
      <c r="BS83" s="745">
        <v>11.68</v>
      </c>
      <c r="BT83" s="745">
        <v>11.75</v>
      </c>
      <c r="BU83" s="745">
        <v>11.82</v>
      </c>
      <c r="BV83" s="745">
        <v>11.89</v>
      </c>
      <c r="BW83" s="745">
        <v>11.95</v>
      </c>
      <c r="BX83" s="745">
        <v>12.02</v>
      </c>
      <c r="BY83" s="745">
        <v>12.09</v>
      </c>
      <c r="BZ83" s="745">
        <v>12.16</v>
      </c>
      <c r="CA83" s="745">
        <v>12.22</v>
      </c>
      <c r="CB83" s="745">
        <v>12.29</v>
      </c>
      <c r="CC83" s="745">
        <v>12.36</v>
      </c>
      <c r="CD83" s="745">
        <v>12.43</v>
      </c>
      <c r="CE83" s="745">
        <v>12.49</v>
      </c>
      <c r="CF83" s="745">
        <v>12.56</v>
      </c>
      <c r="CG83" s="745">
        <v>12.63</v>
      </c>
      <c r="CH83" s="745">
        <v>12.69</v>
      </c>
      <c r="CI83" s="745">
        <v>12.76</v>
      </c>
      <c r="CJ83" s="745">
        <v>12.82</v>
      </c>
      <c r="CK83" s="745">
        <v>12.89</v>
      </c>
      <c r="CL83" s="745">
        <v>12.96</v>
      </c>
      <c r="CM83" s="745">
        <v>13.02</v>
      </c>
      <c r="CN83" s="745">
        <v>13.09</v>
      </c>
      <c r="CO83" s="745">
        <v>13.15</v>
      </c>
      <c r="CP83" s="745">
        <v>13.22</v>
      </c>
      <c r="CQ83" s="745">
        <v>13.28</v>
      </c>
      <c r="CR83" s="745">
        <v>13.34</v>
      </c>
      <c r="CS83" s="745">
        <v>13.41</v>
      </c>
      <c r="CT83" s="745">
        <v>13.47</v>
      </c>
      <c r="CU83" s="745">
        <v>13.54</v>
      </c>
      <c r="CV83" s="745">
        <v>13.6</v>
      </c>
      <c r="CW83" s="745">
        <v>13.66</v>
      </c>
      <c r="CX83" s="745">
        <v>13.72</v>
      </c>
      <c r="CY83" s="745">
        <v>13.79</v>
      </c>
      <c r="CZ83" s="745">
        <v>13.85</v>
      </c>
      <c r="DA83" s="745">
        <v>13.91</v>
      </c>
      <c r="DB83" s="745">
        <v>13.97</v>
      </c>
      <c r="DC83" s="745">
        <v>14.03</v>
      </c>
      <c r="DD83" s="745">
        <v>14.1</v>
      </c>
      <c r="DE83" s="745">
        <v>14.16</v>
      </c>
      <c r="DF83" s="745">
        <v>14.22</v>
      </c>
      <c r="DG83" s="745">
        <v>14.28</v>
      </c>
      <c r="DH83" s="745">
        <v>14.34</v>
      </c>
      <c r="DI83" s="745">
        <v>14.4</v>
      </c>
      <c r="DJ83" s="745">
        <v>14.46</v>
      </c>
      <c r="DK83" s="745">
        <v>14.52</v>
      </c>
      <c r="DL83" s="745">
        <v>14.58</v>
      </c>
      <c r="DM83" s="745">
        <v>14.64</v>
      </c>
      <c r="DN83" s="745">
        <v>14.69</v>
      </c>
      <c r="DO83" s="745">
        <v>14.75</v>
      </c>
      <c r="DP83" s="745">
        <v>14.81</v>
      </c>
      <c r="DQ83" s="745">
        <v>14.87</v>
      </c>
      <c r="DR83" s="745">
        <v>14.93</v>
      </c>
    </row>
    <row r="84" spans="1:122">
      <c r="A84" s="918">
        <v>82</v>
      </c>
      <c r="B84" s="90"/>
      <c r="C84" s="90"/>
      <c r="D84" s="90"/>
      <c r="E84" s="90"/>
      <c r="F84" s="90"/>
      <c r="G84" s="90"/>
      <c r="H84" s="90"/>
      <c r="I84" s="90"/>
      <c r="J84" s="90"/>
      <c r="K84" s="90"/>
      <c r="L84" s="90"/>
      <c r="M84" s="90"/>
      <c r="N84" s="90"/>
      <c r="O84" s="90"/>
      <c r="P84" s="90"/>
      <c r="Q84" s="90"/>
      <c r="R84" s="90"/>
      <c r="S84" s="90"/>
      <c r="T84" s="90"/>
      <c r="U84" s="90"/>
      <c r="V84" s="745"/>
      <c r="W84" s="745">
        <v>7.76</v>
      </c>
      <c r="X84" s="745">
        <v>7.79</v>
      </c>
      <c r="Y84" s="745">
        <v>7.85</v>
      </c>
      <c r="Z84" s="745">
        <v>7.91</v>
      </c>
      <c r="AA84" s="745">
        <v>7.95</v>
      </c>
      <c r="AB84" s="745">
        <v>8.02</v>
      </c>
      <c r="AC84" s="745">
        <v>8.09</v>
      </c>
      <c r="AD84" s="745">
        <v>8.1300000000000008</v>
      </c>
      <c r="AE84" s="745">
        <v>8.19</v>
      </c>
      <c r="AF84" s="745">
        <v>8.2799999999999994</v>
      </c>
      <c r="AG84" s="745">
        <v>8.34</v>
      </c>
      <c r="AH84" s="745">
        <v>8.39</v>
      </c>
      <c r="AI84" s="745">
        <v>8.48</v>
      </c>
      <c r="AJ84" s="745">
        <v>8.5500000000000007</v>
      </c>
      <c r="AK84" s="745">
        <v>8.65</v>
      </c>
      <c r="AL84" s="745">
        <v>8.73</v>
      </c>
      <c r="AM84" s="745">
        <v>8.8000000000000007</v>
      </c>
      <c r="AN84" s="745">
        <v>8.8800000000000008</v>
      </c>
      <c r="AO84" s="745">
        <v>8.9499999999999993</v>
      </c>
      <c r="AP84" s="745">
        <v>9.02</v>
      </c>
      <c r="AQ84" s="745">
        <v>9.09</v>
      </c>
      <c r="AR84" s="745">
        <v>9.16</v>
      </c>
      <c r="AS84" s="745">
        <v>9.2200000000000006</v>
      </c>
      <c r="AT84" s="745">
        <v>9.2899999999999991</v>
      </c>
      <c r="AU84" s="745">
        <v>9.36</v>
      </c>
      <c r="AV84" s="745">
        <v>9.43</v>
      </c>
      <c r="AW84" s="745">
        <v>9.5</v>
      </c>
      <c r="AX84" s="745">
        <v>9.56</v>
      </c>
      <c r="AY84" s="745">
        <v>9.6300000000000008</v>
      </c>
      <c r="AZ84" s="745">
        <v>9.6999999999999993</v>
      </c>
      <c r="BA84" s="745">
        <v>9.76</v>
      </c>
      <c r="BB84" s="745">
        <v>9.83</v>
      </c>
      <c r="BC84" s="745">
        <v>9.9</v>
      </c>
      <c r="BD84" s="745">
        <v>9.9600000000000009</v>
      </c>
      <c r="BE84" s="745">
        <v>10.029999999999999</v>
      </c>
      <c r="BF84" s="745">
        <v>10.1</v>
      </c>
      <c r="BG84" s="745">
        <v>10.16</v>
      </c>
      <c r="BH84" s="745">
        <v>10.23</v>
      </c>
      <c r="BI84" s="745">
        <v>10.29</v>
      </c>
      <c r="BJ84" s="745">
        <v>10.36</v>
      </c>
      <c r="BK84" s="745">
        <v>10.43</v>
      </c>
      <c r="BL84" s="745">
        <v>10.49</v>
      </c>
      <c r="BM84" s="745">
        <v>10.56</v>
      </c>
      <c r="BN84" s="745">
        <v>10.63</v>
      </c>
      <c r="BO84" s="745">
        <v>10.69</v>
      </c>
      <c r="BP84" s="745">
        <v>10.76</v>
      </c>
      <c r="BQ84" s="745">
        <v>10.82</v>
      </c>
      <c r="BR84" s="745">
        <v>10.89</v>
      </c>
      <c r="BS84" s="745">
        <v>10.96</v>
      </c>
      <c r="BT84" s="745">
        <v>11.02</v>
      </c>
      <c r="BU84" s="745">
        <v>11.09</v>
      </c>
      <c r="BV84" s="745">
        <v>11.15</v>
      </c>
      <c r="BW84" s="745">
        <v>11.22</v>
      </c>
      <c r="BX84" s="745">
        <v>11.28</v>
      </c>
      <c r="BY84" s="745">
        <v>11.35</v>
      </c>
      <c r="BZ84" s="745">
        <v>11.41</v>
      </c>
      <c r="CA84" s="745">
        <v>11.48</v>
      </c>
      <c r="CB84" s="745">
        <v>11.54</v>
      </c>
      <c r="CC84" s="745">
        <v>11.61</v>
      </c>
      <c r="CD84" s="745">
        <v>11.67</v>
      </c>
      <c r="CE84" s="745">
        <v>11.73</v>
      </c>
      <c r="CF84" s="745">
        <v>11.8</v>
      </c>
      <c r="CG84" s="745">
        <v>11.86</v>
      </c>
      <c r="CH84" s="745">
        <v>11.93</v>
      </c>
      <c r="CI84" s="745">
        <v>11.99</v>
      </c>
      <c r="CJ84" s="745">
        <v>12.05</v>
      </c>
      <c r="CK84" s="745">
        <v>12.12</v>
      </c>
      <c r="CL84" s="745">
        <v>12.18</v>
      </c>
      <c r="CM84" s="745">
        <v>12.24</v>
      </c>
      <c r="CN84" s="745">
        <v>12.3</v>
      </c>
      <c r="CO84" s="745">
        <v>12.37</v>
      </c>
      <c r="CP84" s="745">
        <v>12.43</v>
      </c>
      <c r="CQ84" s="745">
        <v>12.49</v>
      </c>
      <c r="CR84" s="745">
        <v>12.55</v>
      </c>
      <c r="CS84" s="745">
        <v>12.61</v>
      </c>
      <c r="CT84" s="745">
        <v>12.68</v>
      </c>
      <c r="CU84" s="745">
        <v>12.74</v>
      </c>
      <c r="CV84" s="745">
        <v>12.8</v>
      </c>
      <c r="CW84" s="745">
        <v>12.86</v>
      </c>
      <c r="CX84" s="745">
        <v>12.92</v>
      </c>
      <c r="CY84" s="745">
        <v>12.98</v>
      </c>
      <c r="CZ84" s="745">
        <v>13.04</v>
      </c>
      <c r="DA84" s="745">
        <v>13.1</v>
      </c>
      <c r="DB84" s="745">
        <v>13.16</v>
      </c>
      <c r="DC84" s="745">
        <v>13.22</v>
      </c>
      <c r="DD84" s="745">
        <v>13.28</v>
      </c>
      <c r="DE84" s="745">
        <v>13.34</v>
      </c>
      <c r="DF84" s="745">
        <v>13.4</v>
      </c>
      <c r="DG84" s="745">
        <v>13.45</v>
      </c>
      <c r="DH84" s="745">
        <v>13.51</v>
      </c>
      <c r="DI84" s="745">
        <v>13.57</v>
      </c>
      <c r="DJ84" s="745">
        <v>13.63</v>
      </c>
      <c r="DK84" s="745">
        <v>13.69</v>
      </c>
      <c r="DL84" s="745">
        <v>13.74</v>
      </c>
      <c r="DM84" s="745">
        <v>13.8</v>
      </c>
      <c r="DN84" s="745">
        <v>13.86</v>
      </c>
      <c r="DO84" s="745">
        <v>13.91</v>
      </c>
      <c r="DP84" s="745">
        <v>13.97</v>
      </c>
      <c r="DQ84" s="745">
        <v>14.02</v>
      </c>
      <c r="DR84" s="745">
        <v>14.08</v>
      </c>
    </row>
    <row r="85" spans="1:122">
      <c r="A85" s="918">
        <v>83</v>
      </c>
      <c r="B85" s="90"/>
      <c r="C85" s="90"/>
      <c r="D85" s="90"/>
      <c r="E85" s="90"/>
      <c r="F85" s="90"/>
      <c r="G85" s="90"/>
      <c r="H85" s="90"/>
      <c r="I85" s="90"/>
      <c r="J85" s="90"/>
      <c r="K85" s="90"/>
      <c r="L85" s="90"/>
      <c r="M85" s="90"/>
      <c r="N85" s="90"/>
      <c r="O85" s="90"/>
      <c r="P85" s="90"/>
      <c r="Q85" s="90"/>
      <c r="R85" s="90"/>
      <c r="S85" s="90"/>
      <c r="T85" s="90"/>
      <c r="U85" s="90"/>
      <c r="V85" s="745"/>
      <c r="W85" s="745">
        <v>7.24</v>
      </c>
      <c r="X85" s="745">
        <v>7.25</v>
      </c>
      <c r="Y85" s="745">
        <v>7.31</v>
      </c>
      <c r="Z85" s="745">
        <v>7.36</v>
      </c>
      <c r="AA85" s="745">
        <v>7.4</v>
      </c>
      <c r="AB85" s="745">
        <v>7.48</v>
      </c>
      <c r="AC85" s="745">
        <v>7.53</v>
      </c>
      <c r="AD85" s="745">
        <v>7.58</v>
      </c>
      <c r="AE85" s="745">
        <v>7.63</v>
      </c>
      <c r="AF85" s="745">
        <v>7.72</v>
      </c>
      <c r="AG85" s="745">
        <v>7.76</v>
      </c>
      <c r="AH85" s="745">
        <v>7.83</v>
      </c>
      <c r="AI85" s="745">
        <v>7.9</v>
      </c>
      <c r="AJ85" s="745">
        <v>7.99</v>
      </c>
      <c r="AK85" s="745">
        <v>8.07</v>
      </c>
      <c r="AL85" s="745">
        <v>8.14</v>
      </c>
      <c r="AM85" s="745">
        <v>8.2100000000000009</v>
      </c>
      <c r="AN85" s="745">
        <v>8.27</v>
      </c>
      <c r="AO85" s="745">
        <v>8.34</v>
      </c>
      <c r="AP85" s="745">
        <v>8.41</v>
      </c>
      <c r="AQ85" s="745">
        <v>8.4700000000000006</v>
      </c>
      <c r="AR85" s="745">
        <v>8.5399999999999991</v>
      </c>
      <c r="AS85" s="745">
        <v>8.6</v>
      </c>
      <c r="AT85" s="745">
        <v>8.67</v>
      </c>
      <c r="AU85" s="745">
        <v>8.73</v>
      </c>
      <c r="AV85" s="745">
        <v>8.8000000000000007</v>
      </c>
      <c r="AW85" s="745">
        <v>8.86</v>
      </c>
      <c r="AX85" s="745">
        <v>8.92</v>
      </c>
      <c r="AY85" s="745">
        <v>8.99</v>
      </c>
      <c r="AZ85" s="745">
        <v>9.0500000000000007</v>
      </c>
      <c r="BA85" s="745">
        <v>9.11</v>
      </c>
      <c r="BB85" s="745">
        <v>9.18</v>
      </c>
      <c r="BC85" s="745">
        <v>9.24</v>
      </c>
      <c r="BD85" s="745">
        <v>9.3000000000000007</v>
      </c>
      <c r="BE85" s="745">
        <v>9.3699999999999992</v>
      </c>
      <c r="BF85" s="745">
        <v>9.43</v>
      </c>
      <c r="BG85" s="745">
        <v>9.49</v>
      </c>
      <c r="BH85" s="745">
        <v>9.56</v>
      </c>
      <c r="BI85" s="745">
        <v>9.6199999999999992</v>
      </c>
      <c r="BJ85" s="745">
        <v>9.68</v>
      </c>
      <c r="BK85" s="745">
        <v>9.75</v>
      </c>
      <c r="BL85" s="745">
        <v>9.81</v>
      </c>
      <c r="BM85" s="745">
        <v>9.8699999999999992</v>
      </c>
      <c r="BN85" s="745">
        <v>9.94</v>
      </c>
      <c r="BO85" s="745">
        <v>10</v>
      </c>
      <c r="BP85" s="745">
        <v>10.06</v>
      </c>
      <c r="BQ85" s="745">
        <v>10.130000000000001</v>
      </c>
      <c r="BR85" s="745">
        <v>10.19</v>
      </c>
      <c r="BS85" s="745">
        <v>10.25</v>
      </c>
      <c r="BT85" s="745">
        <v>10.31</v>
      </c>
      <c r="BU85" s="745">
        <v>10.38</v>
      </c>
      <c r="BV85" s="745">
        <v>10.44</v>
      </c>
      <c r="BW85" s="745">
        <v>10.5</v>
      </c>
      <c r="BX85" s="745">
        <v>10.56</v>
      </c>
      <c r="BY85" s="745">
        <v>10.63</v>
      </c>
      <c r="BZ85" s="745">
        <v>10.69</v>
      </c>
      <c r="CA85" s="745">
        <v>10.75</v>
      </c>
      <c r="CB85" s="745">
        <v>10.81</v>
      </c>
      <c r="CC85" s="745">
        <v>10.87</v>
      </c>
      <c r="CD85" s="745">
        <v>10.94</v>
      </c>
      <c r="CE85" s="745">
        <v>11</v>
      </c>
      <c r="CF85" s="745">
        <v>11.06</v>
      </c>
      <c r="CG85" s="745">
        <v>11.12</v>
      </c>
      <c r="CH85" s="745">
        <v>11.18</v>
      </c>
      <c r="CI85" s="745">
        <v>11.24</v>
      </c>
      <c r="CJ85" s="745">
        <v>11.3</v>
      </c>
      <c r="CK85" s="745">
        <v>11.36</v>
      </c>
      <c r="CL85" s="745">
        <v>11.42</v>
      </c>
      <c r="CM85" s="745">
        <v>11.48</v>
      </c>
      <c r="CN85" s="745">
        <v>11.54</v>
      </c>
      <c r="CO85" s="745">
        <v>11.6</v>
      </c>
      <c r="CP85" s="745">
        <v>11.66</v>
      </c>
      <c r="CQ85" s="745">
        <v>11.72</v>
      </c>
      <c r="CR85" s="745">
        <v>11.78</v>
      </c>
      <c r="CS85" s="745">
        <v>11.84</v>
      </c>
      <c r="CT85" s="745">
        <v>11.9</v>
      </c>
      <c r="CU85" s="745">
        <v>11.96</v>
      </c>
      <c r="CV85" s="745">
        <v>12.02</v>
      </c>
      <c r="CW85" s="745">
        <v>12.08</v>
      </c>
      <c r="CX85" s="745">
        <v>12.13</v>
      </c>
      <c r="CY85" s="745">
        <v>12.19</v>
      </c>
      <c r="CZ85" s="745">
        <v>12.25</v>
      </c>
      <c r="DA85" s="745">
        <v>12.31</v>
      </c>
      <c r="DB85" s="745">
        <v>12.36</v>
      </c>
      <c r="DC85" s="745">
        <v>12.42</v>
      </c>
      <c r="DD85" s="745">
        <v>12.48</v>
      </c>
      <c r="DE85" s="745">
        <v>12.54</v>
      </c>
      <c r="DF85" s="745">
        <v>12.59</v>
      </c>
      <c r="DG85" s="745">
        <v>12.65</v>
      </c>
      <c r="DH85" s="745">
        <v>12.7</v>
      </c>
      <c r="DI85" s="745">
        <v>12.76</v>
      </c>
      <c r="DJ85" s="745">
        <v>12.81</v>
      </c>
      <c r="DK85" s="745">
        <v>12.87</v>
      </c>
      <c r="DL85" s="745">
        <v>12.93</v>
      </c>
      <c r="DM85" s="745">
        <v>12.98</v>
      </c>
      <c r="DN85" s="745">
        <v>13.03</v>
      </c>
      <c r="DO85" s="745">
        <v>13.09</v>
      </c>
      <c r="DP85" s="745">
        <v>13.14</v>
      </c>
      <c r="DQ85" s="745">
        <v>13.2</v>
      </c>
      <c r="DR85" s="745">
        <v>13.25</v>
      </c>
    </row>
    <row r="86" spans="1:122">
      <c r="A86" s="918">
        <v>84</v>
      </c>
      <c r="B86" s="90"/>
      <c r="C86" s="90"/>
      <c r="D86" s="90"/>
      <c r="E86" s="90"/>
      <c r="F86" s="90"/>
      <c r="G86" s="90"/>
      <c r="H86" s="90"/>
      <c r="I86" s="90"/>
      <c r="J86" s="90"/>
      <c r="K86" s="90"/>
      <c r="L86" s="90"/>
      <c r="M86" s="90"/>
      <c r="N86" s="90"/>
      <c r="O86" s="90"/>
      <c r="P86" s="90"/>
      <c r="Q86" s="90"/>
      <c r="R86" s="90"/>
      <c r="S86" s="90"/>
      <c r="T86" s="90"/>
      <c r="U86" s="90"/>
      <c r="V86" s="745"/>
      <c r="W86" s="745">
        <v>6.74</v>
      </c>
      <c r="X86" s="745">
        <v>6.74</v>
      </c>
      <c r="Y86" s="745">
        <v>6.79</v>
      </c>
      <c r="Z86" s="745">
        <v>6.84</v>
      </c>
      <c r="AA86" s="745">
        <v>6.89</v>
      </c>
      <c r="AB86" s="745">
        <v>6.95</v>
      </c>
      <c r="AC86" s="745">
        <v>7</v>
      </c>
      <c r="AD86" s="745">
        <v>7.04</v>
      </c>
      <c r="AE86" s="745">
        <v>7.11</v>
      </c>
      <c r="AF86" s="745">
        <v>7.17</v>
      </c>
      <c r="AG86" s="745">
        <v>7.22</v>
      </c>
      <c r="AH86" s="745">
        <v>7.28</v>
      </c>
      <c r="AI86" s="745">
        <v>7.36</v>
      </c>
      <c r="AJ86" s="745">
        <v>7.44</v>
      </c>
      <c r="AK86" s="745">
        <v>7.5</v>
      </c>
      <c r="AL86" s="745">
        <v>7.57</v>
      </c>
      <c r="AM86" s="745">
        <v>7.63</v>
      </c>
      <c r="AN86" s="745">
        <v>7.7</v>
      </c>
      <c r="AO86" s="745">
        <v>7.76</v>
      </c>
      <c r="AP86" s="745">
        <v>7.82</v>
      </c>
      <c r="AQ86" s="745">
        <v>7.88</v>
      </c>
      <c r="AR86" s="745">
        <v>7.95</v>
      </c>
      <c r="AS86" s="745">
        <v>8.01</v>
      </c>
      <c r="AT86" s="745">
        <v>8.07</v>
      </c>
      <c r="AU86" s="745">
        <v>8.1300000000000008</v>
      </c>
      <c r="AV86" s="745">
        <v>8.19</v>
      </c>
      <c r="AW86" s="745">
        <v>8.25</v>
      </c>
      <c r="AX86" s="745">
        <v>8.31</v>
      </c>
      <c r="AY86" s="745">
        <v>8.3699999999999992</v>
      </c>
      <c r="AZ86" s="745">
        <v>8.43</v>
      </c>
      <c r="BA86" s="745">
        <v>8.49</v>
      </c>
      <c r="BB86" s="745">
        <v>8.5500000000000007</v>
      </c>
      <c r="BC86" s="745">
        <v>8.61</v>
      </c>
      <c r="BD86" s="745">
        <v>8.67</v>
      </c>
      <c r="BE86" s="745">
        <v>8.73</v>
      </c>
      <c r="BF86" s="745">
        <v>8.7899999999999991</v>
      </c>
      <c r="BG86" s="745">
        <v>8.85</v>
      </c>
      <c r="BH86" s="745">
        <v>8.91</v>
      </c>
      <c r="BI86" s="745">
        <v>8.9700000000000006</v>
      </c>
      <c r="BJ86" s="745">
        <v>9.0299999999999994</v>
      </c>
      <c r="BK86" s="745">
        <v>9.09</v>
      </c>
      <c r="BL86" s="745">
        <v>9.15</v>
      </c>
      <c r="BM86" s="745">
        <v>9.2100000000000009</v>
      </c>
      <c r="BN86" s="745">
        <v>9.27</v>
      </c>
      <c r="BO86" s="745">
        <v>9.33</v>
      </c>
      <c r="BP86" s="745">
        <v>9.39</v>
      </c>
      <c r="BQ86" s="745">
        <v>9.4499999999999993</v>
      </c>
      <c r="BR86" s="745">
        <v>9.51</v>
      </c>
      <c r="BS86" s="745">
        <v>9.57</v>
      </c>
      <c r="BT86" s="745">
        <v>9.6300000000000008</v>
      </c>
      <c r="BU86" s="745">
        <v>9.69</v>
      </c>
      <c r="BV86" s="745">
        <v>9.75</v>
      </c>
      <c r="BW86" s="745">
        <v>9.81</v>
      </c>
      <c r="BX86" s="745">
        <v>9.8699999999999992</v>
      </c>
      <c r="BY86" s="745">
        <v>9.93</v>
      </c>
      <c r="BZ86" s="745">
        <v>9.99</v>
      </c>
      <c r="CA86" s="745">
        <v>10.050000000000001</v>
      </c>
      <c r="CB86" s="745">
        <v>10.11</v>
      </c>
      <c r="CC86" s="745">
        <v>10.17</v>
      </c>
      <c r="CD86" s="745">
        <v>10.220000000000001</v>
      </c>
      <c r="CE86" s="745">
        <v>10.28</v>
      </c>
      <c r="CF86" s="745">
        <v>10.34</v>
      </c>
      <c r="CG86" s="745">
        <v>10.4</v>
      </c>
      <c r="CH86" s="745">
        <v>10.46</v>
      </c>
      <c r="CI86" s="745">
        <v>10.52</v>
      </c>
      <c r="CJ86" s="745">
        <v>10.57</v>
      </c>
      <c r="CK86" s="745">
        <v>10.63</v>
      </c>
      <c r="CL86" s="745">
        <v>10.69</v>
      </c>
      <c r="CM86" s="745">
        <v>10.75</v>
      </c>
      <c r="CN86" s="745">
        <v>10.8</v>
      </c>
      <c r="CO86" s="745">
        <v>10.86</v>
      </c>
      <c r="CP86" s="745">
        <v>10.92</v>
      </c>
      <c r="CQ86" s="745">
        <v>10.98</v>
      </c>
      <c r="CR86" s="745">
        <v>11.03</v>
      </c>
      <c r="CS86" s="745">
        <v>11.09</v>
      </c>
      <c r="CT86" s="745">
        <v>11.15</v>
      </c>
      <c r="CU86" s="745">
        <v>11.2</v>
      </c>
      <c r="CV86" s="745">
        <v>11.26</v>
      </c>
      <c r="CW86" s="745">
        <v>11.31</v>
      </c>
      <c r="CX86" s="745">
        <v>11.37</v>
      </c>
      <c r="CY86" s="745">
        <v>11.42</v>
      </c>
      <c r="CZ86" s="745">
        <v>11.48</v>
      </c>
      <c r="DA86" s="745">
        <v>11.54</v>
      </c>
      <c r="DB86" s="745">
        <v>11.59</v>
      </c>
      <c r="DC86" s="745">
        <v>11.64</v>
      </c>
      <c r="DD86" s="745">
        <v>11.7</v>
      </c>
      <c r="DE86" s="745">
        <v>11.75</v>
      </c>
      <c r="DF86" s="745">
        <v>11.81</v>
      </c>
      <c r="DG86" s="745">
        <v>11.86</v>
      </c>
      <c r="DH86" s="745">
        <v>11.92</v>
      </c>
      <c r="DI86" s="745">
        <v>11.97</v>
      </c>
      <c r="DJ86" s="745">
        <v>12.02</v>
      </c>
      <c r="DK86" s="745">
        <v>12.07</v>
      </c>
      <c r="DL86" s="745">
        <v>12.13</v>
      </c>
      <c r="DM86" s="745">
        <v>12.18</v>
      </c>
      <c r="DN86" s="745">
        <v>12.23</v>
      </c>
      <c r="DO86" s="745">
        <v>12.28</v>
      </c>
      <c r="DP86" s="745">
        <v>12.34</v>
      </c>
      <c r="DQ86" s="745">
        <v>12.39</v>
      </c>
      <c r="DR86" s="745">
        <v>12.44</v>
      </c>
    </row>
    <row r="87" spans="1:122">
      <c r="A87" s="918">
        <v>85</v>
      </c>
      <c r="B87" s="90"/>
      <c r="C87" s="90"/>
      <c r="D87" s="90"/>
      <c r="E87" s="90"/>
      <c r="F87" s="90"/>
      <c r="G87" s="90"/>
      <c r="H87" s="90"/>
      <c r="I87" s="90"/>
      <c r="J87" s="90"/>
      <c r="K87" s="90"/>
      <c r="L87" s="90"/>
      <c r="M87" s="90"/>
      <c r="N87" s="90"/>
      <c r="O87" s="90"/>
      <c r="P87" s="90"/>
      <c r="Q87" s="90"/>
      <c r="R87" s="90"/>
      <c r="S87" s="90"/>
      <c r="T87" s="90"/>
      <c r="U87" s="90"/>
      <c r="V87" s="745"/>
      <c r="W87" s="745">
        <v>6.25</v>
      </c>
      <c r="X87" s="745">
        <v>6.24</v>
      </c>
      <c r="Y87" s="745">
        <v>6.29</v>
      </c>
      <c r="Z87" s="745">
        <v>6.35</v>
      </c>
      <c r="AA87" s="745">
        <v>6.39</v>
      </c>
      <c r="AB87" s="745">
        <v>6.44</v>
      </c>
      <c r="AC87" s="745">
        <v>6.5</v>
      </c>
      <c r="AD87" s="745">
        <v>6.55</v>
      </c>
      <c r="AE87" s="745">
        <v>6.59</v>
      </c>
      <c r="AF87" s="745">
        <v>6.67</v>
      </c>
      <c r="AG87" s="745">
        <v>6.7</v>
      </c>
      <c r="AH87" s="745">
        <v>6.76</v>
      </c>
      <c r="AI87" s="745">
        <v>6.85</v>
      </c>
      <c r="AJ87" s="745">
        <v>6.9</v>
      </c>
      <c r="AK87" s="745">
        <v>6.97</v>
      </c>
      <c r="AL87" s="745">
        <v>7.03</v>
      </c>
      <c r="AM87" s="745">
        <v>7.09</v>
      </c>
      <c r="AN87" s="745">
        <v>7.15</v>
      </c>
      <c r="AO87" s="745">
        <v>7.21</v>
      </c>
      <c r="AP87" s="745">
        <v>7.27</v>
      </c>
      <c r="AQ87" s="745">
        <v>7.33</v>
      </c>
      <c r="AR87" s="745">
        <v>7.38</v>
      </c>
      <c r="AS87" s="745">
        <v>7.44</v>
      </c>
      <c r="AT87" s="745">
        <v>7.5</v>
      </c>
      <c r="AU87" s="745">
        <v>7.56</v>
      </c>
      <c r="AV87" s="745">
        <v>7.61</v>
      </c>
      <c r="AW87" s="745">
        <v>7.67</v>
      </c>
      <c r="AX87" s="745">
        <v>7.73</v>
      </c>
      <c r="AY87" s="745">
        <v>7.78</v>
      </c>
      <c r="AZ87" s="745">
        <v>7.84</v>
      </c>
      <c r="BA87" s="745">
        <v>7.9</v>
      </c>
      <c r="BB87" s="745">
        <v>7.95</v>
      </c>
      <c r="BC87" s="745">
        <v>8.01</v>
      </c>
      <c r="BD87" s="745">
        <v>8.07</v>
      </c>
      <c r="BE87" s="745">
        <v>8.1300000000000008</v>
      </c>
      <c r="BF87" s="745">
        <v>8.18</v>
      </c>
      <c r="BG87" s="745">
        <v>8.24</v>
      </c>
      <c r="BH87" s="745">
        <v>8.3000000000000007</v>
      </c>
      <c r="BI87" s="745">
        <v>8.35</v>
      </c>
      <c r="BJ87" s="745">
        <v>8.41</v>
      </c>
      <c r="BK87" s="745">
        <v>8.4700000000000006</v>
      </c>
      <c r="BL87" s="745">
        <v>8.52</v>
      </c>
      <c r="BM87" s="745">
        <v>8.58</v>
      </c>
      <c r="BN87" s="745">
        <v>8.64</v>
      </c>
      <c r="BO87" s="745">
        <v>8.69</v>
      </c>
      <c r="BP87" s="745">
        <v>8.75</v>
      </c>
      <c r="BQ87" s="745">
        <v>8.81</v>
      </c>
      <c r="BR87" s="745">
        <v>8.86</v>
      </c>
      <c r="BS87" s="745">
        <v>8.92</v>
      </c>
      <c r="BT87" s="745">
        <v>8.98</v>
      </c>
      <c r="BU87" s="745">
        <v>9.0299999999999994</v>
      </c>
      <c r="BV87" s="745">
        <v>9.09</v>
      </c>
      <c r="BW87" s="745">
        <v>9.15</v>
      </c>
      <c r="BX87" s="745">
        <v>9.1999999999999993</v>
      </c>
      <c r="BY87" s="745">
        <v>9.26</v>
      </c>
      <c r="BZ87" s="745">
        <v>9.32</v>
      </c>
      <c r="CA87" s="745">
        <v>9.3699999999999992</v>
      </c>
      <c r="CB87" s="745">
        <v>9.43</v>
      </c>
      <c r="CC87" s="745">
        <v>9.48</v>
      </c>
      <c r="CD87" s="745">
        <v>9.5399999999999991</v>
      </c>
      <c r="CE87" s="745">
        <v>9.6</v>
      </c>
      <c r="CF87" s="745">
        <v>9.65</v>
      </c>
      <c r="CG87" s="745">
        <v>9.7100000000000009</v>
      </c>
      <c r="CH87" s="745">
        <v>9.76</v>
      </c>
      <c r="CI87" s="745">
        <v>9.82</v>
      </c>
      <c r="CJ87" s="745">
        <v>9.8699999999999992</v>
      </c>
      <c r="CK87" s="745">
        <v>9.93</v>
      </c>
      <c r="CL87" s="745">
        <v>9.98</v>
      </c>
      <c r="CM87" s="745">
        <v>10.039999999999999</v>
      </c>
      <c r="CN87" s="745">
        <v>10.09</v>
      </c>
      <c r="CO87" s="745">
        <v>10.15</v>
      </c>
      <c r="CP87" s="745">
        <v>10.199999999999999</v>
      </c>
      <c r="CQ87" s="745">
        <v>10.25</v>
      </c>
      <c r="CR87" s="745">
        <v>10.31</v>
      </c>
      <c r="CS87" s="745">
        <v>10.36</v>
      </c>
      <c r="CT87" s="745">
        <v>10.42</v>
      </c>
      <c r="CU87" s="745">
        <v>10.47</v>
      </c>
      <c r="CV87" s="745">
        <v>10.52</v>
      </c>
      <c r="CW87" s="745">
        <v>10.58</v>
      </c>
      <c r="CX87" s="745">
        <v>10.63</v>
      </c>
      <c r="CY87" s="745">
        <v>10.68</v>
      </c>
      <c r="CZ87" s="745">
        <v>10.73</v>
      </c>
      <c r="DA87" s="745">
        <v>10.79</v>
      </c>
      <c r="DB87" s="745">
        <v>10.84</v>
      </c>
      <c r="DC87" s="745">
        <v>10.89</v>
      </c>
      <c r="DD87" s="745">
        <v>10.94</v>
      </c>
      <c r="DE87" s="745">
        <v>10.99</v>
      </c>
      <c r="DF87" s="745">
        <v>11.05</v>
      </c>
      <c r="DG87" s="745">
        <v>11.1</v>
      </c>
      <c r="DH87" s="745">
        <v>11.15</v>
      </c>
      <c r="DI87" s="745">
        <v>11.2</v>
      </c>
      <c r="DJ87" s="745">
        <v>11.25</v>
      </c>
      <c r="DK87" s="745">
        <v>11.3</v>
      </c>
      <c r="DL87" s="745">
        <v>11.35</v>
      </c>
      <c r="DM87" s="745">
        <v>11.4</v>
      </c>
      <c r="DN87" s="745">
        <v>11.45</v>
      </c>
      <c r="DO87" s="745">
        <v>11.5</v>
      </c>
      <c r="DP87" s="745">
        <v>11.55</v>
      </c>
      <c r="DQ87" s="745">
        <v>11.6</v>
      </c>
      <c r="DR87" s="745">
        <v>11.65</v>
      </c>
    </row>
    <row r="88" spans="1:122">
      <c r="A88" s="918">
        <v>86</v>
      </c>
      <c r="B88" s="90"/>
      <c r="C88" s="90"/>
      <c r="D88" s="90"/>
      <c r="E88" s="90"/>
      <c r="F88" s="90"/>
      <c r="G88" s="90"/>
      <c r="H88" s="90"/>
      <c r="I88" s="90"/>
      <c r="J88" s="90"/>
      <c r="K88" s="90"/>
      <c r="L88" s="90"/>
      <c r="M88" s="90"/>
      <c r="N88" s="90"/>
      <c r="O88" s="90"/>
      <c r="P88" s="90"/>
      <c r="Q88" s="90"/>
      <c r="R88" s="90"/>
      <c r="S88" s="90"/>
      <c r="T88" s="90"/>
      <c r="U88" s="90"/>
      <c r="V88" s="745"/>
      <c r="W88" s="745">
        <v>5.78</v>
      </c>
      <c r="X88" s="745">
        <v>5.78</v>
      </c>
      <c r="Y88" s="745">
        <v>5.84</v>
      </c>
      <c r="Z88" s="745">
        <v>5.88</v>
      </c>
      <c r="AA88" s="745">
        <v>5.91</v>
      </c>
      <c r="AB88" s="745">
        <v>5.97</v>
      </c>
      <c r="AC88" s="745">
        <v>6.03</v>
      </c>
      <c r="AD88" s="745">
        <v>6.06</v>
      </c>
      <c r="AE88" s="745">
        <v>6.11</v>
      </c>
      <c r="AF88" s="745">
        <v>6.17</v>
      </c>
      <c r="AG88" s="745">
        <v>6.22</v>
      </c>
      <c r="AH88" s="745">
        <v>6.28</v>
      </c>
      <c r="AI88" s="745">
        <v>6.34</v>
      </c>
      <c r="AJ88" s="745">
        <v>6.4</v>
      </c>
      <c r="AK88" s="745">
        <v>6.46</v>
      </c>
      <c r="AL88" s="745">
        <v>6.52</v>
      </c>
      <c r="AM88" s="745">
        <v>6.57</v>
      </c>
      <c r="AN88" s="745">
        <v>6.63</v>
      </c>
      <c r="AO88" s="745">
        <v>6.69</v>
      </c>
      <c r="AP88" s="745">
        <v>6.74</v>
      </c>
      <c r="AQ88" s="745">
        <v>6.8</v>
      </c>
      <c r="AR88" s="745">
        <v>6.85</v>
      </c>
      <c r="AS88" s="745">
        <v>6.91</v>
      </c>
      <c r="AT88" s="745">
        <v>6.96</v>
      </c>
      <c r="AU88" s="745">
        <v>7.01</v>
      </c>
      <c r="AV88" s="745">
        <v>7.07</v>
      </c>
      <c r="AW88" s="745">
        <v>7.12</v>
      </c>
      <c r="AX88" s="745">
        <v>7.17</v>
      </c>
      <c r="AY88" s="745">
        <v>7.23</v>
      </c>
      <c r="AZ88" s="745">
        <v>7.28</v>
      </c>
      <c r="BA88" s="745">
        <v>7.33</v>
      </c>
      <c r="BB88" s="745">
        <v>7.39</v>
      </c>
      <c r="BC88" s="745">
        <v>7.44</v>
      </c>
      <c r="BD88" s="745">
        <v>7.49</v>
      </c>
      <c r="BE88" s="745">
        <v>7.55</v>
      </c>
      <c r="BF88" s="745">
        <v>7.6</v>
      </c>
      <c r="BG88" s="745">
        <v>7.66</v>
      </c>
      <c r="BH88" s="745">
        <v>7.71</v>
      </c>
      <c r="BI88" s="745">
        <v>7.76</v>
      </c>
      <c r="BJ88" s="745">
        <v>7.82</v>
      </c>
      <c r="BK88" s="745">
        <v>7.87</v>
      </c>
      <c r="BL88" s="745">
        <v>7.92</v>
      </c>
      <c r="BM88" s="745">
        <v>7.98</v>
      </c>
      <c r="BN88" s="745">
        <v>8.0299999999999994</v>
      </c>
      <c r="BO88" s="745">
        <v>8.08</v>
      </c>
      <c r="BP88" s="745">
        <v>8.14</v>
      </c>
      <c r="BQ88" s="745">
        <v>8.19</v>
      </c>
      <c r="BR88" s="745">
        <v>8.25</v>
      </c>
      <c r="BS88" s="745">
        <v>8.3000000000000007</v>
      </c>
      <c r="BT88" s="745">
        <v>8.35</v>
      </c>
      <c r="BU88" s="745">
        <v>8.41</v>
      </c>
      <c r="BV88" s="745">
        <v>8.4600000000000009</v>
      </c>
      <c r="BW88" s="745">
        <v>8.51</v>
      </c>
      <c r="BX88" s="745">
        <v>8.57</v>
      </c>
      <c r="BY88" s="745">
        <v>8.6199999999999992</v>
      </c>
      <c r="BZ88" s="745">
        <v>8.67</v>
      </c>
      <c r="CA88" s="745">
        <v>8.7200000000000006</v>
      </c>
      <c r="CB88" s="745">
        <v>8.7799999999999994</v>
      </c>
      <c r="CC88" s="745">
        <v>8.83</v>
      </c>
      <c r="CD88" s="745">
        <v>8.8800000000000008</v>
      </c>
      <c r="CE88" s="745">
        <v>8.94</v>
      </c>
      <c r="CF88" s="745">
        <v>8.99</v>
      </c>
      <c r="CG88" s="745">
        <v>9.0399999999999991</v>
      </c>
      <c r="CH88" s="745">
        <v>9.09</v>
      </c>
      <c r="CI88" s="745">
        <v>9.14</v>
      </c>
      <c r="CJ88" s="745">
        <v>9.1999999999999993</v>
      </c>
      <c r="CK88" s="745">
        <v>9.25</v>
      </c>
      <c r="CL88" s="745">
        <v>9.3000000000000007</v>
      </c>
      <c r="CM88" s="745">
        <v>9.35</v>
      </c>
      <c r="CN88" s="745">
        <v>9.4</v>
      </c>
      <c r="CO88" s="745">
        <v>9.4600000000000009</v>
      </c>
      <c r="CP88" s="745">
        <v>9.51</v>
      </c>
      <c r="CQ88" s="745">
        <v>9.56</v>
      </c>
      <c r="CR88" s="745">
        <v>9.61</v>
      </c>
      <c r="CS88" s="745">
        <v>9.66</v>
      </c>
      <c r="CT88" s="745">
        <v>9.7100000000000009</v>
      </c>
      <c r="CU88" s="745">
        <v>9.76</v>
      </c>
      <c r="CV88" s="745">
        <v>9.81</v>
      </c>
      <c r="CW88" s="745">
        <v>9.86</v>
      </c>
      <c r="CX88" s="745">
        <v>9.91</v>
      </c>
      <c r="CY88" s="745">
        <v>9.9600000000000009</v>
      </c>
      <c r="CZ88" s="745">
        <v>10.01</v>
      </c>
      <c r="DA88" s="745">
        <v>10.06</v>
      </c>
      <c r="DB88" s="745">
        <v>10.11</v>
      </c>
      <c r="DC88" s="745">
        <v>10.16</v>
      </c>
      <c r="DD88" s="745">
        <v>10.210000000000001</v>
      </c>
      <c r="DE88" s="745">
        <v>10.26</v>
      </c>
      <c r="DF88" s="745">
        <v>10.31</v>
      </c>
      <c r="DG88" s="745">
        <v>10.36</v>
      </c>
      <c r="DH88" s="745">
        <v>10.41</v>
      </c>
      <c r="DI88" s="745">
        <v>10.46</v>
      </c>
      <c r="DJ88" s="745">
        <v>10.5</v>
      </c>
      <c r="DK88" s="745">
        <v>10.55</v>
      </c>
      <c r="DL88" s="745">
        <v>10.6</v>
      </c>
      <c r="DM88" s="745">
        <v>10.65</v>
      </c>
      <c r="DN88" s="745">
        <v>10.69</v>
      </c>
      <c r="DO88" s="745">
        <v>10.74</v>
      </c>
      <c r="DP88" s="745">
        <v>10.79</v>
      </c>
      <c r="DQ88" s="745">
        <v>10.84</v>
      </c>
      <c r="DR88" s="745">
        <v>10.88</v>
      </c>
    </row>
    <row r="89" spans="1:122">
      <c r="A89" s="918">
        <v>87</v>
      </c>
      <c r="B89" s="90"/>
      <c r="C89" s="90"/>
      <c r="D89" s="90"/>
      <c r="E89" s="90"/>
      <c r="F89" s="90"/>
      <c r="G89" s="90"/>
      <c r="H89" s="90"/>
      <c r="I89" s="90"/>
      <c r="J89" s="90"/>
      <c r="K89" s="90"/>
      <c r="L89" s="90"/>
      <c r="M89" s="90"/>
      <c r="N89" s="90"/>
      <c r="O89" s="90"/>
      <c r="P89" s="90"/>
      <c r="Q89" s="90"/>
      <c r="R89" s="90"/>
      <c r="S89" s="90"/>
      <c r="T89" s="90"/>
      <c r="U89" s="90"/>
      <c r="V89" s="745"/>
      <c r="W89" s="745">
        <v>5.35</v>
      </c>
      <c r="X89" s="745">
        <v>5.36</v>
      </c>
      <c r="Y89" s="745">
        <v>5.4</v>
      </c>
      <c r="Z89" s="745">
        <v>5.43</v>
      </c>
      <c r="AA89" s="745">
        <v>5.47</v>
      </c>
      <c r="AB89" s="745">
        <v>5.54</v>
      </c>
      <c r="AC89" s="745">
        <v>5.57</v>
      </c>
      <c r="AD89" s="745">
        <v>5.62</v>
      </c>
      <c r="AE89" s="745">
        <v>5.65</v>
      </c>
      <c r="AF89" s="745">
        <v>5.72</v>
      </c>
      <c r="AG89" s="745">
        <v>5.77</v>
      </c>
      <c r="AH89" s="745">
        <v>5.82</v>
      </c>
      <c r="AI89" s="745">
        <v>5.88</v>
      </c>
      <c r="AJ89" s="745">
        <v>5.93</v>
      </c>
      <c r="AK89" s="745">
        <v>5.98</v>
      </c>
      <c r="AL89" s="745">
        <v>6.04</v>
      </c>
      <c r="AM89" s="745">
        <v>6.09</v>
      </c>
      <c r="AN89" s="745">
        <v>6.14</v>
      </c>
      <c r="AO89" s="745">
        <v>6.2</v>
      </c>
      <c r="AP89" s="745">
        <v>6.25</v>
      </c>
      <c r="AQ89" s="745">
        <v>6.3</v>
      </c>
      <c r="AR89" s="745">
        <v>6.35</v>
      </c>
      <c r="AS89" s="745">
        <v>6.4</v>
      </c>
      <c r="AT89" s="745">
        <v>6.45</v>
      </c>
      <c r="AU89" s="745">
        <v>6.5</v>
      </c>
      <c r="AV89" s="745">
        <v>6.55</v>
      </c>
      <c r="AW89" s="745">
        <v>6.6</v>
      </c>
      <c r="AX89" s="745">
        <v>6.65</v>
      </c>
      <c r="AY89" s="745">
        <v>6.7</v>
      </c>
      <c r="AZ89" s="745">
        <v>6.75</v>
      </c>
      <c r="BA89" s="745">
        <v>6.8</v>
      </c>
      <c r="BB89" s="745">
        <v>6.85</v>
      </c>
      <c r="BC89" s="745">
        <v>6.9</v>
      </c>
      <c r="BD89" s="745">
        <v>6.95</v>
      </c>
      <c r="BE89" s="745">
        <v>7</v>
      </c>
      <c r="BF89" s="745">
        <v>7.05</v>
      </c>
      <c r="BG89" s="745">
        <v>7.1</v>
      </c>
      <c r="BH89" s="745">
        <v>7.15</v>
      </c>
      <c r="BI89" s="745">
        <v>7.2</v>
      </c>
      <c r="BJ89" s="745">
        <v>7.25</v>
      </c>
      <c r="BK89" s="745">
        <v>7.3</v>
      </c>
      <c r="BL89" s="745">
        <v>7.35</v>
      </c>
      <c r="BM89" s="745">
        <v>7.4</v>
      </c>
      <c r="BN89" s="745">
        <v>7.46</v>
      </c>
      <c r="BO89" s="745">
        <v>7.51</v>
      </c>
      <c r="BP89" s="745">
        <v>7.56</v>
      </c>
      <c r="BQ89" s="745">
        <v>7.61</v>
      </c>
      <c r="BR89" s="745">
        <v>7.66</v>
      </c>
      <c r="BS89" s="745">
        <v>7.71</v>
      </c>
      <c r="BT89" s="745">
        <v>7.76</v>
      </c>
      <c r="BU89" s="745">
        <v>7.81</v>
      </c>
      <c r="BV89" s="745">
        <v>7.86</v>
      </c>
      <c r="BW89" s="745">
        <v>7.91</v>
      </c>
      <c r="BX89" s="745">
        <v>7.96</v>
      </c>
      <c r="BY89" s="745">
        <v>8.01</v>
      </c>
      <c r="BZ89" s="745">
        <v>8.06</v>
      </c>
      <c r="CA89" s="745">
        <v>8.11</v>
      </c>
      <c r="CB89" s="745">
        <v>8.16</v>
      </c>
      <c r="CC89" s="745">
        <v>8.2100000000000009</v>
      </c>
      <c r="CD89" s="745">
        <v>8.26</v>
      </c>
      <c r="CE89" s="745">
        <v>8.3000000000000007</v>
      </c>
      <c r="CF89" s="745">
        <v>8.35</v>
      </c>
      <c r="CG89" s="745">
        <v>8.4</v>
      </c>
      <c r="CH89" s="745">
        <v>8.4499999999999993</v>
      </c>
      <c r="CI89" s="745">
        <v>8.5</v>
      </c>
      <c r="CJ89" s="745">
        <v>8.5500000000000007</v>
      </c>
      <c r="CK89" s="745">
        <v>8.6</v>
      </c>
      <c r="CL89" s="745">
        <v>8.65</v>
      </c>
      <c r="CM89" s="745">
        <v>8.6999999999999993</v>
      </c>
      <c r="CN89" s="745">
        <v>8.75</v>
      </c>
      <c r="CO89" s="745">
        <v>8.7899999999999991</v>
      </c>
      <c r="CP89" s="745">
        <v>8.84</v>
      </c>
      <c r="CQ89" s="745">
        <v>8.89</v>
      </c>
      <c r="CR89" s="745">
        <v>8.94</v>
      </c>
      <c r="CS89" s="745">
        <v>8.99</v>
      </c>
      <c r="CT89" s="745">
        <v>9.0399999999999991</v>
      </c>
      <c r="CU89" s="745">
        <v>9.08</v>
      </c>
      <c r="CV89" s="745">
        <v>9.1300000000000008</v>
      </c>
      <c r="CW89" s="745">
        <v>9.18</v>
      </c>
      <c r="CX89" s="745">
        <v>9.23</v>
      </c>
      <c r="CY89" s="745">
        <v>9.27</v>
      </c>
      <c r="CZ89" s="745">
        <v>9.32</v>
      </c>
      <c r="DA89" s="745">
        <v>9.3699999999999992</v>
      </c>
      <c r="DB89" s="745">
        <v>9.41</v>
      </c>
      <c r="DC89" s="745">
        <v>9.4600000000000009</v>
      </c>
      <c r="DD89" s="745">
        <v>9.51</v>
      </c>
      <c r="DE89" s="745">
        <v>9.5500000000000007</v>
      </c>
      <c r="DF89" s="745">
        <v>9.6</v>
      </c>
      <c r="DG89" s="745">
        <v>9.65</v>
      </c>
      <c r="DH89" s="745">
        <v>9.69</v>
      </c>
      <c r="DI89" s="745">
        <v>9.74</v>
      </c>
      <c r="DJ89" s="745">
        <v>9.7799999999999994</v>
      </c>
      <c r="DK89" s="745">
        <v>9.83</v>
      </c>
      <c r="DL89" s="745">
        <v>9.8699999999999992</v>
      </c>
      <c r="DM89" s="745">
        <v>9.92</v>
      </c>
      <c r="DN89" s="745">
        <v>9.9600000000000009</v>
      </c>
      <c r="DO89" s="745">
        <v>10.01</v>
      </c>
      <c r="DP89" s="745">
        <v>10.050000000000001</v>
      </c>
      <c r="DQ89" s="745">
        <v>10.1</v>
      </c>
      <c r="DR89" s="745">
        <v>10.14</v>
      </c>
    </row>
    <row r="90" spans="1:122">
      <c r="A90" s="918">
        <v>88</v>
      </c>
      <c r="B90" s="90"/>
      <c r="C90" s="90"/>
      <c r="D90" s="90"/>
      <c r="E90" s="90"/>
      <c r="F90" s="90"/>
      <c r="G90" s="90"/>
      <c r="H90" s="90"/>
      <c r="I90" s="90"/>
      <c r="J90" s="90"/>
      <c r="K90" s="90"/>
      <c r="L90" s="90"/>
      <c r="M90" s="90"/>
      <c r="N90" s="90"/>
      <c r="O90" s="90"/>
      <c r="P90" s="90"/>
      <c r="Q90" s="90"/>
      <c r="R90" s="90"/>
      <c r="S90" s="90"/>
      <c r="T90" s="90"/>
      <c r="U90" s="90"/>
      <c r="V90" s="745"/>
      <c r="W90" s="745">
        <v>4.97</v>
      </c>
      <c r="X90" s="745">
        <v>4.95</v>
      </c>
      <c r="Y90" s="745">
        <v>4.99</v>
      </c>
      <c r="Z90" s="745">
        <v>5.0199999999999996</v>
      </c>
      <c r="AA90" s="745">
        <v>5.0599999999999996</v>
      </c>
      <c r="AB90" s="745">
        <v>5.0999999999999996</v>
      </c>
      <c r="AC90" s="745">
        <v>5.17</v>
      </c>
      <c r="AD90" s="745">
        <v>5.19</v>
      </c>
      <c r="AE90" s="745">
        <v>5.23</v>
      </c>
      <c r="AF90" s="745">
        <v>5.29</v>
      </c>
      <c r="AG90" s="745">
        <v>5.34</v>
      </c>
      <c r="AH90" s="745">
        <v>5.39</v>
      </c>
      <c r="AI90" s="745">
        <v>5.44</v>
      </c>
      <c r="AJ90" s="745">
        <v>5.49</v>
      </c>
      <c r="AK90" s="745">
        <v>5.54</v>
      </c>
      <c r="AL90" s="745">
        <v>5.59</v>
      </c>
      <c r="AM90" s="745">
        <v>5.64</v>
      </c>
      <c r="AN90" s="745">
        <v>5.69</v>
      </c>
      <c r="AO90" s="745">
        <v>5.74</v>
      </c>
      <c r="AP90" s="745">
        <v>5.79</v>
      </c>
      <c r="AQ90" s="745">
        <v>5.83</v>
      </c>
      <c r="AR90" s="745">
        <v>5.88</v>
      </c>
      <c r="AS90" s="745">
        <v>5.93</v>
      </c>
      <c r="AT90" s="745">
        <v>5.97</v>
      </c>
      <c r="AU90" s="745">
        <v>6.02</v>
      </c>
      <c r="AV90" s="745">
        <v>6.07</v>
      </c>
      <c r="AW90" s="745">
        <v>6.11</v>
      </c>
      <c r="AX90" s="745">
        <v>6.16</v>
      </c>
      <c r="AY90" s="745">
        <v>6.21</v>
      </c>
      <c r="AZ90" s="745">
        <v>6.25</v>
      </c>
      <c r="BA90" s="745">
        <v>6.3</v>
      </c>
      <c r="BB90" s="745">
        <v>6.35</v>
      </c>
      <c r="BC90" s="745">
        <v>6.39</v>
      </c>
      <c r="BD90" s="745">
        <v>6.44</v>
      </c>
      <c r="BE90" s="745">
        <v>6.49</v>
      </c>
      <c r="BF90" s="745">
        <v>6.53</v>
      </c>
      <c r="BG90" s="745">
        <v>6.58</v>
      </c>
      <c r="BH90" s="745">
        <v>6.63</v>
      </c>
      <c r="BI90" s="745">
        <v>6.68</v>
      </c>
      <c r="BJ90" s="745">
        <v>6.72</v>
      </c>
      <c r="BK90" s="745">
        <v>6.77</v>
      </c>
      <c r="BL90" s="745">
        <v>6.82</v>
      </c>
      <c r="BM90" s="745">
        <v>6.86</v>
      </c>
      <c r="BN90" s="745">
        <v>6.91</v>
      </c>
      <c r="BO90" s="745">
        <v>6.96</v>
      </c>
      <c r="BP90" s="745">
        <v>7</v>
      </c>
      <c r="BQ90" s="745">
        <v>7.05</v>
      </c>
      <c r="BR90" s="745">
        <v>7.1</v>
      </c>
      <c r="BS90" s="745">
        <v>7.15</v>
      </c>
      <c r="BT90" s="745">
        <v>7.19</v>
      </c>
      <c r="BU90" s="745">
        <v>7.24</v>
      </c>
      <c r="BV90" s="745">
        <v>7.29</v>
      </c>
      <c r="BW90" s="745">
        <v>7.33</v>
      </c>
      <c r="BX90" s="745">
        <v>7.38</v>
      </c>
      <c r="BY90" s="745">
        <v>7.43</v>
      </c>
      <c r="BZ90" s="745">
        <v>7.47</v>
      </c>
      <c r="CA90" s="745">
        <v>7.52</v>
      </c>
      <c r="CB90" s="745">
        <v>7.57</v>
      </c>
      <c r="CC90" s="745">
        <v>7.61</v>
      </c>
      <c r="CD90" s="745">
        <v>7.66</v>
      </c>
      <c r="CE90" s="745">
        <v>7.7</v>
      </c>
      <c r="CF90" s="745">
        <v>7.75</v>
      </c>
      <c r="CG90" s="745">
        <v>7.8</v>
      </c>
      <c r="CH90" s="745">
        <v>7.84</v>
      </c>
      <c r="CI90" s="745">
        <v>7.89</v>
      </c>
      <c r="CJ90" s="745">
        <v>7.93</v>
      </c>
      <c r="CK90" s="745">
        <v>7.98</v>
      </c>
      <c r="CL90" s="745">
        <v>8.0299999999999994</v>
      </c>
      <c r="CM90" s="745">
        <v>8.07</v>
      </c>
      <c r="CN90" s="745">
        <v>8.1199999999999992</v>
      </c>
      <c r="CO90" s="745">
        <v>8.16</v>
      </c>
      <c r="CP90" s="745">
        <v>8.2100000000000009</v>
      </c>
      <c r="CQ90" s="745">
        <v>8.25</v>
      </c>
      <c r="CR90" s="745">
        <v>8.3000000000000007</v>
      </c>
      <c r="CS90" s="745">
        <v>8.34</v>
      </c>
      <c r="CT90" s="745">
        <v>8.39</v>
      </c>
      <c r="CU90" s="745">
        <v>8.43</v>
      </c>
      <c r="CV90" s="745">
        <v>8.48</v>
      </c>
      <c r="CW90" s="745">
        <v>8.52</v>
      </c>
      <c r="CX90" s="745">
        <v>8.57</v>
      </c>
      <c r="CY90" s="745">
        <v>8.61</v>
      </c>
      <c r="CZ90" s="745">
        <v>8.65</v>
      </c>
      <c r="DA90" s="745">
        <v>8.6999999999999993</v>
      </c>
      <c r="DB90" s="745">
        <v>8.74</v>
      </c>
      <c r="DC90" s="745">
        <v>8.7899999999999991</v>
      </c>
      <c r="DD90" s="745">
        <v>8.83</v>
      </c>
      <c r="DE90" s="745">
        <v>8.8699999999999992</v>
      </c>
      <c r="DF90" s="745">
        <v>8.92</v>
      </c>
      <c r="DG90" s="745">
        <v>8.9600000000000009</v>
      </c>
      <c r="DH90" s="745">
        <v>9</v>
      </c>
      <c r="DI90" s="745">
        <v>9.0500000000000007</v>
      </c>
      <c r="DJ90" s="745">
        <v>9.09</v>
      </c>
      <c r="DK90" s="745">
        <v>9.1300000000000008</v>
      </c>
      <c r="DL90" s="745">
        <v>9.17</v>
      </c>
      <c r="DM90" s="745">
        <v>9.2200000000000006</v>
      </c>
      <c r="DN90" s="745">
        <v>9.26</v>
      </c>
      <c r="DO90" s="745">
        <v>9.3000000000000007</v>
      </c>
      <c r="DP90" s="745">
        <v>9.34</v>
      </c>
      <c r="DQ90" s="745">
        <v>9.3800000000000008</v>
      </c>
      <c r="DR90" s="745">
        <v>9.42</v>
      </c>
    </row>
    <row r="91" spans="1:122">
      <c r="A91" s="918">
        <v>89</v>
      </c>
      <c r="B91" s="90"/>
      <c r="C91" s="90"/>
      <c r="D91" s="90"/>
      <c r="E91" s="90"/>
      <c r="F91" s="90"/>
      <c r="G91" s="90"/>
      <c r="H91" s="90"/>
      <c r="I91" s="90"/>
      <c r="J91" s="90"/>
      <c r="K91" s="90"/>
      <c r="L91" s="90"/>
      <c r="M91" s="90"/>
      <c r="N91" s="90"/>
      <c r="O91" s="90"/>
      <c r="P91" s="90"/>
      <c r="Q91" s="90"/>
      <c r="R91" s="90"/>
      <c r="S91" s="90"/>
      <c r="T91" s="90"/>
      <c r="U91" s="90"/>
      <c r="V91" s="745"/>
      <c r="W91" s="745">
        <v>4.59</v>
      </c>
      <c r="X91" s="745">
        <v>4.5599999999999996</v>
      </c>
      <c r="Y91" s="745">
        <v>4.5999999999999996</v>
      </c>
      <c r="Z91" s="745">
        <v>4.66</v>
      </c>
      <c r="AA91" s="745">
        <v>4.66</v>
      </c>
      <c r="AB91" s="745">
        <v>4.72</v>
      </c>
      <c r="AC91" s="745">
        <v>4.76</v>
      </c>
      <c r="AD91" s="745">
        <v>4.8</v>
      </c>
      <c r="AE91" s="745">
        <v>4.8499999999999996</v>
      </c>
      <c r="AF91" s="745">
        <v>4.8899999999999997</v>
      </c>
      <c r="AG91" s="745">
        <v>4.9400000000000004</v>
      </c>
      <c r="AH91" s="745">
        <v>4.99</v>
      </c>
      <c r="AI91" s="745">
        <v>5.03</v>
      </c>
      <c r="AJ91" s="745">
        <v>5.08</v>
      </c>
      <c r="AK91" s="745">
        <v>5.13</v>
      </c>
      <c r="AL91" s="745">
        <v>5.17</v>
      </c>
      <c r="AM91" s="745">
        <v>5.22</v>
      </c>
      <c r="AN91" s="745">
        <v>5.27</v>
      </c>
      <c r="AO91" s="745">
        <v>5.31</v>
      </c>
      <c r="AP91" s="745">
        <v>5.35</v>
      </c>
      <c r="AQ91" s="745">
        <v>5.4</v>
      </c>
      <c r="AR91" s="745">
        <v>5.44</v>
      </c>
      <c r="AS91" s="745">
        <v>5.48</v>
      </c>
      <c r="AT91" s="745">
        <v>5.53</v>
      </c>
      <c r="AU91" s="745">
        <v>5.57</v>
      </c>
      <c r="AV91" s="745">
        <v>5.61</v>
      </c>
      <c r="AW91" s="745">
        <v>5.66</v>
      </c>
      <c r="AX91" s="745">
        <v>5.7</v>
      </c>
      <c r="AY91" s="745">
        <v>5.74</v>
      </c>
      <c r="AZ91" s="745">
        <v>5.79</v>
      </c>
      <c r="BA91" s="745">
        <v>5.83</v>
      </c>
      <c r="BB91" s="745">
        <v>5.87</v>
      </c>
      <c r="BC91" s="745">
        <v>5.92</v>
      </c>
      <c r="BD91" s="745">
        <v>5.96</v>
      </c>
      <c r="BE91" s="745">
        <v>6</v>
      </c>
      <c r="BF91" s="745">
        <v>6.05</v>
      </c>
      <c r="BG91" s="745">
        <v>6.09</v>
      </c>
      <c r="BH91" s="745">
        <v>6.14</v>
      </c>
      <c r="BI91" s="745">
        <v>6.18</v>
      </c>
      <c r="BJ91" s="745">
        <v>6.22</v>
      </c>
      <c r="BK91" s="745">
        <v>6.27</v>
      </c>
      <c r="BL91" s="745">
        <v>6.31</v>
      </c>
      <c r="BM91" s="745">
        <v>6.35</v>
      </c>
      <c r="BN91" s="745">
        <v>6.4</v>
      </c>
      <c r="BO91" s="745">
        <v>6.44</v>
      </c>
      <c r="BP91" s="745">
        <v>6.48</v>
      </c>
      <c r="BQ91" s="745">
        <v>6.53</v>
      </c>
      <c r="BR91" s="745">
        <v>6.57</v>
      </c>
      <c r="BS91" s="745">
        <v>6.62</v>
      </c>
      <c r="BT91" s="745">
        <v>6.66</v>
      </c>
      <c r="BU91" s="745">
        <v>6.7</v>
      </c>
      <c r="BV91" s="745">
        <v>6.75</v>
      </c>
      <c r="BW91" s="745">
        <v>6.79</v>
      </c>
      <c r="BX91" s="745">
        <v>6.83</v>
      </c>
      <c r="BY91" s="745">
        <v>6.88</v>
      </c>
      <c r="BZ91" s="745">
        <v>6.92</v>
      </c>
      <c r="CA91" s="745">
        <v>6.96</v>
      </c>
      <c r="CB91" s="745">
        <v>7.01</v>
      </c>
      <c r="CC91" s="745">
        <v>7.05</v>
      </c>
      <c r="CD91" s="745">
        <v>7.09</v>
      </c>
      <c r="CE91" s="745">
        <v>7.13</v>
      </c>
      <c r="CF91" s="745">
        <v>7.18</v>
      </c>
      <c r="CG91" s="745">
        <v>7.22</v>
      </c>
      <c r="CH91" s="745">
        <v>7.26</v>
      </c>
      <c r="CI91" s="745">
        <v>7.31</v>
      </c>
      <c r="CJ91" s="745">
        <v>7.35</v>
      </c>
      <c r="CK91" s="745">
        <v>7.39</v>
      </c>
      <c r="CL91" s="745">
        <v>7.43</v>
      </c>
      <c r="CM91" s="745">
        <v>7.48</v>
      </c>
      <c r="CN91" s="745">
        <v>7.52</v>
      </c>
      <c r="CO91" s="745">
        <v>7.56</v>
      </c>
      <c r="CP91" s="745">
        <v>7.6</v>
      </c>
      <c r="CQ91" s="745">
        <v>7.64</v>
      </c>
      <c r="CR91" s="745">
        <v>7.69</v>
      </c>
      <c r="CS91" s="745">
        <v>7.73</v>
      </c>
      <c r="CT91" s="745">
        <v>7.77</v>
      </c>
      <c r="CU91" s="745">
        <v>7.81</v>
      </c>
      <c r="CV91" s="745">
        <v>7.85</v>
      </c>
      <c r="CW91" s="745">
        <v>7.89</v>
      </c>
      <c r="CX91" s="745">
        <v>7.94</v>
      </c>
      <c r="CY91" s="745">
        <v>7.98</v>
      </c>
      <c r="CZ91" s="745">
        <v>8.02</v>
      </c>
      <c r="DA91" s="745">
        <v>8.06</v>
      </c>
      <c r="DB91" s="745">
        <v>8.1</v>
      </c>
      <c r="DC91" s="745">
        <v>8.14</v>
      </c>
      <c r="DD91" s="745">
        <v>8.18</v>
      </c>
      <c r="DE91" s="745">
        <v>8.2200000000000006</v>
      </c>
      <c r="DF91" s="745">
        <v>8.26</v>
      </c>
      <c r="DG91" s="745">
        <v>8.3000000000000007</v>
      </c>
      <c r="DH91" s="745">
        <v>8.34</v>
      </c>
      <c r="DI91" s="745">
        <v>8.3800000000000008</v>
      </c>
      <c r="DJ91" s="745">
        <v>8.42</v>
      </c>
      <c r="DK91" s="745">
        <v>8.4600000000000009</v>
      </c>
      <c r="DL91" s="745">
        <v>8.5</v>
      </c>
      <c r="DM91" s="745">
        <v>8.5399999999999991</v>
      </c>
      <c r="DN91" s="745">
        <v>8.58</v>
      </c>
      <c r="DO91" s="745">
        <v>8.6199999999999992</v>
      </c>
      <c r="DP91" s="745">
        <v>8.66</v>
      </c>
      <c r="DQ91" s="745">
        <v>8.6999999999999993</v>
      </c>
      <c r="DR91" s="745">
        <v>8.73</v>
      </c>
    </row>
    <row r="92" spans="1:122">
      <c r="A92" s="918">
        <v>90</v>
      </c>
      <c r="B92" s="90"/>
      <c r="C92" s="90"/>
      <c r="D92" s="90"/>
      <c r="E92" s="90"/>
      <c r="F92" s="90"/>
      <c r="G92" s="90"/>
      <c r="H92" s="90"/>
      <c r="I92" s="90"/>
      <c r="J92" s="90"/>
      <c r="K92" s="90"/>
      <c r="L92" s="90"/>
      <c r="M92" s="90"/>
      <c r="N92" s="90"/>
      <c r="O92" s="90"/>
      <c r="P92" s="90"/>
      <c r="Q92" s="90"/>
      <c r="R92" s="90"/>
      <c r="S92" s="90"/>
      <c r="T92" s="90"/>
      <c r="U92" s="90"/>
      <c r="V92" s="745"/>
      <c r="W92" s="745">
        <v>4.24</v>
      </c>
      <c r="X92" s="745">
        <v>4.21</v>
      </c>
      <c r="Y92" s="745">
        <v>4.2699999999999996</v>
      </c>
      <c r="Z92" s="745">
        <v>4.28</v>
      </c>
      <c r="AA92" s="745">
        <v>4.3099999999999996</v>
      </c>
      <c r="AB92" s="745">
        <v>4.3499999999999996</v>
      </c>
      <c r="AC92" s="745">
        <v>4.4000000000000004</v>
      </c>
      <c r="AD92" s="745">
        <v>4.4400000000000004</v>
      </c>
      <c r="AE92" s="745">
        <v>4.49</v>
      </c>
      <c r="AF92" s="745">
        <v>4.53</v>
      </c>
      <c r="AG92" s="745">
        <v>4.57</v>
      </c>
      <c r="AH92" s="745">
        <v>4.6100000000000003</v>
      </c>
      <c r="AI92" s="745">
        <v>4.66</v>
      </c>
      <c r="AJ92" s="745">
        <v>4.7</v>
      </c>
      <c r="AK92" s="745">
        <v>4.75</v>
      </c>
      <c r="AL92" s="745">
        <v>4.79</v>
      </c>
      <c r="AM92" s="745">
        <v>4.83</v>
      </c>
      <c r="AN92" s="745">
        <v>4.87</v>
      </c>
      <c r="AO92" s="745">
        <v>4.91</v>
      </c>
      <c r="AP92" s="745">
        <v>4.95</v>
      </c>
      <c r="AQ92" s="745">
        <v>4.99</v>
      </c>
      <c r="AR92" s="745">
        <v>5.03</v>
      </c>
      <c r="AS92" s="745">
        <v>5.07</v>
      </c>
      <c r="AT92" s="745">
        <v>5.1100000000000003</v>
      </c>
      <c r="AU92" s="745">
        <v>5.15</v>
      </c>
      <c r="AV92" s="745">
        <v>5.19</v>
      </c>
      <c r="AW92" s="745">
        <v>5.23</v>
      </c>
      <c r="AX92" s="745">
        <v>5.27</v>
      </c>
      <c r="AY92" s="745">
        <v>5.31</v>
      </c>
      <c r="AZ92" s="745">
        <v>5.35</v>
      </c>
      <c r="BA92" s="745">
        <v>5.39</v>
      </c>
      <c r="BB92" s="745">
        <v>5.43</v>
      </c>
      <c r="BC92" s="745">
        <v>5.47</v>
      </c>
      <c r="BD92" s="745">
        <v>5.51</v>
      </c>
      <c r="BE92" s="745">
        <v>5.55</v>
      </c>
      <c r="BF92" s="745">
        <v>5.59</v>
      </c>
      <c r="BG92" s="745">
        <v>5.63</v>
      </c>
      <c r="BH92" s="745">
        <v>5.67</v>
      </c>
      <c r="BI92" s="745">
        <v>5.71</v>
      </c>
      <c r="BJ92" s="745">
        <v>5.75</v>
      </c>
      <c r="BK92" s="745">
        <v>5.79</v>
      </c>
      <c r="BL92" s="745">
        <v>5.83</v>
      </c>
      <c r="BM92" s="745">
        <v>5.87</v>
      </c>
      <c r="BN92" s="745">
        <v>5.91</v>
      </c>
      <c r="BO92" s="745">
        <v>5.95</v>
      </c>
      <c r="BP92" s="745">
        <v>6</v>
      </c>
      <c r="BQ92" s="745">
        <v>6.04</v>
      </c>
      <c r="BR92" s="745">
        <v>6.08</v>
      </c>
      <c r="BS92" s="745">
        <v>6.12</v>
      </c>
      <c r="BT92" s="745">
        <v>6.16</v>
      </c>
      <c r="BU92" s="745">
        <v>6.2</v>
      </c>
      <c r="BV92" s="745">
        <v>6.24</v>
      </c>
      <c r="BW92" s="745">
        <v>6.28</v>
      </c>
      <c r="BX92" s="745">
        <v>6.32</v>
      </c>
      <c r="BY92" s="745">
        <v>6.36</v>
      </c>
      <c r="BZ92" s="745">
        <v>6.4</v>
      </c>
      <c r="CA92" s="745">
        <v>6.44</v>
      </c>
      <c r="CB92" s="745">
        <v>6.48</v>
      </c>
      <c r="CC92" s="745">
        <v>6.52</v>
      </c>
      <c r="CD92" s="745">
        <v>6.56</v>
      </c>
      <c r="CE92" s="745">
        <v>6.6</v>
      </c>
      <c r="CF92" s="745">
        <v>6.63</v>
      </c>
      <c r="CG92" s="745">
        <v>6.67</v>
      </c>
      <c r="CH92" s="745">
        <v>6.71</v>
      </c>
      <c r="CI92" s="745">
        <v>6.75</v>
      </c>
      <c r="CJ92" s="745">
        <v>6.79</v>
      </c>
      <c r="CK92" s="745">
        <v>6.83</v>
      </c>
      <c r="CL92" s="745">
        <v>6.87</v>
      </c>
      <c r="CM92" s="745">
        <v>6.91</v>
      </c>
      <c r="CN92" s="745">
        <v>6.95</v>
      </c>
      <c r="CO92" s="745">
        <v>6.99</v>
      </c>
      <c r="CP92" s="745">
        <v>7.03</v>
      </c>
      <c r="CQ92" s="745">
        <v>7.07</v>
      </c>
      <c r="CR92" s="745">
        <v>7.1</v>
      </c>
      <c r="CS92" s="745">
        <v>7.14</v>
      </c>
      <c r="CT92" s="745">
        <v>7.18</v>
      </c>
      <c r="CU92" s="745">
        <v>7.22</v>
      </c>
      <c r="CV92" s="745">
        <v>7.26</v>
      </c>
      <c r="CW92" s="745">
        <v>7.3</v>
      </c>
      <c r="CX92" s="745">
        <v>7.33</v>
      </c>
      <c r="CY92" s="745">
        <v>7.37</v>
      </c>
      <c r="CZ92" s="745">
        <v>7.41</v>
      </c>
      <c r="DA92" s="745">
        <v>7.45</v>
      </c>
      <c r="DB92" s="745">
        <v>7.49</v>
      </c>
      <c r="DC92" s="745">
        <v>7.52</v>
      </c>
      <c r="DD92" s="745">
        <v>7.56</v>
      </c>
      <c r="DE92" s="745">
        <v>7.6</v>
      </c>
      <c r="DF92" s="745">
        <v>7.64</v>
      </c>
      <c r="DG92" s="745">
        <v>7.67</v>
      </c>
      <c r="DH92" s="745">
        <v>7.71</v>
      </c>
      <c r="DI92" s="745">
        <v>7.75</v>
      </c>
      <c r="DJ92" s="745">
        <v>7.78</v>
      </c>
      <c r="DK92" s="745">
        <v>7.82</v>
      </c>
      <c r="DL92" s="745">
        <v>7.86</v>
      </c>
      <c r="DM92" s="745">
        <v>7.89</v>
      </c>
      <c r="DN92" s="745">
        <v>7.93</v>
      </c>
      <c r="DO92" s="745">
        <v>7.96</v>
      </c>
      <c r="DP92" s="745">
        <v>8</v>
      </c>
      <c r="DQ92" s="745">
        <v>8.0399999999999991</v>
      </c>
      <c r="DR92" s="745">
        <v>8.07</v>
      </c>
    </row>
    <row r="93" spans="1:122">
      <c r="A93" s="918">
        <v>91</v>
      </c>
      <c r="B93" s="90"/>
      <c r="C93" s="90"/>
      <c r="D93" s="90"/>
      <c r="E93" s="90"/>
      <c r="F93" s="90"/>
      <c r="G93" s="90"/>
      <c r="H93" s="90"/>
      <c r="I93" s="90"/>
      <c r="J93" s="90"/>
      <c r="K93" s="90"/>
      <c r="L93" s="90"/>
      <c r="M93" s="90"/>
      <c r="N93" s="90"/>
      <c r="O93" s="90"/>
      <c r="P93" s="90"/>
      <c r="Q93" s="90"/>
      <c r="R93" s="90"/>
      <c r="S93" s="90"/>
      <c r="T93" s="90"/>
      <c r="U93" s="90"/>
      <c r="V93" s="745"/>
      <c r="W93" s="745">
        <v>3.93</v>
      </c>
      <c r="X93" s="745">
        <v>3.9</v>
      </c>
      <c r="Y93" s="745">
        <v>3.91</v>
      </c>
      <c r="Z93" s="745">
        <v>3.97</v>
      </c>
      <c r="AA93" s="745">
        <v>3.97</v>
      </c>
      <c r="AB93" s="745">
        <v>4.0199999999999996</v>
      </c>
      <c r="AC93" s="745">
        <v>4.08</v>
      </c>
      <c r="AD93" s="745">
        <v>4.1100000000000003</v>
      </c>
      <c r="AE93" s="745">
        <v>4.1500000000000004</v>
      </c>
      <c r="AF93" s="745">
        <v>4.1900000000000004</v>
      </c>
      <c r="AG93" s="745">
        <v>4.2300000000000004</v>
      </c>
      <c r="AH93" s="745">
        <v>4.2699999999999996</v>
      </c>
      <c r="AI93" s="745">
        <v>4.3099999999999996</v>
      </c>
      <c r="AJ93" s="745">
        <v>4.3499999999999996</v>
      </c>
      <c r="AK93" s="745">
        <v>4.3899999999999997</v>
      </c>
      <c r="AL93" s="745">
        <v>4.43</v>
      </c>
      <c r="AM93" s="745">
        <v>4.47</v>
      </c>
      <c r="AN93" s="745">
        <v>4.51</v>
      </c>
      <c r="AO93" s="745">
        <v>4.54</v>
      </c>
      <c r="AP93" s="745">
        <v>4.58</v>
      </c>
      <c r="AQ93" s="745">
        <v>4.62</v>
      </c>
      <c r="AR93" s="745">
        <v>4.6500000000000004</v>
      </c>
      <c r="AS93" s="745">
        <v>4.6900000000000004</v>
      </c>
      <c r="AT93" s="745">
        <v>4.7300000000000004</v>
      </c>
      <c r="AU93" s="745">
        <v>4.76</v>
      </c>
      <c r="AV93" s="745">
        <v>4.8</v>
      </c>
      <c r="AW93" s="745">
        <v>4.84</v>
      </c>
      <c r="AX93" s="745">
        <v>4.87</v>
      </c>
      <c r="AY93" s="745">
        <v>4.91</v>
      </c>
      <c r="AZ93" s="745">
        <v>4.95</v>
      </c>
      <c r="BA93" s="745">
        <v>4.9800000000000004</v>
      </c>
      <c r="BB93" s="745">
        <v>5.0199999999999996</v>
      </c>
      <c r="BC93" s="745">
        <v>5.0599999999999996</v>
      </c>
      <c r="BD93" s="745">
        <v>5.09</v>
      </c>
      <c r="BE93" s="745">
        <v>5.13</v>
      </c>
      <c r="BF93" s="745">
        <v>5.17</v>
      </c>
      <c r="BG93" s="745">
        <v>5.2</v>
      </c>
      <c r="BH93" s="745">
        <v>5.24</v>
      </c>
      <c r="BI93" s="745">
        <v>5.28</v>
      </c>
      <c r="BJ93" s="745">
        <v>5.31</v>
      </c>
      <c r="BK93" s="745">
        <v>5.35</v>
      </c>
      <c r="BL93" s="745">
        <v>5.39</v>
      </c>
      <c r="BM93" s="745">
        <v>5.43</v>
      </c>
      <c r="BN93" s="745">
        <v>5.46</v>
      </c>
      <c r="BO93" s="745">
        <v>5.5</v>
      </c>
      <c r="BP93" s="745">
        <v>5.54</v>
      </c>
      <c r="BQ93" s="745">
        <v>5.57</v>
      </c>
      <c r="BR93" s="745">
        <v>5.61</v>
      </c>
      <c r="BS93" s="745">
        <v>5.65</v>
      </c>
      <c r="BT93" s="745">
        <v>5.68</v>
      </c>
      <c r="BU93" s="745">
        <v>5.72</v>
      </c>
      <c r="BV93" s="745">
        <v>5.76</v>
      </c>
      <c r="BW93" s="745">
        <v>5.79</v>
      </c>
      <c r="BX93" s="745">
        <v>5.83</v>
      </c>
      <c r="BY93" s="745">
        <v>5.87</v>
      </c>
      <c r="BZ93" s="745">
        <v>5.9</v>
      </c>
      <c r="CA93" s="745">
        <v>5.94</v>
      </c>
      <c r="CB93" s="745">
        <v>5.98</v>
      </c>
      <c r="CC93" s="745">
        <v>6.01</v>
      </c>
      <c r="CD93" s="745">
        <v>6.05</v>
      </c>
      <c r="CE93" s="745">
        <v>6.09</v>
      </c>
      <c r="CF93" s="745">
        <v>6.12</v>
      </c>
      <c r="CG93" s="745">
        <v>6.16</v>
      </c>
      <c r="CH93" s="745">
        <v>6.19</v>
      </c>
      <c r="CI93" s="745">
        <v>6.23</v>
      </c>
      <c r="CJ93" s="745">
        <v>6.27</v>
      </c>
      <c r="CK93" s="745">
        <v>6.3</v>
      </c>
      <c r="CL93" s="745">
        <v>6.34</v>
      </c>
      <c r="CM93" s="745">
        <v>6.37</v>
      </c>
      <c r="CN93" s="745">
        <v>6.41</v>
      </c>
      <c r="CO93" s="745">
        <v>6.45</v>
      </c>
      <c r="CP93" s="745">
        <v>6.48</v>
      </c>
      <c r="CQ93" s="745">
        <v>6.52</v>
      </c>
      <c r="CR93" s="745">
        <v>6.55</v>
      </c>
      <c r="CS93" s="745">
        <v>6.59</v>
      </c>
      <c r="CT93" s="745">
        <v>6.62</v>
      </c>
      <c r="CU93" s="745">
        <v>6.66</v>
      </c>
      <c r="CV93" s="745">
        <v>6.69</v>
      </c>
      <c r="CW93" s="745">
        <v>6.73</v>
      </c>
      <c r="CX93" s="745">
        <v>6.76</v>
      </c>
      <c r="CY93" s="745">
        <v>6.8</v>
      </c>
      <c r="CZ93" s="745">
        <v>6.83</v>
      </c>
      <c r="DA93" s="745">
        <v>6.87</v>
      </c>
      <c r="DB93" s="745">
        <v>6.9</v>
      </c>
      <c r="DC93" s="745">
        <v>6.94</v>
      </c>
      <c r="DD93" s="745">
        <v>6.97</v>
      </c>
      <c r="DE93" s="745">
        <v>7</v>
      </c>
      <c r="DF93" s="745">
        <v>7.04</v>
      </c>
      <c r="DG93" s="745">
        <v>7.07</v>
      </c>
      <c r="DH93" s="745">
        <v>7.11</v>
      </c>
      <c r="DI93" s="745">
        <v>7.14</v>
      </c>
      <c r="DJ93" s="745">
        <v>7.17</v>
      </c>
      <c r="DK93" s="745">
        <v>7.21</v>
      </c>
      <c r="DL93" s="745">
        <v>7.24</v>
      </c>
      <c r="DM93" s="745">
        <v>7.27</v>
      </c>
      <c r="DN93" s="745">
        <v>7.31</v>
      </c>
      <c r="DO93" s="745">
        <v>7.34</v>
      </c>
      <c r="DP93" s="745">
        <v>7.37</v>
      </c>
      <c r="DQ93" s="745">
        <v>7.4</v>
      </c>
      <c r="DR93" s="745">
        <v>7.44</v>
      </c>
    </row>
    <row r="94" spans="1:122">
      <c r="A94" s="918">
        <v>92</v>
      </c>
      <c r="B94" s="90"/>
      <c r="C94" s="90"/>
      <c r="D94" s="90"/>
      <c r="E94" s="90"/>
      <c r="F94" s="90"/>
      <c r="G94" s="90"/>
      <c r="H94" s="90"/>
      <c r="I94" s="90"/>
      <c r="J94" s="90"/>
      <c r="K94" s="90"/>
      <c r="L94" s="90"/>
      <c r="M94" s="90"/>
      <c r="N94" s="90"/>
      <c r="O94" s="90"/>
      <c r="P94" s="90"/>
      <c r="Q94" s="90"/>
      <c r="R94" s="90"/>
      <c r="S94" s="90"/>
      <c r="T94" s="90"/>
      <c r="U94" s="90"/>
      <c r="V94" s="745"/>
      <c r="W94" s="745">
        <v>3.66</v>
      </c>
      <c r="X94" s="745">
        <v>3.58</v>
      </c>
      <c r="Y94" s="745">
        <v>3.63</v>
      </c>
      <c r="Z94" s="745">
        <v>3.65</v>
      </c>
      <c r="AA94" s="745">
        <v>3.68</v>
      </c>
      <c r="AB94" s="745">
        <v>3.73</v>
      </c>
      <c r="AC94" s="745">
        <v>3.77</v>
      </c>
      <c r="AD94" s="745">
        <v>3.81</v>
      </c>
      <c r="AE94" s="745">
        <v>3.84</v>
      </c>
      <c r="AF94" s="745">
        <v>3.88</v>
      </c>
      <c r="AG94" s="745">
        <v>3.92</v>
      </c>
      <c r="AH94" s="745">
        <v>3.95</v>
      </c>
      <c r="AI94" s="745">
        <v>3.99</v>
      </c>
      <c r="AJ94" s="745">
        <v>4.03</v>
      </c>
      <c r="AK94" s="745">
        <v>4.0599999999999996</v>
      </c>
      <c r="AL94" s="745">
        <v>4.0999999999999996</v>
      </c>
      <c r="AM94" s="745">
        <v>4.13</v>
      </c>
      <c r="AN94" s="745">
        <v>4.17</v>
      </c>
      <c r="AO94" s="745">
        <v>4.2</v>
      </c>
      <c r="AP94" s="745">
        <v>4.2300000000000004</v>
      </c>
      <c r="AQ94" s="745">
        <v>4.2699999999999996</v>
      </c>
      <c r="AR94" s="745">
        <v>4.3</v>
      </c>
      <c r="AS94" s="745">
        <v>4.33</v>
      </c>
      <c r="AT94" s="745">
        <v>4.37</v>
      </c>
      <c r="AU94" s="745">
        <v>4.4000000000000004</v>
      </c>
      <c r="AV94" s="745">
        <v>4.43</v>
      </c>
      <c r="AW94" s="745">
        <v>4.47</v>
      </c>
      <c r="AX94" s="745">
        <v>4.5</v>
      </c>
      <c r="AY94" s="745">
        <v>4.53</v>
      </c>
      <c r="AZ94" s="745">
        <v>4.57</v>
      </c>
      <c r="BA94" s="745">
        <v>4.5999999999999996</v>
      </c>
      <c r="BB94" s="745">
        <v>4.63</v>
      </c>
      <c r="BC94" s="745">
        <v>4.67</v>
      </c>
      <c r="BD94" s="745">
        <v>4.7</v>
      </c>
      <c r="BE94" s="745">
        <v>4.74</v>
      </c>
      <c r="BF94" s="745">
        <v>4.7699999999999996</v>
      </c>
      <c r="BG94" s="745">
        <v>4.8</v>
      </c>
      <c r="BH94" s="745">
        <v>4.84</v>
      </c>
      <c r="BI94" s="745">
        <v>4.87</v>
      </c>
      <c r="BJ94" s="745">
        <v>4.9000000000000004</v>
      </c>
      <c r="BK94" s="745">
        <v>4.9400000000000004</v>
      </c>
      <c r="BL94" s="745">
        <v>4.97</v>
      </c>
      <c r="BM94" s="745">
        <v>5</v>
      </c>
      <c r="BN94" s="745">
        <v>5.04</v>
      </c>
      <c r="BO94" s="745">
        <v>5.07</v>
      </c>
      <c r="BP94" s="745">
        <v>5.0999999999999996</v>
      </c>
      <c r="BQ94" s="745">
        <v>5.14</v>
      </c>
      <c r="BR94" s="745">
        <v>5.17</v>
      </c>
      <c r="BS94" s="745">
        <v>5.2</v>
      </c>
      <c r="BT94" s="745">
        <v>5.24</v>
      </c>
      <c r="BU94" s="745">
        <v>5.27</v>
      </c>
      <c r="BV94" s="745">
        <v>5.3</v>
      </c>
      <c r="BW94" s="745">
        <v>5.34</v>
      </c>
      <c r="BX94" s="745">
        <v>5.37</v>
      </c>
      <c r="BY94" s="745">
        <v>5.4</v>
      </c>
      <c r="BZ94" s="745">
        <v>5.44</v>
      </c>
      <c r="CA94" s="745">
        <v>5.47</v>
      </c>
      <c r="CB94" s="745">
        <v>5.5</v>
      </c>
      <c r="CC94" s="745">
        <v>5.54</v>
      </c>
      <c r="CD94" s="745">
        <v>5.57</v>
      </c>
      <c r="CE94" s="745">
        <v>5.6</v>
      </c>
      <c r="CF94" s="745">
        <v>5.64</v>
      </c>
      <c r="CG94" s="745">
        <v>5.67</v>
      </c>
      <c r="CH94" s="745">
        <v>5.7</v>
      </c>
      <c r="CI94" s="745">
        <v>5.73</v>
      </c>
      <c r="CJ94" s="745">
        <v>5.77</v>
      </c>
      <c r="CK94" s="745">
        <v>5.8</v>
      </c>
      <c r="CL94" s="745">
        <v>5.83</v>
      </c>
      <c r="CM94" s="745">
        <v>5.87</v>
      </c>
      <c r="CN94" s="745">
        <v>5.9</v>
      </c>
      <c r="CO94" s="745">
        <v>5.93</v>
      </c>
      <c r="CP94" s="745">
        <v>5.96</v>
      </c>
      <c r="CQ94" s="745">
        <v>5.99</v>
      </c>
      <c r="CR94" s="745">
        <v>6.03</v>
      </c>
      <c r="CS94" s="745">
        <v>6.06</v>
      </c>
      <c r="CT94" s="745">
        <v>6.09</v>
      </c>
      <c r="CU94" s="745">
        <v>6.12</v>
      </c>
      <c r="CV94" s="745">
        <v>6.15</v>
      </c>
      <c r="CW94" s="745">
        <v>6.19</v>
      </c>
      <c r="CX94" s="745">
        <v>6.22</v>
      </c>
      <c r="CY94" s="745">
        <v>6.25</v>
      </c>
      <c r="CZ94" s="745">
        <v>6.28</v>
      </c>
      <c r="DA94" s="745">
        <v>6.31</v>
      </c>
      <c r="DB94" s="745">
        <v>6.34</v>
      </c>
      <c r="DC94" s="745">
        <v>6.37</v>
      </c>
      <c r="DD94" s="745">
        <v>6.41</v>
      </c>
      <c r="DE94" s="745">
        <v>6.44</v>
      </c>
      <c r="DF94" s="745">
        <v>6.47</v>
      </c>
      <c r="DG94" s="745">
        <v>6.5</v>
      </c>
      <c r="DH94" s="745">
        <v>6.53</v>
      </c>
      <c r="DI94" s="745">
        <v>6.56</v>
      </c>
      <c r="DJ94" s="745">
        <v>6.59</v>
      </c>
      <c r="DK94" s="745">
        <v>6.62</v>
      </c>
      <c r="DL94" s="745">
        <v>6.65</v>
      </c>
      <c r="DM94" s="745">
        <v>6.68</v>
      </c>
      <c r="DN94" s="745">
        <v>6.71</v>
      </c>
      <c r="DO94" s="745">
        <v>6.74</v>
      </c>
      <c r="DP94" s="745">
        <v>6.77</v>
      </c>
      <c r="DQ94" s="745">
        <v>6.8</v>
      </c>
      <c r="DR94" s="745">
        <v>6.83</v>
      </c>
    </row>
    <row r="95" spans="1:122">
      <c r="A95" s="918">
        <v>93</v>
      </c>
      <c r="B95" s="90"/>
      <c r="C95" s="90"/>
      <c r="D95" s="90"/>
      <c r="E95" s="90"/>
      <c r="F95" s="90"/>
      <c r="G95" s="90"/>
      <c r="H95" s="90"/>
      <c r="I95" s="90"/>
      <c r="J95" s="90"/>
      <c r="K95" s="90"/>
      <c r="L95" s="90"/>
      <c r="M95" s="90"/>
      <c r="N95" s="90"/>
      <c r="O95" s="90"/>
      <c r="P95" s="90"/>
      <c r="Q95" s="90"/>
      <c r="R95" s="90"/>
      <c r="S95" s="90"/>
      <c r="T95" s="90"/>
      <c r="U95" s="90"/>
      <c r="V95" s="745"/>
      <c r="W95" s="745">
        <v>3.38</v>
      </c>
      <c r="X95" s="745">
        <v>3.32</v>
      </c>
      <c r="Y95" s="745">
        <v>3.33</v>
      </c>
      <c r="Z95" s="745">
        <v>3.4</v>
      </c>
      <c r="AA95" s="745">
        <v>3.42</v>
      </c>
      <c r="AB95" s="745">
        <v>3.46</v>
      </c>
      <c r="AC95" s="745">
        <v>3.49</v>
      </c>
      <c r="AD95" s="745">
        <v>3.53</v>
      </c>
      <c r="AE95" s="745">
        <v>3.56</v>
      </c>
      <c r="AF95" s="745">
        <v>3.59</v>
      </c>
      <c r="AG95" s="745">
        <v>3.63</v>
      </c>
      <c r="AH95" s="745">
        <v>3.66</v>
      </c>
      <c r="AI95" s="745">
        <v>3.69</v>
      </c>
      <c r="AJ95" s="745">
        <v>3.73</v>
      </c>
      <c r="AK95" s="745">
        <v>3.76</v>
      </c>
      <c r="AL95" s="745">
        <v>3.79</v>
      </c>
      <c r="AM95" s="745">
        <v>3.82</v>
      </c>
      <c r="AN95" s="745">
        <v>3.85</v>
      </c>
      <c r="AO95" s="745">
        <v>3.88</v>
      </c>
      <c r="AP95" s="745">
        <v>3.91</v>
      </c>
      <c r="AQ95" s="745">
        <v>3.94</v>
      </c>
      <c r="AR95" s="745">
        <v>3.97</v>
      </c>
      <c r="AS95" s="745">
        <v>4</v>
      </c>
      <c r="AT95" s="745">
        <v>4.03</v>
      </c>
      <c r="AU95" s="745">
        <v>4.0599999999999996</v>
      </c>
      <c r="AV95" s="745">
        <v>4.09</v>
      </c>
      <c r="AW95" s="745">
        <v>4.13</v>
      </c>
      <c r="AX95" s="745">
        <v>4.16</v>
      </c>
      <c r="AY95" s="745">
        <v>4.1900000000000004</v>
      </c>
      <c r="AZ95" s="745">
        <v>4.22</v>
      </c>
      <c r="BA95" s="745">
        <v>4.25</v>
      </c>
      <c r="BB95" s="745">
        <v>4.28</v>
      </c>
      <c r="BC95" s="745">
        <v>4.3099999999999996</v>
      </c>
      <c r="BD95" s="745">
        <v>4.34</v>
      </c>
      <c r="BE95" s="745">
        <v>4.37</v>
      </c>
      <c r="BF95" s="745">
        <v>4.4000000000000004</v>
      </c>
      <c r="BG95" s="745">
        <v>4.43</v>
      </c>
      <c r="BH95" s="745">
        <v>4.46</v>
      </c>
      <c r="BI95" s="745">
        <v>4.49</v>
      </c>
      <c r="BJ95" s="745">
        <v>4.5199999999999996</v>
      </c>
      <c r="BK95" s="745">
        <v>4.55</v>
      </c>
      <c r="BL95" s="745">
        <v>4.58</v>
      </c>
      <c r="BM95" s="745">
        <v>4.6100000000000003</v>
      </c>
      <c r="BN95" s="745">
        <v>4.6399999999999997</v>
      </c>
      <c r="BO95" s="745">
        <v>4.67</v>
      </c>
      <c r="BP95" s="745">
        <v>4.7</v>
      </c>
      <c r="BQ95" s="745">
        <v>4.7300000000000004</v>
      </c>
      <c r="BR95" s="745">
        <v>4.76</v>
      </c>
      <c r="BS95" s="745">
        <v>4.79</v>
      </c>
      <c r="BT95" s="745">
        <v>4.82</v>
      </c>
      <c r="BU95" s="745">
        <v>4.8499999999999996</v>
      </c>
      <c r="BV95" s="745">
        <v>4.88</v>
      </c>
      <c r="BW95" s="745">
        <v>4.91</v>
      </c>
      <c r="BX95" s="745">
        <v>4.9400000000000004</v>
      </c>
      <c r="BY95" s="745">
        <v>4.97</v>
      </c>
      <c r="BZ95" s="745">
        <v>5</v>
      </c>
      <c r="CA95" s="745">
        <v>5.03</v>
      </c>
      <c r="CB95" s="745">
        <v>5.0599999999999996</v>
      </c>
      <c r="CC95" s="745">
        <v>5.09</v>
      </c>
      <c r="CD95" s="745">
        <v>5.12</v>
      </c>
      <c r="CE95" s="745">
        <v>5.15</v>
      </c>
      <c r="CF95" s="745">
        <v>5.18</v>
      </c>
      <c r="CG95" s="745">
        <v>5.21</v>
      </c>
      <c r="CH95" s="745">
        <v>5.24</v>
      </c>
      <c r="CI95" s="745">
        <v>5.27</v>
      </c>
      <c r="CJ95" s="745">
        <v>5.3</v>
      </c>
      <c r="CK95" s="745">
        <v>5.32</v>
      </c>
      <c r="CL95" s="745">
        <v>5.35</v>
      </c>
      <c r="CM95" s="745">
        <v>5.38</v>
      </c>
      <c r="CN95" s="745">
        <v>5.41</v>
      </c>
      <c r="CO95" s="745">
        <v>5.44</v>
      </c>
      <c r="CP95" s="745">
        <v>5.47</v>
      </c>
      <c r="CQ95" s="745">
        <v>5.5</v>
      </c>
      <c r="CR95" s="745">
        <v>5.53</v>
      </c>
      <c r="CS95" s="745">
        <v>5.56</v>
      </c>
      <c r="CT95" s="745">
        <v>5.59</v>
      </c>
      <c r="CU95" s="745">
        <v>5.61</v>
      </c>
      <c r="CV95" s="745">
        <v>5.64</v>
      </c>
      <c r="CW95" s="745">
        <v>5.67</v>
      </c>
      <c r="CX95" s="745">
        <v>5.7</v>
      </c>
      <c r="CY95" s="745">
        <v>5.73</v>
      </c>
      <c r="CZ95" s="745">
        <v>5.76</v>
      </c>
      <c r="DA95" s="745">
        <v>5.78</v>
      </c>
      <c r="DB95" s="745">
        <v>5.81</v>
      </c>
      <c r="DC95" s="745">
        <v>5.84</v>
      </c>
      <c r="DD95" s="745">
        <v>5.87</v>
      </c>
      <c r="DE95" s="745">
        <v>5.89</v>
      </c>
      <c r="DF95" s="745">
        <v>5.92</v>
      </c>
      <c r="DG95" s="745">
        <v>5.95</v>
      </c>
      <c r="DH95" s="745">
        <v>5.98</v>
      </c>
      <c r="DI95" s="745">
        <v>6</v>
      </c>
      <c r="DJ95" s="745">
        <v>6.03</v>
      </c>
      <c r="DK95" s="745">
        <v>6.06</v>
      </c>
      <c r="DL95" s="745">
        <v>6.09</v>
      </c>
      <c r="DM95" s="745">
        <v>6.11</v>
      </c>
      <c r="DN95" s="745">
        <v>6.14</v>
      </c>
      <c r="DO95" s="745">
        <v>6.17</v>
      </c>
      <c r="DP95" s="745">
        <v>6.19</v>
      </c>
      <c r="DQ95" s="745">
        <v>6.22</v>
      </c>
      <c r="DR95" s="745">
        <v>6.25</v>
      </c>
    </row>
    <row r="96" spans="1:122">
      <c r="A96" s="918">
        <v>94</v>
      </c>
      <c r="B96" s="90"/>
      <c r="C96" s="90"/>
      <c r="D96" s="90"/>
      <c r="E96" s="90"/>
      <c r="F96" s="90"/>
      <c r="G96" s="90"/>
      <c r="H96" s="90"/>
      <c r="I96" s="90"/>
      <c r="J96" s="90"/>
      <c r="K96" s="90"/>
      <c r="L96" s="90"/>
      <c r="M96" s="90"/>
      <c r="N96" s="90"/>
      <c r="O96" s="90"/>
      <c r="P96" s="90"/>
      <c r="Q96" s="90"/>
      <c r="R96" s="90"/>
      <c r="S96" s="90"/>
      <c r="T96" s="90"/>
      <c r="U96" s="90"/>
      <c r="V96" s="745"/>
      <c r="W96" s="745">
        <v>3.17</v>
      </c>
      <c r="X96" s="745">
        <v>3.05</v>
      </c>
      <c r="Y96" s="745">
        <v>3.1</v>
      </c>
      <c r="Z96" s="745">
        <v>3.17</v>
      </c>
      <c r="AA96" s="745">
        <v>3.18</v>
      </c>
      <c r="AB96" s="745">
        <v>3.21</v>
      </c>
      <c r="AC96" s="745">
        <v>3.24</v>
      </c>
      <c r="AD96" s="745">
        <v>3.27</v>
      </c>
      <c r="AE96" s="745">
        <v>3.3</v>
      </c>
      <c r="AF96" s="745">
        <v>3.33</v>
      </c>
      <c r="AG96" s="745">
        <v>3.36</v>
      </c>
      <c r="AH96" s="745">
        <v>3.39</v>
      </c>
      <c r="AI96" s="745">
        <v>3.42</v>
      </c>
      <c r="AJ96" s="745">
        <v>3.45</v>
      </c>
      <c r="AK96" s="745">
        <v>3.48</v>
      </c>
      <c r="AL96" s="745">
        <v>3.51</v>
      </c>
      <c r="AM96" s="745">
        <v>3.54</v>
      </c>
      <c r="AN96" s="745">
        <v>3.56</v>
      </c>
      <c r="AO96" s="745">
        <v>3.59</v>
      </c>
      <c r="AP96" s="745">
        <v>3.62</v>
      </c>
      <c r="AQ96" s="745">
        <v>3.64</v>
      </c>
      <c r="AR96" s="745">
        <v>3.67</v>
      </c>
      <c r="AS96" s="745">
        <v>3.7</v>
      </c>
      <c r="AT96" s="745">
        <v>3.72</v>
      </c>
      <c r="AU96" s="745">
        <v>3.75</v>
      </c>
      <c r="AV96" s="745">
        <v>3.78</v>
      </c>
      <c r="AW96" s="745">
        <v>3.81</v>
      </c>
      <c r="AX96" s="745">
        <v>3.83</v>
      </c>
      <c r="AY96" s="745">
        <v>3.86</v>
      </c>
      <c r="AZ96" s="745">
        <v>3.89</v>
      </c>
      <c r="BA96" s="745">
        <v>3.91</v>
      </c>
      <c r="BB96" s="745">
        <v>3.94</v>
      </c>
      <c r="BC96" s="745">
        <v>3.97</v>
      </c>
      <c r="BD96" s="745">
        <v>3.99</v>
      </c>
      <c r="BE96" s="745">
        <v>4.0199999999999996</v>
      </c>
      <c r="BF96" s="745">
        <v>4.05</v>
      </c>
      <c r="BG96" s="745">
        <v>4.08</v>
      </c>
      <c r="BH96" s="745">
        <v>4.0999999999999996</v>
      </c>
      <c r="BI96" s="745">
        <v>4.13</v>
      </c>
      <c r="BJ96" s="745">
        <v>4.16</v>
      </c>
      <c r="BK96" s="745">
        <v>4.18</v>
      </c>
      <c r="BL96" s="745">
        <v>4.21</v>
      </c>
      <c r="BM96" s="745">
        <v>4.24</v>
      </c>
      <c r="BN96" s="745">
        <v>4.26</v>
      </c>
      <c r="BO96" s="745">
        <v>4.29</v>
      </c>
      <c r="BP96" s="745">
        <v>4.32</v>
      </c>
      <c r="BQ96" s="745">
        <v>4.3499999999999996</v>
      </c>
      <c r="BR96" s="745">
        <v>4.37</v>
      </c>
      <c r="BS96" s="745">
        <v>4.4000000000000004</v>
      </c>
      <c r="BT96" s="745">
        <v>4.43</v>
      </c>
      <c r="BU96" s="745">
        <v>4.45</v>
      </c>
      <c r="BV96" s="745">
        <v>4.4800000000000004</v>
      </c>
      <c r="BW96" s="745">
        <v>4.51</v>
      </c>
      <c r="BX96" s="745">
        <v>4.53</v>
      </c>
      <c r="BY96" s="745">
        <v>4.5599999999999996</v>
      </c>
      <c r="BZ96" s="745">
        <v>4.59</v>
      </c>
      <c r="CA96" s="745">
        <v>4.6100000000000003</v>
      </c>
      <c r="CB96" s="745">
        <v>4.6399999999999997</v>
      </c>
      <c r="CC96" s="745">
        <v>4.66</v>
      </c>
      <c r="CD96" s="745">
        <v>4.6900000000000004</v>
      </c>
      <c r="CE96" s="745">
        <v>4.72</v>
      </c>
      <c r="CF96" s="745">
        <v>4.74</v>
      </c>
      <c r="CG96" s="745">
        <v>4.7699999999999996</v>
      </c>
      <c r="CH96" s="745">
        <v>4.8</v>
      </c>
      <c r="CI96" s="745">
        <v>4.82</v>
      </c>
      <c r="CJ96" s="745">
        <v>4.8499999999999996</v>
      </c>
      <c r="CK96" s="745">
        <v>4.87</v>
      </c>
      <c r="CL96" s="745">
        <v>4.9000000000000004</v>
      </c>
      <c r="CM96" s="745">
        <v>4.93</v>
      </c>
      <c r="CN96" s="745">
        <v>4.95</v>
      </c>
      <c r="CO96" s="745">
        <v>4.9800000000000004</v>
      </c>
      <c r="CP96" s="745">
        <v>5</v>
      </c>
      <c r="CQ96" s="745">
        <v>5.03</v>
      </c>
      <c r="CR96" s="745">
        <v>5.05</v>
      </c>
      <c r="CS96" s="745">
        <v>5.08</v>
      </c>
      <c r="CT96" s="745">
        <v>5.0999999999999996</v>
      </c>
      <c r="CU96" s="745">
        <v>5.13</v>
      </c>
      <c r="CV96" s="745">
        <v>5.15</v>
      </c>
      <c r="CW96" s="745">
        <v>5.18</v>
      </c>
      <c r="CX96" s="745">
        <v>5.2</v>
      </c>
      <c r="CY96" s="745">
        <v>5.23</v>
      </c>
      <c r="CZ96" s="745">
        <v>5.25</v>
      </c>
      <c r="DA96" s="745">
        <v>5.28</v>
      </c>
      <c r="DB96" s="745">
        <v>5.3</v>
      </c>
      <c r="DC96" s="745">
        <v>5.33</v>
      </c>
      <c r="DD96" s="745">
        <v>5.35</v>
      </c>
      <c r="DE96" s="745">
        <v>5.38</v>
      </c>
      <c r="DF96" s="745">
        <v>5.4</v>
      </c>
      <c r="DG96" s="745">
        <v>5.43</v>
      </c>
      <c r="DH96" s="745">
        <v>5.45</v>
      </c>
      <c r="DI96" s="745">
        <v>5.47</v>
      </c>
      <c r="DJ96" s="745">
        <v>5.5</v>
      </c>
      <c r="DK96" s="745">
        <v>5.52</v>
      </c>
      <c r="DL96" s="745">
        <v>5.55</v>
      </c>
      <c r="DM96" s="745">
        <v>5.57</v>
      </c>
      <c r="DN96" s="745">
        <v>5.59</v>
      </c>
      <c r="DO96" s="745">
        <v>5.62</v>
      </c>
      <c r="DP96" s="745">
        <v>5.64</v>
      </c>
      <c r="DQ96" s="745">
        <v>5.66</v>
      </c>
      <c r="DR96" s="745">
        <v>5.69</v>
      </c>
    </row>
    <row r="97" spans="1:122">
      <c r="A97" s="918">
        <v>95</v>
      </c>
      <c r="B97" s="90"/>
      <c r="C97" s="90"/>
      <c r="D97" s="90"/>
      <c r="E97" s="90"/>
      <c r="F97" s="90"/>
      <c r="G97" s="90"/>
      <c r="H97" s="90"/>
      <c r="I97" s="90"/>
      <c r="J97" s="90"/>
      <c r="K97" s="90"/>
      <c r="L97" s="90"/>
      <c r="M97" s="90"/>
      <c r="N97" s="90"/>
      <c r="O97" s="90"/>
      <c r="P97" s="90"/>
      <c r="Q97" s="90"/>
      <c r="R97" s="90"/>
      <c r="S97" s="90"/>
      <c r="T97" s="90"/>
      <c r="U97" s="90"/>
      <c r="V97" s="745"/>
      <c r="W97" s="745">
        <v>2.94</v>
      </c>
      <c r="X97" s="745">
        <v>2.83</v>
      </c>
      <c r="Y97" s="745">
        <v>2.87</v>
      </c>
      <c r="Z97" s="745">
        <v>2.94</v>
      </c>
      <c r="AA97" s="745">
        <v>2.95</v>
      </c>
      <c r="AB97" s="745">
        <v>2.98</v>
      </c>
      <c r="AC97" s="745">
        <v>3</v>
      </c>
      <c r="AD97" s="745">
        <v>3.03</v>
      </c>
      <c r="AE97" s="745">
        <v>3.06</v>
      </c>
      <c r="AF97" s="745">
        <v>3.08</v>
      </c>
      <c r="AG97" s="745">
        <v>3.11</v>
      </c>
      <c r="AH97" s="745">
        <v>3.14</v>
      </c>
      <c r="AI97" s="745">
        <v>3.16</v>
      </c>
      <c r="AJ97" s="745">
        <v>3.19</v>
      </c>
      <c r="AK97" s="745">
        <v>3.22</v>
      </c>
      <c r="AL97" s="745">
        <v>3.24</v>
      </c>
      <c r="AM97" s="745">
        <v>3.27</v>
      </c>
      <c r="AN97" s="745">
        <v>3.29</v>
      </c>
      <c r="AO97" s="745">
        <v>3.32</v>
      </c>
      <c r="AP97" s="745">
        <v>3.34</v>
      </c>
      <c r="AQ97" s="745">
        <v>3.36</v>
      </c>
      <c r="AR97" s="745">
        <v>3.39</v>
      </c>
      <c r="AS97" s="745">
        <v>3.41</v>
      </c>
      <c r="AT97" s="745">
        <v>3.43</v>
      </c>
      <c r="AU97" s="745">
        <v>3.46</v>
      </c>
      <c r="AV97" s="745">
        <v>3.48</v>
      </c>
      <c r="AW97" s="745">
        <v>3.51</v>
      </c>
      <c r="AX97" s="745">
        <v>3.53</v>
      </c>
      <c r="AY97" s="745">
        <v>3.55</v>
      </c>
      <c r="AZ97" s="745">
        <v>3.58</v>
      </c>
      <c r="BA97" s="745">
        <v>3.6</v>
      </c>
      <c r="BB97" s="745">
        <v>3.63</v>
      </c>
      <c r="BC97" s="745">
        <v>3.65</v>
      </c>
      <c r="BD97" s="745">
        <v>3.67</v>
      </c>
      <c r="BE97" s="745">
        <v>3.7</v>
      </c>
      <c r="BF97" s="745">
        <v>3.72</v>
      </c>
      <c r="BG97" s="745">
        <v>3.74</v>
      </c>
      <c r="BH97" s="745">
        <v>3.77</v>
      </c>
      <c r="BI97" s="745">
        <v>3.79</v>
      </c>
      <c r="BJ97" s="745">
        <v>3.82</v>
      </c>
      <c r="BK97" s="745">
        <v>3.84</v>
      </c>
      <c r="BL97" s="745">
        <v>3.86</v>
      </c>
      <c r="BM97" s="745">
        <v>3.89</v>
      </c>
      <c r="BN97" s="745">
        <v>3.91</v>
      </c>
      <c r="BO97" s="745">
        <v>3.93</v>
      </c>
      <c r="BP97" s="745">
        <v>3.96</v>
      </c>
      <c r="BQ97" s="745">
        <v>3.98</v>
      </c>
      <c r="BR97" s="745">
        <v>4</v>
      </c>
      <c r="BS97" s="745">
        <v>4.03</v>
      </c>
      <c r="BT97" s="745">
        <v>4.05</v>
      </c>
      <c r="BU97" s="745">
        <v>4.08</v>
      </c>
      <c r="BV97" s="745">
        <v>4.0999999999999996</v>
      </c>
      <c r="BW97" s="745">
        <v>4.12</v>
      </c>
      <c r="BX97" s="745">
        <v>4.1500000000000004</v>
      </c>
      <c r="BY97" s="745">
        <v>4.17</v>
      </c>
      <c r="BZ97" s="745">
        <v>4.1900000000000004</v>
      </c>
      <c r="CA97" s="745">
        <v>4.21</v>
      </c>
      <c r="CB97" s="745">
        <v>4.24</v>
      </c>
      <c r="CC97" s="745">
        <v>4.26</v>
      </c>
      <c r="CD97" s="745">
        <v>4.28</v>
      </c>
      <c r="CE97" s="745">
        <v>4.3099999999999996</v>
      </c>
      <c r="CF97" s="745">
        <v>4.33</v>
      </c>
      <c r="CG97" s="745">
        <v>4.3499999999999996</v>
      </c>
      <c r="CH97" s="745">
        <v>4.38</v>
      </c>
      <c r="CI97" s="745">
        <v>4.4000000000000004</v>
      </c>
      <c r="CJ97" s="745">
        <v>4.42</v>
      </c>
      <c r="CK97" s="745">
        <v>4.4400000000000004</v>
      </c>
      <c r="CL97" s="745">
        <v>4.47</v>
      </c>
      <c r="CM97" s="745">
        <v>4.49</v>
      </c>
      <c r="CN97" s="745">
        <v>4.51</v>
      </c>
      <c r="CO97" s="745">
        <v>4.53</v>
      </c>
      <c r="CP97" s="745">
        <v>4.5599999999999996</v>
      </c>
      <c r="CQ97" s="745">
        <v>4.58</v>
      </c>
      <c r="CR97" s="745">
        <v>4.5999999999999996</v>
      </c>
      <c r="CS97" s="745">
        <v>4.62</v>
      </c>
      <c r="CT97" s="745">
        <v>4.6399999999999997</v>
      </c>
      <c r="CU97" s="745">
        <v>4.67</v>
      </c>
      <c r="CV97" s="745">
        <v>4.6900000000000004</v>
      </c>
      <c r="CW97" s="745">
        <v>4.71</v>
      </c>
      <c r="CX97" s="745">
        <v>4.7300000000000004</v>
      </c>
      <c r="CY97" s="745">
        <v>4.75</v>
      </c>
      <c r="CZ97" s="745">
        <v>4.7699999999999996</v>
      </c>
      <c r="DA97" s="745">
        <v>4.8</v>
      </c>
      <c r="DB97" s="745">
        <v>4.82</v>
      </c>
      <c r="DC97" s="745">
        <v>4.84</v>
      </c>
      <c r="DD97" s="745">
        <v>4.8600000000000003</v>
      </c>
      <c r="DE97" s="745">
        <v>4.88</v>
      </c>
      <c r="DF97" s="745">
        <v>4.9000000000000004</v>
      </c>
      <c r="DG97" s="745">
        <v>4.92</v>
      </c>
      <c r="DH97" s="745">
        <v>4.9400000000000004</v>
      </c>
      <c r="DI97" s="745">
        <v>4.96</v>
      </c>
      <c r="DJ97" s="745">
        <v>4.99</v>
      </c>
      <c r="DK97" s="745">
        <v>5.01</v>
      </c>
      <c r="DL97" s="745">
        <v>5.03</v>
      </c>
      <c r="DM97" s="745">
        <v>5.05</v>
      </c>
      <c r="DN97" s="745">
        <v>5.07</v>
      </c>
      <c r="DO97" s="745">
        <v>5.09</v>
      </c>
      <c r="DP97" s="745">
        <v>5.1100000000000003</v>
      </c>
      <c r="DQ97" s="745">
        <v>5.13</v>
      </c>
      <c r="DR97" s="745">
        <v>5.15</v>
      </c>
    </row>
    <row r="98" spans="1:122">
      <c r="A98" s="918">
        <v>96</v>
      </c>
      <c r="B98" s="90"/>
      <c r="C98" s="90"/>
      <c r="D98" s="90"/>
      <c r="E98" s="90"/>
      <c r="F98" s="90"/>
      <c r="G98" s="90"/>
      <c r="H98" s="90"/>
      <c r="I98" s="90"/>
      <c r="J98" s="90"/>
      <c r="K98" s="90"/>
      <c r="L98" s="90"/>
      <c r="M98" s="90"/>
      <c r="N98" s="90"/>
      <c r="O98" s="90"/>
      <c r="P98" s="90"/>
      <c r="Q98" s="90"/>
      <c r="R98" s="90"/>
      <c r="S98" s="90"/>
      <c r="T98" s="90"/>
      <c r="U98" s="90"/>
      <c r="V98" s="745"/>
      <c r="W98" s="745">
        <v>2.74</v>
      </c>
      <c r="X98" s="745">
        <v>2.64</v>
      </c>
      <c r="Y98" s="745">
        <v>2.68</v>
      </c>
      <c r="Z98" s="745">
        <v>2.74</v>
      </c>
      <c r="AA98" s="745">
        <v>2.74</v>
      </c>
      <c r="AB98" s="745">
        <v>2.77</v>
      </c>
      <c r="AC98" s="745">
        <v>2.79</v>
      </c>
      <c r="AD98" s="745">
        <v>2.82</v>
      </c>
      <c r="AE98" s="745">
        <v>2.84</v>
      </c>
      <c r="AF98" s="745">
        <v>2.86</v>
      </c>
      <c r="AG98" s="745">
        <v>2.89</v>
      </c>
      <c r="AH98" s="745">
        <v>2.91</v>
      </c>
      <c r="AI98" s="745">
        <v>2.93</v>
      </c>
      <c r="AJ98" s="745">
        <v>2.96</v>
      </c>
      <c r="AK98" s="745">
        <v>2.98</v>
      </c>
      <c r="AL98" s="745">
        <v>3.01</v>
      </c>
      <c r="AM98" s="745">
        <v>3.03</v>
      </c>
      <c r="AN98" s="745">
        <v>3.05</v>
      </c>
      <c r="AO98" s="745">
        <v>3.07</v>
      </c>
      <c r="AP98" s="745">
        <v>3.09</v>
      </c>
      <c r="AQ98" s="745">
        <v>3.11</v>
      </c>
      <c r="AR98" s="745">
        <v>3.13</v>
      </c>
      <c r="AS98" s="745">
        <v>3.16</v>
      </c>
      <c r="AT98" s="745">
        <v>3.18</v>
      </c>
      <c r="AU98" s="745">
        <v>3.2</v>
      </c>
      <c r="AV98" s="745">
        <v>3.22</v>
      </c>
      <c r="AW98" s="745">
        <v>3.24</v>
      </c>
      <c r="AX98" s="745">
        <v>3.26</v>
      </c>
      <c r="AY98" s="745">
        <v>3.28</v>
      </c>
      <c r="AZ98" s="745">
        <v>3.3</v>
      </c>
      <c r="BA98" s="745">
        <v>3.33</v>
      </c>
      <c r="BB98" s="745">
        <v>3.35</v>
      </c>
      <c r="BC98" s="745">
        <v>3.37</v>
      </c>
      <c r="BD98" s="745">
        <v>3.39</v>
      </c>
      <c r="BE98" s="745">
        <v>3.41</v>
      </c>
      <c r="BF98" s="745">
        <v>3.43</v>
      </c>
      <c r="BG98" s="745">
        <v>3.45</v>
      </c>
      <c r="BH98" s="745">
        <v>3.47</v>
      </c>
      <c r="BI98" s="745">
        <v>3.49</v>
      </c>
      <c r="BJ98" s="745">
        <v>3.52</v>
      </c>
      <c r="BK98" s="745">
        <v>3.54</v>
      </c>
      <c r="BL98" s="745">
        <v>3.56</v>
      </c>
      <c r="BM98" s="745">
        <v>3.58</v>
      </c>
      <c r="BN98" s="745">
        <v>3.6</v>
      </c>
      <c r="BO98" s="745">
        <v>3.62</v>
      </c>
      <c r="BP98" s="745">
        <v>3.64</v>
      </c>
      <c r="BQ98" s="745">
        <v>3.66</v>
      </c>
      <c r="BR98" s="745">
        <v>3.68</v>
      </c>
      <c r="BS98" s="745">
        <v>3.7</v>
      </c>
      <c r="BT98" s="745">
        <v>3.72</v>
      </c>
      <c r="BU98" s="745">
        <v>3.74</v>
      </c>
      <c r="BV98" s="745">
        <v>3.76</v>
      </c>
      <c r="BW98" s="745">
        <v>3.79</v>
      </c>
      <c r="BX98" s="745">
        <v>3.81</v>
      </c>
      <c r="BY98" s="745">
        <v>3.83</v>
      </c>
      <c r="BZ98" s="745">
        <v>3.85</v>
      </c>
      <c r="CA98" s="745">
        <v>3.87</v>
      </c>
      <c r="CB98" s="745">
        <v>3.89</v>
      </c>
      <c r="CC98" s="745">
        <v>3.91</v>
      </c>
      <c r="CD98" s="745">
        <v>3.93</v>
      </c>
      <c r="CE98" s="745">
        <v>3.95</v>
      </c>
      <c r="CF98" s="745">
        <v>3.97</v>
      </c>
      <c r="CG98" s="745">
        <v>3.99</v>
      </c>
      <c r="CH98" s="745">
        <v>4.01</v>
      </c>
      <c r="CI98" s="745">
        <v>4.03</v>
      </c>
      <c r="CJ98" s="745">
        <v>4.05</v>
      </c>
      <c r="CK98" s="745">
        <v>4.07</v>
      </c>
      <c r="CL98" s="745">
        <v>4.09</v>
      </c>
      <c r="CM98" s="745">
        <v>4.1100000000000003</v>
      </c>
      <c r="CN98" s="745">
        <v>4.13</v>
      </c>
      <c r="CO98" s="745">
        <v>4.1500000000000004</v>
      </c>
      <c r="CP98" s="745">
        <v>4.17</v>
      </c>
      <c r="CQ98" s="745">
        <v>4.18</v>
      </c>
      <c r="CR98" s="745">
        <v>4.2</v>
      </c>
      <c r="CS98" s="745">
        <v>4.22</v>
      </c>
      <c r="CT98" s="745">
        <v>4.24</v>
      </c>
      <c r="CU98" s="745">
        <v>4.26</v>
      </c>
      <c r="CV98" s="745">
        <v>4.28</v>
      </c>
      <c r="CW98" s="745">
        <v>4.3</v>
      </c>
      <c r="CX98" s="745">
        <v>4.32</v>
      </c>
      <c r="CY98" s="745">
        <v>4.34</v>
      </c>
      <c r="CZ98" s="745">
        <v>4.3600000000000003</v>
      </c>
      <c r="DA98" s="745">
        <v>4.38</v>
      </c>
      <c r="DB98" s="745">
        <v>4.3899999999999997</v>
      </c>
      <c r="DC98" s="745">
        <v>4.41</v>
      </c>
      <c r="DD98" s="745">
        <v>4.43</v>
      </c>
      <c r="DE98" s="745">
        <v>4.45</v>
      </c>
      <c r="DF98" s="745">
        <v>4.47</v>
      </c>
      <c r="DG98" s="745">
        <v>4.49</v>
      </c>
      <c r="DH98" s="745">
        <v>4.5</v>
      </c>
      <c r="DI98" s="745">
        <v>4.5199999999999996</v>
      </c>
      <c r="DJ98" s="745">
        <v>4.54</v>
      </c>
      <c r="DK98" s="745">
        <v>4.5599999999999996</v>
      </c>
      <c r="DL98" s="745">
        <v>4.58</v>
      </c>
      <c r="DM98" s="745">
        <v>4.59</v>
      </c>
      <c r="DN98" s="745">
        <v>4.6100000000000003</v>
      </c>
      <c r="DO98" s="745">
        <v>4.63</v>
      </c>
      <c r="DP98" s="745">
        <v>4.6500000000000004</v>
      </c>
      <c r="DQ98" s="745">
        <v>4.66</v>
      </c>
      <c r="DR98" s="745">
        <v>4.68</v>
      </c>
    </row>
    <row r="99" spans="1:122">
      <c r="A99" s="918">
        <v>97</v>
      </c>
      <c r="B99" s="90"/>
      <c r="C99" s="90"/>
      <c r="D99" s="90"/>
      <c r="E99" s="90"/>
      <c r="F99" s="90"/>
      <c r="G99" s="90"/>
      <c r="H99" s="90"/>
      <c r="I99" s="90"/>
      <c r="J99" s="90"/>
      <c r="K99" s="90"/>
      <c r="L99" s="90"/>
      <c r="M99" s="90"/>
      <c r="N99" s="90"/>
      <c r="O99" s="90"/>
      <c r="P99" s="90"/>
      <c r="Q99" s="90"/>
      <c r="R99" s="90"/>
      <c r="S99" s="90"/>
      <c r="T99" s="90"/>
      <c r="U99" s="90"/>
      <c r="V99" s="745"/>
      <c r="W99" s="745">
        <v>2.5499999999999998</v>
      </c>
      <c r="X99" s="745">
        <v>2.46</v>
      </c>
      <c r="Y99" s="745">
        <v>2.5</v>
      </c>
      <c r="Z99" s="745">
        <v>2.5499999999999998</v>
      </c>
      <c r="AA99" s="745">
        <v>2.56</v>
      </c>
      <c r="AB99" s="745">
        <v>2.58</v>
      </c>
      <c r="AC99" s="745">
        <v>2.6</v>
      </c>
      <c r="AD99" s="745">
        <v>2.62</v>
      </c>
      <c r="AE99" s="745">
        <v>2.64</v>
      </c>
      <c r="AF99" s="745">
        <v>2.67</v>
      </c>
      <c r="AG99" s="745">
        <v>2.69</v>
      </c>
      <c r="AH99" s="745">
        <v>2.71</v>
      </c>
      <c r="AI99" s="745">
        <v>2.73</v>
      </c>
      <c r="AJ99" s="745">
        <v>2.75</v>
      </c>
      <c r="AK99" s="745">
        <v>2.77</v>
      </c>
      <c r="AL99" s="745">
        <v>2.8</v>
      </c>
      <c r="AM99" s="745">
        <v>2.81</v>
      </c>
      <c r="AN99" s="745">
        <v>2.83</v>
      </c>
      <c r="AO99" s="745">
        <v>2.85</v>
      </c>
      <c r="AP99" s="745">
        <v>2.87</v>
      </c>
      <c r="AQ99" s="745">
        <v>2.89</v>
      </c>
      <c r="AR99" s="745">
        <v>2.91</v>
      </c>
      <c r="AS99" s="745">
        <v>2.93</v>
      </c>
      <c r="AT99" s="745">
        <v>2.95</v>
      </c>
      <c r="AU99" s="745">
        <v>2.97</v>
      </c>
      <c r="AV99" s="745">
        <v>2.99</v>
      </c>
      <c r="AW99" s="745">
        <v>3</v>
      </c>
      <c r="AX99" s="745">
        <v>3.02</v>
      </c>
      <c r="AY99" s="745">
        <v>3.04</v>
      </c>
      <c r="AZ99" s="745">
        <v>3.06</v>
      </c>
      <c r="BA99" s="745">
        <v>3.08</v>
      </c>
      <c r="BB99" s="745">
        <v>3.1</v>
      </c>
      <c r="BC99" s="745">
        <v>3.12</v>
      </c>
      <c r="BD99" s="745">
        <v>3.14</v>
      </c>
      <c r="BE99" s="745">
        <v>3.16</v>
      </c>
      <c r="BF99" s="745">
        <v>3.17</v>
      </c>
      <c r="BG99" s="745">
        <v>3.19</v>
      </c>
      <c r="BH99" s="745">
        <v>3.21</v>
      </c>
      <c r="BI99" s="745">
        <v>3.23</v>
      </c>
      <c r="BJ99" s="745">
        <v>3.25</v>
      </c>
      <c r="BK99" s="745">
        <v>3.27</v>
      </c>
      <c r="BL99" s="745">
        <v>3.29</v>
      </c>
      <c r="BM99" s="745">
        <v>3.31</v>
      </c>
      <c r="BN99" s="745">
        <v>3.32</v>
      </c>
      <c r="BO99" s="745">
        <v>3.34</v>
      </c>
      <c r="BP99" s="745">
        <v>3.36</v>
      </c>
      <c r="BQ99" s="745">
        <v>3.38</v>
      </c>
      <c r="BR99" s="745">
        <v>3.4</v>
      </c>
      <c r="BS99" s="745">
        <v>3.42</v>
      </c>
      <c r="BT99" s="745">
        <v>3.43</v>
      </c>
      <c r="BU99" s="745">
        <v>3.45</v>
      </c>
      <c r="BV99" s="745">
        <v>3.47</v>
      </c>
      <c r="BW99" s="745">
        <v>3.49</v>
      </c>
      <c r="BX99" s="745">
        <v>3.51</v>
      </c>
      <c r="BY99" s="745">
        <v>3.53</v>
      </c>
      <c r="BZ99" s="745">
        <v>3.54</v>
      </c>
      <c r="CA99" s="745">
        <v>3.56</v>
      </c>
      <c r="CB99" s="745">
        <v>3.58</v>
      </c>
      <c r="CC99" s="745">
        <v>3.6</v>
      </c>
      <c r="CD99" s="745">
        <v>3.62</v>
      </c>
      <c r="CE99" s="745">
        <v>3.63</v>
      </c>
      <c r="CF99" s="745">
        <v>3.65</v>
      </c>
      <c r="CG99" s="745">
        <v>3.67</v>
      </c>
      <c r="CH99" s="745">
        <v>3.69</v>
      </c>
      <c r="CI99" s="745">
        <v>3.7</v>
      </c>
      <c r="CJ99" s="745">
        <v>3.72</v>
      </c>
      <c r="CK99" s="745">
        <v>3.74</v>
      </c>
      <c r="CL99" s="745">
        <v>3.76</v>
      </c>
      <c r="CM99" s="745">
        <v>3.77</v>
      </c>
      <c r="CN99" s="745">
        <v>3.79</v>
      </c>
      <c r="CO99" s="745">
        <v>3.81</v>
      </c>
      <c r="CP99" s="745">
        <v>3.83</v>
      </c>
      <c r="CQ99" s="745">
        <v>3.84</v>
      </c>
      <c r="CR99" s="745">
        <v>3.86</v>
      </c>
      <c r="CS99" s="745">
        <v>3.88</v>
      </c>
      <c r="CT99" s="745">
        <v>3.89</v>
      </c>
      <c r="CU99" s="745">
        <v>3.91</v>
      </c>
      <c r="CV99" s="745">
        <v>3.93</v>
      </c>
      <c r="CW99" s="745">
        <v>3.94</v>
      </c>
      <c r="CX99" s="745">
        <v>3.96</v>
      </c>
      <c r="CY99" s="745">
        <v>3.98</v>
      </c>
      <c r="CZ99" s="745">
        <v>3.99</v>
      </c>
      <c r="DA99" s="745">
        <v>4.01</v>
      </c>
      <c r="DB99" s="745">
        <v>4.03</v>
      </c>
      <c r="DC99" s="745">
        <v>4.04</v>
      </c>
      <c r="DD99" s="745">
        <v>4.0599999999999996</v>
      </c>
      <c r="DE99" s="745">
        <v>4.08</v>
      </c>
      <c r="DF99" s="745">
        <v>4.09</v>
      </c>
      <c r="DG99" s="745">
        <v>4.1100000000000003</v>
      </c>
      <c r="DH99" s="745">
        <v>4.12</v>
      </c>
      <c r="DI99" s="745">
        <v>4.1399999999999997</v>
      </c>
      <c r="DJ99" s="745">
        <v>4.16</v>
      </c>
      <c r="DK99" s="745">
        <v>4.17</v>
      </c>
      <c r="DL99" s="745">
        <v>4.1900000000000004</v>
      </c>
      <c r="DM99" s="745">
        <v>4.2</v>
      </c>
      <c r="DN99" s="745">
        <v>4.22</v>
      </c>
      <c r="DO99" s="745">
        <v>4.2300000000000004</v>
      </c>
      <c r="DP99" s="745">
        <v>4.25</v>
      </c>
      <c r="DQ99" s="745">
        <v>4.26</v>
      </c>
      <c r="DR99" s="745">
        <v>4.28</v>
      </c>
    </row>
    <row r="100" spans="1:122">
      <c r="A100" s="918">
        <v>98</v>
      </c>
      <c r="B100" s="90"/>
      <c r="C100" s="90"/>
      <c r="D100" s="90"/>
      <c r="E100" s="90"/>
      <c r="F100" s="90"/>
      <c r="G100" s="90"/>
      <c r="H100" s="90"/>
      <c r="I100" s="90"/>
      <c r="J100" s="90"/>
      <c r="K100" s="90"/>
      <c r="L100" s="90"/>
      <c r="M100" s="90"/>
      <c r="N100" s="90"/>
      <c r="O100" s="90"/>
      <c r="P100" s="90"/>
      <c r="Q100" s="90"/>
      <c r="R100" s="90"/>
      <c r="S100" s="90"/>
      <c r="T100" s="90"/>
      <c r="U100" s="90"/>
      <c r="V100" s="745"/>
      <c r="W100" s="745">
        <v>2.39</v>
      </c>
      <c r="X100" s="745">
        <v>2.31</v>
      </c>
      <c r="Y100" s="745">
        <v>2.34</v>
      </c>
      <c r="Z100" s="745">
        <v>2.39</v>
      </c>
      <c r="AA100" s="745">
        <v>2.39</v>
      </c>
      <c r="AB100" s="745">
        <v>2.41</v>
      </c>
      <c r="AC100" s="745">
        <v>2.4300000000000002</v>
      </c>
      <c r="AD100" s="745">
        <v>2.4500000000000002</v>
      </c>
      <c r="AE100" s="745">
        <v>2.4700000000000002</v>
      </c>
      <c r="AF100" s="745">
        <v>2.4900000000000002</v>
      </c>
      <c r="AG100" s="745">
        <v>2.5099999999999998</v>
      </c>
      <c r="AH100" s="745">
        <v>2.5299999999999998</v>
      </c>
      <c r="AI100" s="745">
        <v>2.5499999999999998</v>
      </c>
      <c r="AJ100" s="745">
        <v>2.57</v>
      </c>
      <c r="AK100" s="745">
        <v>2.59</v>
      </c>
      <c r="AL100" s="745">
        <v>2.61</v>
      </c>
      <c r="AM100" s="745">
        <v>2.62</v>
      </c>
      <c r="AN100" s="745">
        <v>2.64</v>
      </c>
      <c r="AO100" s="745">
        <v>2.66</v>
      </c>
      <c r="AP100" s="745">
        <v>2.68</v>
      </c>
      <c r="AQ100" s="745">
        <v>2.69</v>
      </c>
      <c r="AR100" s="745">
        <v>2.71</v>
      </c>
      <c r="AS100" s="745">
        <v>2.73</v>
      </c>
      <c r="AT100" s="745">
        <v>2.74</v>
      </c>
      <c r="AU100" s="745">
        <v>2.76</v>
      </c>
      <c r="AV100" s="745">
        <v>2.78</v>
      </c>
      <c r="AW100" s="745">
        <v>2.8</v>
      </c>
      <c r="AX100" s="745">
        <v>2.81</v>
      </c>
      <c r="AY100" s="745">
        <v>2.83</v>
      </c>
      <c r="AZ100" s="745">
        <v>2.85</v>
      </c>
      <c r="BA100" s="745">
        <v>2.86</v>
      </c>
      <c r="BB100" s="745">
        <v>2.88</v>
      </c>
      <c r="BC100" s="745">
        <v>2.9</v>
      </c>
      <c r="BD100" s="745">
        <v>2.91</v>
      </c>
      <c r="BE100" s="745">
        <v>2.93</v>
      </c>
      <c r="BF100" s="745">
        <v>2.95</v>
      </c>
      <c r="BG100" s="745">
        <v>2.97</v>
      </c>
      <c r="BH100" s="745">
        <v>2.98</v>
      </c>
      <c r="BI100" s="745">
        <v>3</v>
      </c>
      <c r="BJ100" s="745">
        <v>3.02</v>
      </c>
      <c r="BK100" s="745">
        <v>3.03</v>
      </c>
      <c r="BL100" s="745">
        <v>3.05</v>
      </c>
      <c r="BM100" s="745">
        <v>3.07</v>
      </c>
      <c r="BN100" s="745">
        <v>3.08</v>
      </c>
      <c r="BO100" s="745">
        <v>3.1</v>
      </c>
      <c r="BP100" s="745">
        <v>3.12</v>
      </c>
      <c r="BQ100" s="745">
        <v>3.13</v>
      </c>
      <c r="BR100" s="745">
        <v>3.15</v>
      </c>
      <c r="BS100" s="745">
        <v>3.16</v>
      </c>
      <c r="BT100" s="745">
        <v>3.18</v>
      </c>
      <c r="BU100" s="745">
        <v>3.2</v>
      </c>
      <c r="BV100" s="745">
        <v>3.21</v>
      </c>
      <c r="BW100" s="745">
        <v>3.23</v>
      </c>
      <c r="BX100" s="745">
        <v>3.25</v>
      </c>
      <c r="BY100" s="745">
        <v>3.26</v>
      </c>
      <c r="BZ100" s="745">
        <v>3.28</v>
      </c>
      <c r="CA100" s="745">
        <v>3.29</v>
      </c>
      <c r="CB100" s="745">
        <v>3.31</v>
      </c>
      <c r="CC100" s="745">
        <v>3.33</v>
      </c>
      <c r="CD100" s="745">
        <v>3.34</v>
      </c>
      <c r="CE100" s="745">
        <v>3.36</v>
      </c>
      <c r="CF100" s="745">
        <v>3.37</v>
      </c>
      <c r="CG100" s="745">
        <v>3.39</v>
      </c>
      <c r="CH100" s="745">
        <v>3.41</v>
      </c>
      <c r="CI100" s="745">
        <v>3.42</v>
      </c>
      <c r="CJ100" s="745">
        <v>3.44</v>
      </c>
      <c r="CK100" s="745">
        <v>3.45</v>
      </c>
      <c r="CL100" s="745">
        <v>3.47</v>
      </c>
      <c r="CM100" s="745">
        <v>3.48</v>
      </c>
      <c r="CN100" s="745">
        <v>3.5</v>
      </c>
      <c r="CO100" s="745">
        <v>3.51</v>
      </c>
      <c r="CP100" s="745">
        <v>3.53</v>
      </c>
      <c r="CQ100" s="745">
        <v>3.54</v>
      </c>
      <c r="CR100" s="745">
        <v>3.56</v>
      </c>
      <c r="CS100" s="745">
        <v>3.57</v>
      </c>
      <c r="CT100" s="745">
        <v>3.59</v>
      </c>
      <c r="CU100" s="745">
        <v>3.6</v>
      </c>
      <c r="CV100" s="745">
        <v>3.62</v>
      </c>
      <c r="CW100" s="745">
        <v>3.63</v>
      </c>
      <c r="CX100" s="745">
        <v>3.65</v>
      </c>
      <c r="CY100" s="745">
        <v>3.66</v>
      </c>
      <c r="CZ100" s="745">
        <v>3.68</v>
      </c>
      <c r="DA100" s="745">
        <v>3.69</v>
      </c>
      <c r="DB100" s="745">
        <v>3.71</v>
      </c>
      <c r="DC100" s="745">
        <v>3.72</v>
      </c>
      <c r="DD100" s="745">
        <v>3.74</v>
      </c>
      <c r="DE100" s="745">
        <v>3.75</v>
      </c>
      <c r="DF100" s="745">
        <v>3.76</v>
      </c>
      <c r="DG100" s="745">
        <v>3.78</v>
      </c>
      <c r="DH100" s="745">
        <v>3.79</v>
      </c>
      <c r="DI100" s="745">
        <v>3.81</v>
      </c>
      <c r="DJ100" s="745">
        <v>3.82</v>
      </c>
      <c r="DK100" s="745">
        <v>3.83</v>
      </c>
      <c r="DL100" s="745">
        <v>3.85</v>
      </c>
      <c r="DM100" s="745">
        <v>3.86</v>
      </c>
      <c r="DN100" s="745">
        <v>3.88</v>
      </c>
      <c r="DO100" s="745">
        <v>3.89</v>
      </c>
      <c r="DP100" s="745">
        <v>3.9</v>
      </c>
      <c r="DQ100" s="745">
        <v>3.92</v>
      </c>
      <c r="DR100" s="745">
        <v>3.93</v>
      </c>
    </row>
    <row r="101" spans="1:122">
      <c r="A101" s="918">
        <v>99</v>
      </c>
      <c r="B101" s="90"/>
      <c r="C101" s="90"/>
      <c r="D101" s="90"/>
      <c r="E101" s="90"/>
      <c r="F101" s="90"/>
      <c r="G101" s="90"/>
      <c r="H101" s="90"/>
      <c r="I101" s="90"/>
      <c r="J101" s="90"/>
      <c r="K101" s="90"/>
      <c r="L101" s="90"/>
      <c r="M101" s="90"/>
      <c r="N101" s="90"/>
      <c r="O101" s="90"/>
      <c r="P101" s="90"/>
      <c r="Q101" s="90"/>
      <c r="R101" s="90"/>
      <c r="S101" s="90"/>
      <c r="T101" s="90"/>
      <c r="U101" s="90"/>
      <c r="V101" s="745"/>
      <c r="W101" s="745">
        <v>2.2400000000000002</v>
      </c>
      <c r="X101" s="745">
        <v>2.17</v>
      </c>
      <c r="Y101" s="745">
        <v>2.19</v>
      </c>
      <c r="Z101" s="745">
        <v>2.2400000000000002</v>
      </c>
      <c r="AA101" s="745">
        <v>2.25</v>
      </c>
      <c r="AB101" s="745">
        <v>2.2599999999999998</v>
      </c>
      <c r="AC101" s="745">
        <v>2.2799999999999998</v>
      </c>
      <c r="AD101" s="745">
        <v>2.2999999999999998</v>
      </c>
      <c r="AE101" s="745">
        <v>2.3199999999999998</v>
      </c>
      <c r="AF101" s="745">
        <v>2.33</v>
      </c>
      <c r="AG101" s="745">
        <v>2.35</v>
      </c>
      <c r="AH101" s="745">
        <v>2.37</v>
      </c>
      <c r="AI101" s="745">
        <v>2.39</v>
      </c>
      <c r="AJ101" s="745">
        <v>2.41</v>
      </c>
      <c r="AK101" s="745">
        <v>2.42</v>
      </c>
      <c r="AL101" s="745">
        <v>2.44</v>
      </c>
      <c r="AM101" s="745">
        <v>2.46</v>
      </c>
      <c r="AN101" s="745">
        <v>2.4700000000000002</v>
      </c>
      <c r="AO101" s="745">
        <v>2.4900000000000002</v>
      </c>
      <c r="AP101" s="745">
        <v>2.5</v>
      </c>
      <c r="AQ101" s="745">
        <v>2.52</v>
      </c>
      <c r="AR101" s="745">
        <v>2.5299999999999998</v>
      </c>
      <c r="AS101" s="745">
        <v>2.5499999999999998</v>
      </c>
      <c r="AT101" s="745">
        <v>2.56</v>
      </c>
      <c r="AU101" s="745">
        <v>2.58</v>
      </c>
      <c r="AV101" s="745">
        <v>2.6</v>
      </c>
      <c r="AW101" s="745">
        <v>2.61</v>
      </c>
      <c r="AX101" s="745">
        <v>2.63</v>
      </c>
      <c r="AY101" s="745">
        <v>2.64</v>
      </c>
      <c r="AZ101" s="745">
        <v>2.66</v>
      </c>
      <c r="BA101" s="745">
        <v>2.67</v>
      </c>
      <c r="BB101" s="745">
        <v>2.69</v>
      </c>
      <c r="BC101" s="745">
        <v>2.7</v>
      </c>
      <c r="BD101" s="745">
        <v>2.72</v>
      </c>
      <c r="BE101" s="745">
        <v>2.73</v>
      </c>
      <c r="BF101" s="745">
        <v>2.75</v>
      </c>
      <c r="BG101" s="745">
        <v>2.76</v>
      </c>
      <c r="BH101" s="745">
        <v>2.78</v>
      </c>
      <c r="BI101" s="745">
        <v>2.79</v>
      </c>
      <c r="BJ101" s="745">
        <v>2.81</v>
      </c>
      <c r="BK101" s="745">
        <v>2.82</v>
      </c>
      <c r="BL101" s="745">
        <v>2.84</v>
      </c>
      <c r="BM101" s="745">
        <v>2.85</v>
      </c>
      <c r="BN101" s="745">
        <v>2.87</v>
      </c>
      <c r="BO101" s="745">
        <v>2.88</v>
      </c>
      <c r="BP101" s="745">
        <v>2.9</v>
      </c>
      <c r="BQ101" s="745">
        <v>2.91</v>
      </c>
      <c r="BR101" s="745">
        <v>2.93</v>
      </c>
      <c r="BS101" s="745">
        <v>2.94</v>
      </c>
      <c r="BT101" s="745">
        <v>2.96</v>
      </c>
      <c r="BU101" s="745">
        <v>2.97</v>
      </c>
      <c r="BV101" s="745">
        <v>2.99</v>
      </c>
      <c r="BW101" s="745">
        <v>3</v>
      </c>
      <c r="BX101" s="745">
        <v>3.02</v>
      </c>
      <c r="BY101" s="745">
        <v>3.03</v>
      </c>
      <c r="BZ101" s="745">
        <v>3.05</v>
      </c>
      <c r="CA101" s="745">
        <v>3.06</v>
      </c>
      <c r="CB101" s="745">
        <v>3.07</v>
      </c>
      <c r="CC101" s="745">
        <v>3.09</v>
      </c>
      <c r="CD101" s="745">
        <v>3.1</v>
      </c>
      <c r="CE101" s="745">
        <v>3.12</v>
      </c>
      <c r="CF101" s="745">
        <v>3.13</v>
      </c>
      <c r="CG101" s="745">
        <v>3.15</v>
      </c>
      <c r="CH101" s="745">
        <v>3.16</v>
      </c>
      <c r="CI101" s="745">
        <v>3.17</v>
      </c>
      <c r="CJ101" s="745">
        <v>3.19</v>
      </c>
      <c r="CK101" s="745">
        <v>3.2</v>
      </c>
      <c r="CL101" s="745">
        <v>3.21</v>
      </c>
      <c r="CM101" s="745">
        <v>3.23</v>
      </c>
      <c r="CN101" s="745">
        <v>3.24</v>
      </c>
      <c r="CO101" s="745">
        <v>3.26</v>
      </c>
      <c r="CP101" s="745">
        <v>3.27</v>
      </c>
      <c r="CQ101" s="745">
        <v>3.28</v>
      </c>
      <c r="CR101" s="745">
        <v>3.3</v>
      </c>
      <c r="CS101" s="745">
        <v>3.31</v>
      </c>
      <c r="CT101" s="745">
        <v>3.32</v>
      </c>
      <c r="CU101" s="745">
        <v>3.34</v>
      </c>
      <c r="CV101" s="745">
        <v>3.35</v>
      </c>
      <c r="CW101" s="745">
        <v>3.36</v>
      </c>
      <c r="CX101" s="745">
        <v>3.38</v>
      </c>
      <c r="CY101" s="745">
        <v>3.39</v>
      </c>
      <c r="CZ101" s="745">
        <v>3.4</v>
      </c>
      <c r="DA101" s="745">
        <v>3.42</v>
      </c>
      <c r="DB101" s="745">
        <v>3.43</v>
      </c>
      <c r="DC101" s="745">
        <v>3.44</v>
      </c>
      <c r="DD101" s="745">
        <v>3.45</v>
      </c>
      <c r="DE101" s="745">
        <v>3.47</v>
      </c>
      <c r="DF101" s="745">
        <v>3.48</v>
      </c>
      <c r="DG101" s="745">
        <v>3.49</v>
      </c>
      <c r="DH101" s="745">
        <v>3.5</v>
      </c>
      <c r="DI101" s="745">
        <v>3.52</v>
      </c>
      <c r="DJ101" s="745">
        <v>3.53</v>
      </c>
      <c r="DK101" s="745">
        <v>3.54</v>
      </c>
      <c r="DL101" s="745">
        <v>3.55</v>
      </c>
      <c r="DM101" s="745">
        <v>3.57</v>
      </c>
      <c r="DN101" s="745">
        <v>3.58</v>
      </c>
      <c r="DO101" s="745">
        <v>3.59</v>
      </c>
      <c r="DP101" s="745">
        <v>3.6</v>
      </c>
      <c r="DQ101" s="745">
        <v>3.61</v>
      </c>
      <c r="DR101" s="745">
        <v>3.63</v>
      </c>
    </row>
    <row r="102" spans="1:122">
      <c r="A102" s="918">
        <v>100</v>
      </c>
      <c r="B102" s="90"/>
      <c r="C102" s="90"/>
      <c r="D102" s="90"/>
      <c r="E102" s="90"/>
      <c r="F102" s="90"/>
      <c r="G102" s="90"/>
      <c r="H102" s="90"/>
      <c r="I102" s="90"/>
      <c r="J102" s="90"/>
      <c r="K102" s="90"/>
      <c r="L102" s="90"/>
      <c r="M102" s="90"/>
      <c r="N102" s="90"/>
      <c r="O102" s="90"/>
      <c r="P102" s="90"/>
      <c r="Q102" s="90"/>
      <c r="R102" s="90"/>
      <c r="S102" s="90"/>
      <c r="T102" s="90"/>
      <c r="U102" s="90"/>
      <c r="V102" s="745"/>
      <c r="W102" s="745">
        <v>2.11</v>
      </c>
      <c r="X102" s="745">
        <v>2.04</v>
      </c>
      <c r="Y102" s="745">
        <v>2.0699999999999998</v>
      </c>
      <c r="Z102" s="745">
        <v>2.11</v>
      </c>
      <c r="AA102" s="745">
        <v>2.11</v>
      </c>
      <c r="AB102" s="745">
        <v>2.13</v>
      </c>
      <c r="AC102" s="745">
        <v>2.15</v>
      </c>
      <c r="AD102" s="745">
        <v>2.16</v>
      </c>
      <c r="AE102" s="745">
        <v>2.1800000000000002</v>
      </c>
      <c r="AF102" s="745">
        <v>2.2000000000000002</v>
      </c>
      <c r="AG102" s="745">
        <v>2.21</v>
      </c>
      <c r="AH102" s="745">
        <v>2.23</v>
      </c>
      <c r="AI102" s="745">
        <v>2.2400000000000002</v>
      </c>
      <c r="AJ102" s="745">
        <v>2.2599999999999998</v>
      </c>
      <c r="AK102" s="745">
        <v>2.2799999999999998</v>
      </c>
      <c r="AL102" s="745">
        <v>2.29</v>
      </c>
      <c r="AM102" s="745">
        <v>2.31</v>
      </c>
      <c r="AN102" s="745">
        <v>2.3199999999999998</v>
      </c>
      <c r="AO102" s="745">
        <v>2.33</v>
      </c>
      <c r="AP102" s="745">
        <v>2.35</v>
      </c>
      <c r="AQ102" s="745">
        <v>2.36</v>
      </c>
      <c r="AR102" s="745">
        <v>2.38</v>
      </c>
      <c r="AS102" s="745">
        <v>2.39</v>
      </c>
      <c r="AT102" s="745">
        <v>2.41</v>
      </c>
      <c r="AU102" s="745">
        <v>2.42</v>
      </c>
      <c r="AV102" s="745">
        <v>2.4300000000000002</v>
      </c>
      <c r="AW102" s="745">
        <v>2.4500000000000002</v>
      </c>
      <c r="AX102" s="745">
        <v>2.46</v>
      </c>
      <c r="AY102" s="745">
        <v>2.48</v>
      </c>
      <c r="AZ102" s="745">
        <v>2.4900000000000002</v>
      </c>
      <c r="BA102" s="745">
        <v>2.5</v>
      </c>
      <c r="BB102" s="745">
        <v>2.52</v>
      </c>
      <c r="BC102" s="745">
        <v>2.5299999999999998</v>
      </c>
      <c r="BD102" s="745">
        <v>2.5499999999999998</v>
      </c>
      <c r="BE102" s="745">
        <v>2.56</v>
      </c>
      <c r="BF102" s="745">
        <v>2.57</v>
      </c>
      <c r="BG102" s="745">
        <v>2.59</v>
      </c>
      <c r="BH102" s="745">
        <v>2.6</v>
      </c>
      <c r="BI102" s="745">
        <v>2.61</v>
      </c>
      <c r="BJ102" s="745">
        <v>2.63</v>
      </c>
      <c r="BK102" s="745">
        <v>2.64</v>
      </c>
      <c r="BL102" s="745">
        <v>2.66</v>
      </c>
      <c r="BM102" s="745">
        <v>2.67</v>
      </c>
      <c r="BN102" s="745">
        <v>2.68</v>
      </c>
      <c r="BO102" s="745">
        <v>2.7</v>
      </c>
      <c r="BP102" s="745">
        <v>2.71</v>
      </c>
      <c r="BQ102" s="745">
        <v>2.72</v>
      </c>
      <c r="BR102" s="745">
        <v>2.74</v>
      </c>
      <c r="BS102" s="745">
        <v>2.75</v>
      </c>
      <c r="BT102" s="745">
        <v>2.76</v>
      </c>
      <c r="BU102" s="745">
        <v>2.78</v>
      </c>
      <c r="BV102" s="745">
        <v>2.79</v>
      </c>
      <c r="BW102" s="745">
        <v>2.8</v>
      </c>
      <c r="BX102" s="745">
        <v>2.82</v>
      </c>
      <c r="BY102" s="745">
        <v>2.83</v>
      </c>
      <c r="BZ102" s="745">
        <v>2.84</v>
      </c>
      <c r="CA102" s="745">
        <v>2.85</v>
      </c>
      <c r="CB102" s="745">
        <v>2.87</v>
      </c>
      <c r="CC102" s="745">
        <v>2.88</v>
      </c>
      <c r="CD102" s="745">
        <v>2.89</v>
      </c>
      <c r="CE102" s="745">
        <v>2.91</v>
      </c>
      <c r="CF102" s="745">
        <v>2.92</v>
      </c>
      <c r="CG102" s="745">
        <v>2.93</v>
      </c>
      <c r="CH102" s="745">
        <v>2.94</v>
      </c>
      <c r="CI102" s="745">
        <v>2.96</v>
      </c>
      <c r="CJ102" s="745">
        <v>2.97</v>
      </c>
      <c r="CK102" s="745">
        <v>2.98</v>
      </c>
      <c r="CL102" s="745">
        <v>2.99</v>
      </c>
      <c r="CM102" s="745">
        <v>3.01</v>
      </c>
      <c r="CN102" s="745">
        <v>3.02</v>
      </c>
      <c r="CO102" s="745">
        <v>3.03</v>
      </c>
      <c r="CP102" s="745">
        <v>3.04</v>
      </c>
      <c r="CQ102" s="745">
        <v>3.06</v>
      </c>
      <c r="CR102" s="745">
        <v>3.07</v>
      </c>
      <c r="CS102" s="745">
        <v>3.08</v>
      </c>
      <c r="CT102" s="745">
        <v>3.09</v>
      </c>
      <c r="CU102" s="745">
        <v>3.1</v>
      </c>
      <c r="CV102" s="745">
        <v>3.12</v>
      </c>
      <c r="CW102" s="745">
        <v>3.13</v>
      </c>
      <c r="CX102" s="745">
        <v>3.14</v>
      </c>
      <c r="CY102" s="745">
        <v>3.15</v>
      </c>
      <c r="CZ102" s="745">
        <v>3.16</v>
      </c>
      <c r="DA102" s="745">
        <v>3.17</v>
      </c>
      <c r="DB102" s="745">
        <v>3.19</v>
      </c>
      <c r="DC102" s="745">
        <v>3.2</v>
      </c>
      <c r="DD102" s="745">
        <v>3.21</v>
      </c>
      <c r="DE102" s="745">
        <v>3.22</v>
      </c>
      <c r="DF102" s="745">
        <v>3.23</v>
      </c>
      <c r="DG102" s="745">
        <v>3.24</v>
      </c>
      <c r="DH102" s="745">
        <v>3.25</v>
      </c>
      <c r="DI102" s="745">
        <v>3.26</v>
      </c>
      <c r="DJ102" s="745">
        <v>3.28</v>
      </c>
      <c r="DK102" s="745">
        <v>3.29</v>
      </c>
      <c r="DL102" s="745">
        <v>3.3</v>
      </c>
      <c r="DM102" s="745">
        <v>3.31</v>
      </c>
      <c r="DN102" s="745">
        <v>3.32</v>
      </c>
      <c r="DO102" s="745">
        <v>3.33</v>
      </c>
      <c r="DP102" s="745">
        <v>3.34</v>
      </c>
      <c r="DQ102" s="745">
        <v>3.35</v>
      </c>
      <c r="DR102" s="745">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phoneticPr fontId="52"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125" defaultRowHeight="14.25"/>
  <cols>
    <col min="1" max="1" width="5.5" style="25" customWidth="1"/>
    <col min="2" max="71" width="7.625" customWidth="1"/>
    <col min="72" max="72" width="7.625" style="34" customWidth="1"/>
    <col min="73" max="119" width="7.625" customWidth="1"/>
  </cols>
  <sheetData>
    <row r="1" spans="1:122" s="25" customFormat="1">
      <c r="A1" s="916"/>
      <c r="B1" s="916">
        <v>1900</v>
      </c>
      <c r="C1" s="916">
        <v>1901</v>
      </c>
      <c r="D1" s="916">
        <v>1902</v>
      </c>
      <c r="E1" s="916">
        <v>1903</v>
      </c>
      <c r="F1" s="916">
        <v>1904</v>
      </c>
      <c r="G1" s="916">
        <v>1905</v>
      </c>
      <c r="H1" s="916">
        <v>1906</v>
      </c>
      <c r="I1" s="916">
        <v>1907</v>
      </c>
      <c r="J1" s="916">
        <v>1908</v>
      </c>
      <c r="K1" s="916">
        <v>1909</v>
      </c>
      <c r="L1" s="916">
        <v>1910</v>
      </c>
      <c r="M1" s="916">
        <v>1911</v>
      </c>
      <c r="N1" s="916">
        <v>1912</v>
      </c>
      <c r="O1" s="916">
        <v>1913</v>
      </c>
      <c r="P1" s="916">
        <v>1914</v>
      </c>
      <c r="Q1" s="916">
        <v>1915</v>
      </c>
      <c r="R1" s="916">
        <v>1916</v>
      </c>
      <c r="S1" s="916">
        <v>1917</v>
      </c>
      <c r="T1" s="916">
        <v>1918</v>
      </c>
      <c r="U1" s="916">
        <v>1919</v>
      </c>
      <c r="V1" s="916">
        <v>1920</v>
      </c>
      <c r="W1" s="916">
        <v>1921</v>
      </c>
      <c r="X1" s="916">
        <v>1922</v>
      </c>
      <c r="Y1" s="916">
        <v>1923</v>
      </c>
      <c r="Z1" s="916">
        <v>1924</v>
      </c>
      <c r="AA1" s="916">
        <v>1925</v>
      </c>
      <c r="AB1" s="916">
        <v>1926</v>
      </c>
      <c r="AC1" s="916">
        <v>1927</v>
      </c>
      <c r="AD1" s="916">
        <v>1928</v>
      </c>
      <c r="AE1" s="916">
        <v>1929</v>
      </c>
      <c r="AF1" s="916">
        <v>1930</v>
      </c>
      <c r="AG1" s="916">
        <v>1931</v>
      </c>
      <c r="AH1" s="916">
        <v>1932</v>
      </c>
      <c r="AI1" s="916">
        <v>1933</v>
      </c>
      <c r="AJ1" s="916">
        <v>1934</v>
      </c>
      <c r="AK1" s="916">
        <v>1935</v>
      </c>
      <c r="AL1" s="916">
        <v>1936</v>
      </c>
      <c r="AM1" s="916">
        <v>1937</v>
      </c>
      <c r="AN1" s="916">
        <v>1938</v>
      </c>
      <c r="AO1" s="916">
        <v>1939</v>
      </c>
      <c r="AP1" s="916">
        <v>1940</v>
      </c>
      <c r="AQ1" s="916">
        <v>1941</v>
      </c>
      <c r="AR1" s="916">
        <v>1942</v>
      </c>
      <c r="AS1" s="916">
        <v>1943</v>
      </c>
      <c r="AT1" s="916">
        <v>1944</v>
      </c>
      <c r="AU1" s="916">
        <v>1945</v>
      </c>
      <c r="AV1" s="916">
        <v>1946</v>
      </c>
      <c r="AW1" s="916">
        <v>1947</v>
      </c>
      <c r="AX1" s="916">
        <v>1948</v>
      </c>
      <c r="AY1" s="916">
        <v>1949</v>
      </c>
      <c r="AZ1" s="916">
        <v>1950</v>
      </c>
      <c r="BA1" s="916">
        <v>1951</v>
      </c>
      <c r="BB1" s="916">
        <v>1952</v>
      </c>
      <c r="BC1" s="916">
        <v>1953</v>
      </c>
      <c r="BD1" s="916">
        <v>1954</v>
      </c>
      <c r="BE1" s="916">
        <v>1955</v>
      </c>
      <c r="BF1" s="916">
        <v>1956</v>
      </c>
      <c r="BG1" s="916">
        <v>1957</v>
      </c>
      <c r="BH1" s="916">
        <v>1958</v>
      </c>
      <c r="BI1" s="916">
        <v>1959</v>
      </c>
      <c r="BJ1" s="916">
        <v>1960</v>
      </c>
      <c r="BK1" s="916">
        <v>1961</v>
      </c>
      <c r="BL1" s="916">
        <v>1962</v>
      </c>
      <c r="BM1" s="916">
        <v>1963</v>
      </c>
      <c r="BN1" s="916">
        <v>1964</v>
      </c>
      <c r="BO1" s="916">
        <v>1965</v>
      </c>
      <c r="BP1" s="916">
        <v>1966</v>
      </c>
      <c r="BQ1" s="916">
        <v>1967</v>
      </c>
      <c r="BR1" s="916">
        <v>1968</v>
      </c>
      <c r="BS1" s="916">
        <v>1969</v>
      </c>
      <c r="BT1" s="916">
        <v>1970</v>
      </c>
      <c r="BU1" s="916">
        <v>1971</v>
      </c>
      <c r="BV1" s="916">
        <v>1972</v>
      </c>
      <c r="BW1" s="916">
        <v>1973</v>
      </c>
      <c r="BX1" s="916">
        <v>1974</v>
      </c>
      <c r="BY1" s="916">
        <v>1975</v>
      </c>
      <c r="BZ1" s="916">
        <v>1976</v>
      </c>
      <c r="CA1" s="916">
        <v>1977</v>
      </c>
      <c r="CB1" s="916">
        <v>1978</v>
      </c>
      <c r="CC1" s="916">
        <v>1979</v>
      </c>
      <c r="CD1" s="916">
        <v>1980</v>
      </c>
      <c r="CE1" s="916">
        <v>1981</v>
      </c>
      <c r="CF1" s="916">
        <v>1982</v>
      </c>
      <c r="CG1" s="916">
        <v>1983</v>
      </c>
      <c r="CH1" s="916">
        <v>1984</v>
      </c>
      <c r="CI1" s="916">
        <v>1985</v>
      </c>
      <c r="CJ1" s="916">
        <v>1986</v>
      </c>
      <c r="CK1" s="916">
        <v>1987</v>
      </c>
      <c r="CL1" s="916">
        <v>1988</v>
      </c>
      <c r="CM1" s="916">
        <v>1989</v>
      </c>
      <c r="CN1" s="916">
        <v>1990</v>
      </c>
      <c r="CO1" s="916">
        <v>1991</v>
      </c>
      <c r="CP1" s="916">
        <v>1992</v>
      </c>
      <c r="CQ1" s="916">
        <v>1993</v>
      </c>
      <c r="CR1" s="916">
        <v>1994</v>
      </c>
      <c r="CS1" s="916">
        <v>1995</v>
      </c>
      <c r="CT1" s="916">
        <v>1996</v>
      </c>
      <c r="CU1" s="916">
        <v>1997</v>
      </c>
      <c r="CV1" s="916">
        <v>1998</v>
      </c>
      <c r="CW1" s="916">
        <v>1999</v>
      </c>
      <c r="CX1" s="916">
        <v>2000</v>
      </c>
      <c r="CY1" s="916">
        <v>2001</v>
      </c>
      <c r="CZ1" s="916">
        <v>2002</v>
      </c>
      <c r="DA1" s="916">
        <v>2003</v>
      </c>
      <c r="DB1" s="916">
        <v>2004</v>
      </c>
      <c r="DC1" s="916">
        <v>2005</v>
      </c>
      <c r="DD1" s="916">
        <v>2006</v>
      </c>
      <c r="DE1" s="916">
        <v>2007</v>
      </c>
      <c r="DF1" s="916">
        <v>2008</v>
      </c>
      <c r="DG1" s="916">
        <v>2009</v>
      </c>
      <c r="DH1" s="916">
        <v>2010</v>
      </c>
      <c r="DI1" s="916">
        <v>2011</v>
      </c>
      <c r="DJ1" s="916">
        <v>2012</v>
      </c>
      <c r="DK1" s="916">
        <v>2013</v>
      </c>
      <c r="DL1" s="916">
        <v>2014</v>
      </c>
      <c r="DM1" s="916">
        <v>2015</v>
      </c>
      <c r="DN1" s="916">
        <v>2016</v>
      </c>
      <c r="DO1" s="916">
        <v>2017</v>
      </c>
      <c r="DP1" s="916">
        <v>2018</v>
      </c>
      <c r="DQ1" s="916">
        <v>2019</v>
      </c>
      <c r="DR1" s="916">
        <v>2020</v>
      </c>
    </row>
    <row r="2" spans="1:122" s="127" customFormat="1" ht="12.75">
      <c r="A2" s="917">
        <v>0</v>
      </c>
      <c r="B2" s="913">
        <v>49.311019164994661</v>
      </c>
      <c r="C2" s="913">
        <v>49.77597133154724</v>
      </c>
      <c r="D2" s="913">
        <v>50.335085689157353</v>
      </c>
      <c r="E2" s="913">
        <v>50.909211220097291</v>
      </c>
      <c r="F2" s="913">
        <v>51.526743376337699</v>
      </c>
      <c r="G2" s="913">
        <v>52.118932721094943</v>
      </c>
      <c r="H2" s="913">
        <v>52.706720457161822</v>
      </c>
      <c r="I2" s="913">
        <v>53.446888217905673</v>
      </c>
      <c r="J2" s="913">
        <v>54.107982372963292</v>
      </c>
      <c r="K2" s="913">
        <v>54.755623733405372</v>
      </c>
      <c r="L2" s="913">
        <v>55.294539913927053</v>
      </c>
      <c r="M2" s="913">
        <v>55.56731941088313</v>
      </c>
      <c r="N2" s="913">
        <v>57.218935596426618</v>
      </c>
      <c r="O2" s="913">
        <v>56.953838727549183</v>
      </c>
      <c r="P2" s="913">
        <v>56.694231204523447</v>
      </c>
      <c r="Q2" s="913">
        <v>57.753079889365495</v>
      </c>
      <c r="R2" s="913">
        <v>58.373436212030008</v>
      </c>
      <c r="S2" s="913">
        <v>58.289426274468013</v>
      </c>
      <c r="T2" s="913">
        <v>58.250094047402769</v>
      </c>
      <c r="U2" s="913">
        <v>59.741850035807737</v>
      </c>
      <c r="V2" s="913">
        <v>61.120000000000005</v>
      </c>
      <c r="W2" s="913">
        <v>61.56</v>
      </c>
      <c r="X2" s="913">
        <v>62.325000000000003</v>
      </c>
      <c r="Y2" s="913">
        <v>62.504999999999995</v>
      </c>
      <c r="Z2" s="913">
        <v>64.36</v>
      </c>
      <c r="AA2" s="913">
        <v>64.789999999999992</v>
      </c>
      <c r="AB2" s="913">
        <v>65.414999999999992</v>
      </c>
      <c r="AC2" s="913">
        <v>66.150000000000006</v>
      </c>
      <c r="AD2" s="913">
        <v>66.89</v>
      </c>
      <c r="AE2" s="913">
        <v>66.95</v>
      </c>
      <c r="AF2" s="913">
        <v>68.06</v>
      </c>
      <c r="AG2" s="913">
        <v>68.58</v>
      </c>
      <c r="AH2" s="913">
        <v>69.009999999999991</v>
      </c>
      <c r="AI2" s="913">
        <v>69.454999999999998</v>
      </c>
      <c r="AJ2" s="913">
        <v>70.66</v>
      </c>
      <c r="AK2" s="913">
        <v>70.86</v>
      </c>
      <c r="AL2" s="913">
        <v>71.384999999999991</v>
      </c>
      <c r="AM2" s="913">
        <v>71.86</v>
      </c>
      <c r="AN2" s="913">
        <v>72.42</v>
      </c>
      <c r="AO2" s="913">
        <v>72.539999999999992</v>
      </c>
      <c r="AP2" s="913">
        <v>72.77</v>
      </c>
      <c r="AQ2" s="913">
        <v>72.935000000000002</v>
      </c>
      <c r="AR2" s="913">
        <v>73.114999999999995</v>
      </c>
      <c r="AS2" s="913">
        <v>72.699999999999989</v>
      </c>
      <c r="AT2" s="913">
        <v>72.14</v>
      </c>
      <c r="AU2" s="913">
        <v>71.19</v>
      </c>
      <c r="AV2" s="913">
        <v>71.555000000000007</v>
      </c>
      <c r="AW2" s="913">
        <v>72.064999999999998</v>
      </c>
      <c r="AX2" s="913">
        <v>73.914999999999992</v>
      </c>
      <c r="AY2" s="913">
        <v>75.484999999999999</v>
      </c>
      <c r="AZ2" s="913">
        <v>75.61</v>
      </c>
      <c r="BA2" s="913">
        <v>75.75</v>
      </c>
      <c r="BB2" s="913">
        <v>76.415000000000006</v>
      </c>
      <c r="BC2" s="913">
        <v>76.724999999999994</v>
      </c>
      <c r="BD2" s="913">
        <v>77.180000000000007</v>
      </c>
      <c r="BE2" s="913">
        <v>77.39500000000001</v>
      </c>
      <c r="BF2" s="913">
        <v>77.864999999999995</v>
      </c>
      <c r="BG2" s="913">
        <v>78.099999999999994</v>
      </c>
      <c r="BH2" s="913">
        <v>78.539999999999992</v>
      </c>
      <c r="BI2" s="913">
        <v>78.84</v>
      </c>
      <c r="BJ2" s="913">
        <v>79.175000000000011</v>
      </c>
      <c r="BK2" s="913">
        <v>79.599999999999994</v>
      </c>
      <c r="BL2" s="913">
        <v>80.064999999999998</v>
      </c>
      <c r="BM2" s="913">
        <v>80.495000000000005</v>
      </c>
      <c r="BN2" s="913">
        <v>80.89500000000001</v>
      </c>
      <c r="BO2" s="913">
        <v>81.245000000000005</v>
      </c>
      <c r="BP2" s="913">
        <v>81.534999999999997</v>
      </c>
      <c r="BQ2" s="913">
        <v>81.784999999999997</v>
      </c>
      <c r="BR2" s="913">
        <v>82.034999999999997</v>
      </c>
      <c r="BS2" s="913">
        <v>82.19</v>
      </c>
      <c r="BT2" s="914">
        <v>82.425000000000011</v>
      </c>
      <c r="BU2" s="913">
        <v>82.625</v>
      </c>
      <c r="BV2" s="913">
        <v>82.875</v>
      </c>
      <c r="BW2" s="913">
        <v>83.09</v>
      </c>
      <c r="BX2" s="913">
        <v>83.355000000000004</v>
      </c>
      <c r="BY2" s="913">
        <v>83.625</v>
      </c>
      <c r="BZ2" s="913">
        <v>84</v>
      </c>
      <c r="CA2" s="913">
        <v>84.3</v>
      </c>
      <c r="CB2" s="913">
        <v>84.52000000000001</v>
      </c>
      <c r="CC2" s="913">
        <v>84.784999999999997</v>
      </c>
      <c r="CD2" s="913">
        <v>85.025000000000006</v>
      </c>
      <c r="CE2" s="913">
        <v>85.245000000000005</v>
      </c>
      <c r="CF2" s="913">
        <v>85.504999999999995</v>
      </c>
      <c r="CG2" s="913">
        <v>85.740000000000009</v>
      </c>
      <c r="CH2" s="913">
        <v>85.954999999999998</v>
      </c>
      <c r="CI2" s="913">
        <v>86.205000000000013</v>
      </c>
      <c r="CJ2" s="913">
        <v>86.385000000000005</v>
      </c>
      <c r="CK2" s="913">
        <v>86.58</v>
      </c>
      <c r="CL2" s="913">
        <v>86.825000000000003</v>
      </c>
      <c r="CM2" s="913">
        <v>87</v>
      </c>
      <c r="CN2" s="913">
        <v>87.210000000000008</v>
      </c>
      <c r="CO2" s="913">
        <v>87.41</v>
      </c>
      <c r="CP2" s="913">
        <v>87.60499999999999</v>
      </c>
      <c r="CQ2" s="913">
        <v>87.795000000000002</v>
      </c>
      <c r="CR2" s="913">
        <v>87.960000000000008</v>
      </c>
      <c r="CS2" s="913">
        <v>88.144999999999996</v>
      </c>
      <c r="CT2" s="913">
        <v>88.31</v>
      </c>
      <c r="CU2" s="913">
        <v>88.47</v>
      </c>
      <c r="CV2" s="913">
        <v>88.615000000000009</v>
      </c>
      <c r="CW2" s="913">
        <v>88.77000000000001</v>
      </c>
      <c r="CX2" s="913">
        <v>88.944999999999993</v>
      </c>
      <c r="CY2" s="913">
        <v>89.085000000000008</v>
      </c>
      <c r="CZ2" s="913">
        <v>89.224999999999994</v>
      </c>
      <c r="DA2" s="913">
        <v>89.36</v>
      </c>
      <c r="DB2" s="913">
        <v>89.515000000000001</v>
      </c>
      <c r="DC2" s="913">
        <v>89.664999999999992</v>
      </c>
      <c r="DD2" s="913">
        <v>89.8</v>
      </c>
      <c r="DE2" s="913">
        <v>89.935000000000002</v>
      </c>
      <c r="DF2" s="913">
        <v>90.1</v>
      </c>
      <c r="DG2" s="913">
        <v>90.22</v>
      </c>
      <c r="DH2" s="913">
        <v>90.36</v>
      </c>
      <c r="DI2" s="913">
        <v>90.474999999999994</v>
      </c>
      <c r="DJ2" s="913">
        <v>90.63</v>
      </c>
      <c r="DK2" s="913">
        <v>90.759999999999991</v>
      </c>
      <c r="DL2" s="913">
        <v>90.88</v>
      </c>
      <c r="DM2" s="913">
        <v>90.995000000000005</v>
      </c>
      <c r="DN2" s="913">
        <v>91.11</v>
      </c>
      <c r="DO2" s="913">
        <v>91.24</v>
      </c>
      <c r="DP2" s="913">
        <v>91.37</v>
      </c>
      <c r="DQ2" s="913">
        <v>91.504999999999995</v>
      </c>
      <c r="DR2" s="913">
        <v>91.635000000000005</v>
      </c>
    </row>
    <row r="3" spans="1:122" s="127" customFormat="1" ht="12.75">
      <c r="A3" s="917">
        <v>1</v>
      </c>
      <c r="B3" s="913">
        <v>60.841018057907235</v>
      </c>
      <c r="C3" s="913">
        <v>61.193082494465351</v>
      </c>
      <c r="D3" s="913">
        <v>61.660510779131606</v>
      </c>
      <c r="E3" s="913">
        <v>62.143027895449613</v>
      </c>
      <c r="F3" s="913">
        <v>62.675965476552612</v>
      </c>
      <c r="G3" s="913">
        <v>63.172948102677935</v>
      </c>
      <c r="H3" s="913">
        <v>63.660398852700077</v>
      </c>
      <c r="I3" s="913">
        <v>64.189361580518835</v>
      </c>
      <c r="J3" s="913">
        <v>64.615665413658405</v>
      </c>
      <c r="K3" s="913">
        <v>65.021670980704599</v>
      </c>
      <c r="L3" s="913">
        <v>65.292810159798577</v>
      </c>
      <c r="M3" s="913">
        <v>65.62070112328442</v>
      </c>
      <c r="N3" s="913">
        <v>65.986259689198178</v>
      </c>
      <c r="O3" s="913">
        <v>65.888865193654198</v>
      </c>
      <c r="P3" s="913">
        <v>66.54161458035577</v>
      </c>
      <c r="Q3" s="913">
        <v>66.712097300417724</v>
      </c>
      <c r="R3" s="913">
        <v>66.751961518520503</v>
      </c>
      <c r="S3" s="913">
        <v>67.331256199332444</v>
      </c>
      <c r="T3" s="913">
        <v>67.980247285998857</v>
      </c>
      <c r="U3" s="913">
        <v>68.667502831344564</v>
      </c>
      <c r="V3" s="913">
        <v>69.295000000000002</v>
      </c>
      <c r="W3" s="913">
        <v>69.935000000000002</v>
      </c>
      <c r="X3" s="913">
        <v>70.465000000000003</v>
      </c>
      <c r="Y3" s="913">
        <v>70.884999999999991</v>
      </c>
      <c r="Z3" s="913">
        <v>71.12</v>
      </c>
      <c r="AA3" s="913">
        <v>71.324999999999989</v>
      </c>
      <c r="AB3" s="913">
        <v>71.734999999999999</v>
      </c>
      <c r="AC3" s="913">
        <v>72.14500000000001</v>
      </c>
      <c r="AD3" s="913">
        <v>72.365000000000009</v>
      </c>
      <c r="AE3" s="913">
        <v>72.905000000000001</v>
      </c>
      <c r="AF3" s="913">
        <v>73.254999999999995</v>
      </c>
      <c r="AG3" s="913">
        <v>73.575000000000003</v>
      </c>
      <c r="AH3" s="913">
        <v>73.875</v>
      </c>
      <c r="AI3" s="913">
        <v>74.155000000000001</v>
      </c>
      <c r="AJ3" s="913">
        <v>74.61</v>
      </c>
      <c r="AK3" s="913">
        <v>74.990000000000009</v>
      </c>
      <c r="AL3" s="913">
        <v>75.385000000000005</v>
      </c>
      <c r="AM3" s="913">
        <v>75.75</v>
      </c>
      <c r="AN3" s="913">
        <v>76.025000000000006</v>
      </c>
      <c r="AO3" s="913">
        <v>76.259999999999991</v>
      </c>
      <c r="AP3" s="913">
        <v>76.504999999999995</v>
      </c>
      <c r="AQ3" s="913">
        <v>76.680000000000007</v>
      </c>
      <c r="AR3" s="913">
        <v>76.87</v>
      </c>
      <c r="AS3" s="913">
        <v>76.94</v>
      </c>
      <c r="AT3" s="913">
        <v>77.099999999999994</v>
      </c>
      <c r="AU3" s="913">
        <v>77.375</v>
      </c>
      <c r="AV3" s="913">
        <v>77.669999999999987</v>
      </c>
      <c r="AW3" s="913">
        <v>78.234999999999999</v>
      </c>
      <c r="AX3" s="913">
        <v>78.72</v>
      </c>
      <c r="AY3" s="913">
        <v>78.885000000000005</v>
      </c>
      <c r="AZ3" s="913">
        <v>79.015000000000001</v>
      </c>
      <c r="BA3" s="913">
        <v>79.164999999999992</v>
      </c>
      <c r="BB3" s="913">
        <v>79.335000000000008</v>
      </c>
      <c r="BC3" s="913">
        <v>79.5</v>
      </c>
      <c r="BD3" s="913">
        <v>79.66</v>
      </c>
      <c r="BE3" s="913">
        <v>79.84</v>
      </c>
      <c r="BF3" s="913">
        <v>80.06</v>
      </c>
      <c r="BG3" s="913">
        <v>80.259999999999991</v>
      </c>
      <c r="BH3" s="913">
        <v>80.525000000000006</v>
      </c>
      <c r="BI3" s="913">
        <v>80.739999999999995</v>
      </c>
      <c r="BJ3" s="913">
        <v>80.974999999999994</v>
      </c>
      <c r="BK3" s="913">
        <v>81.2</v>
      </c>
      <c r="BL3" s="913">
        <v>81.474999999999994</v>
      </c>
      <c r="BM3" s="913">
        <v>81.754999999999995</v>
      </c>
      <c r="BN3" s="913">
        <v>81.974999999999994</v>
      </c>
      <c r="BO3" s="913">
        <v>82.215000000000003</v>
      </c>
      <c r="BP3" s="913">
        <v>82.444999999999993</v>
      </c>
      <c r="BQ3" s="913">
        <v>82.664999999999992</v>
      </c>
      <c r="BR3" s="913">
        <v>82.85499999999999</v>
      </c>
      <c r="BS3" s="913">
        <v>83.075000000000003</v>
      </c>
      <c r="BT3" s="914">
        <v>83.284999999999997</v>
      </c>
      <c r="BU3" s="913">
        <v>83.454999999999998</v>
      </c>
      <c r="BV3" s="913">
        <v>83.66</v>
      </c>
      <c r="BW3" s="913">
        <v>83.844999999999999</v>
      </c>
      <c r="BX3" s="913">
        <v>84.034999999999997</v>
      </c>
      <c r="BY3" s="913">
        <v>84.215000000000003</v>
      </c>
      <c r="BZ3" s="913">
        <v>84.38</v>
      </c>
      <c r="CA3" s="913">
        <v>84.555000000000007</v>
      </c>
      <c r="CB3" s="913">
        <v>84.72999999999999</v>
      </c>
      <c r="CC3" s="913">
        <v>84.905000000000001</v>
      </c>
      <c r="CD3" s="913">
        <v>85.094999999999999</v>
      </c>
      <c r="CE3" s="913">
        <v>85.26</v>
      </c>
      <c r="CF3" s="913">
        <v>85.44</v>
      </c>
      <c r="CG3" s="913">
        <v>85.625</v>
      </c>
      <c r="CH3" s="913">
        <v>85.789999999999992</v>
      </c>
      <c r="CI3" s="913">
        <v>85.990000000000009</v>
      </c>
      <c r="CJ3" s="913">
        <v>86.135000000000005</v>
      </c>
      <c r="CK3" s="913">
        <v>86.305000000000007</v>
      </c>
      <c r="CL3" s="913">
        <v>86.490000000000009</v>
      </c>
      <c r="CM3" s="913">
        <v>86.65</v>
      </c>
      <c r="CN3" s="913">
        <v>86.824999999999989</v>
      </c>
      <c r="CO3" s="913">
        <v>86.98</v>
      </c>
      <c r="CP3" s="913">
        <v>87.135000000000005</v>
      </c>
      <c r="CQ3" s="913">
        <v>87.289999999999992</v>
      </c>
      <c r="CR3" s="913">
        <v>87.44</v>
      </c>
      <c r="CS3" s="913">
        <v>87.60499999999999</v>
      </c>
      <c r="CT3" s="913">
        <v>87.75</v>
      </c>
      <c r="CU3" s="913">
        <v>87.894999999999996</v>
      </c>
      <c r="CV3" s="913">
        <v>88.025000000000006</v>
      </c>
      <c r="CW3" s="913">
        <v>88.17</v>
      </c>
      <c r="CX3" s="913">
        <v>88.325000000000003</v>
      </c>
      <c r="CY3" s="913">
        <v>88.465000000000003</v>
      </c>
      <c r="CZ3" s="913">
        <v>88.594999999999999</v>
      </c>
      <c r="DA3" s="913">
        <v>88.740000000000009</v>
      </c>
      <c r="DB3" s="913">
        <v>88.88</v>
      </c>
      <c r="DC3" s="913">
        <v>89.004999999999995</v>
      </c>
      <c r="DD3" s="913">
        <v>89.144999999999996</v>
      </c>
      <c r="DE3" s="913">
        <v>89.28</v>
      </c>
      <c r="DF3" s="913">
        <v>89.414999999999992</v>
      </c>
      <c r="DG3" s="913">
        <v>89.539999999999992</v>
      </c>
      <c r="DH3" s="913">
        <v>89.67</v>
      </c>
      <c r="DI3" s="913">
        <v>89.800000000000011</v>
      </c>
      <c r="DJ3" s="913">
        <v>89.924999999999997</v>
      </c>
      <c r="DK3" s="913">
        <v>90.05</v>
      </c>
      <c r="DL3" s="913">
        <v>90.169999999999987</v>
      </c>
      <c r="DM3" s="913">
        <v>90.295000000000002</v>
      </c>
      <c r="DN3" s="913">
        <v>90.42</v>
      </c>
      <c r="DO3" s="913">
        <v>90.534999999999997</v>
      </c>
      <c r="DP3" s="913">
        <v>90.66</v>
      </c>
      <c r="DQ3" s="913">
        <v>90.78</v>
      </c>
      <c r="DR3" s="913">
        <v>90.89500000000001</v>
      </c>
    </row>
    <row r="4" spans="1:122" s="127" customFormat="1" ht="12.75">
      <c r="A4" s="917">
        <v>2</v>
      </c>
      <c r="B4" s="913">
        <v>62.686502021435018</v>
      </c>
      <c r="C4" s="913">
        <v>62.976895097437762</v>
      </c>
      <c r="D4" s="913">
        <v>63.387108419435904</v>
      </c>
      <c r="E4" s="913">
        <v>63.81205216295713</v>
      </c>
      <c r="F4" s="913">
        <v>64.288503357955562</v>
      </c>
      <c r="G4" s="913">
        <v>64.726335605260971</v>
      </c>
      <c r="H4" s="913">
        <v>65.10510753865141</v>
      </c>
      <c r="I4" s="913">
        <v>65.525462220822774</v>
      </c>
      <c r="J4" s="913">
        <v>65.83794233802206</v>
      </c>
      <c r="K4" s="913">
        <v>66.128281004509034</v>
      </c>
      <c r="L4" s="913">
        <v>66.408284325303867</v>
      </c>
      <c r="M4" s="913">
        <v>66.631708530391222</v>
      </c>
      <c r="N4" s="913">
        <v>66.893118002135196</v>
      </c>
      <c r="O4" s="913">
        <v>66.952610951762964</v>
      </c>
      <c r="P4" s="913">
        <v>67.445412636544319</v>
      </c>
      <c r="Q4" s="913">
        <v>67.505651166540829</v>
      </c>
      <c r="R4" s="913">
        <v>67.660431380052728</v>
      </c>
      <c r="S4" s="913">
        <v>68.371660441979415</v>
      </c>
      <c r="T4" s="913">
        <v>68.861990373946128</v>
      </c>
      <c r="U4" s="913">
        <v>69.403675414121636</v>
      </c>
      <c r="V4" s="913">
        <v>69.875</v>
      </c>
      <c r="W4" s="913">
        <v>70.289999999999992</v>
      </c>
      <c r="X4" s="913">
        <v>70.85499999999999</v>
      </c>
      <c r="Y4" s="913">
        <v>70.990000000000009</v>
      </c>
      <c r="Z4" s="913">
        <v>71.234999999999999</v>
      </c>
      <c r="AA4" s="913">
        <v>71.444999999999993</v>
      </c>
      <c r="AB4" s="913">
        <v>71.775000000000006</v>
      </c>
      <c r="AC4" s="913">
        <v>71.989999999999995</v>
      </c>
      <c r="AD4" s="913">
        <v>72.27</v>
      </c>
      <c r="AE4" s="913">
        <v>72.599999999999994</v>
      </c>
      <c r="AF4" s="913">
        <v>72.930000000000007</v>
      </c>
      <c r="AG4" s="913">
        <v>73.215000000000003</v>
      </c>
      <c r="AH4" s="913">
        <v>73.525000000000006</v>
      </c>
      <c r="AI4" s="913">
        <v>73.8</v>
      </c>
      <c r="AJ4" s="913">
        <v>74.185000000000002</v>
      </c>
      <c r="AK4" s="913">
        <v>74.55</v>
      </c>
      <c r="AL4" s="913">
        <v>74.935000000000002</v>
      </c>
      <c r="AM4" s="913">
        <v>75.27</v>
      </c>
      <c r="AN4" s="913">
        <v>75.555000000000007</v>
      </c>
      <c r="AO4" s="913">
        <v>75.789999999999992</v>
      </c>
      <c r="AP4" s="913">
        <v>76.039999999999992</v>
      </c>
      <c r="AQ4" s="913">
        <v>76.215000000000003</v>
      </c>
      <c r="AR4" s="913">
        <v>76.460000000000008</v>
      </c>
      <c r="AS4" s="913">
        <v>76.614999999999995</v>
      </c>
      <c r="AT4" s="913">
        <v>76.91</v>
      </c>
      <c r="AU4" s="913">
        <v>77.14</v>
      </c>
      <c r="AV4" s="913">
        <v>77.444999999999993</v>
      </c>
      <c r="AW4" s="913">
        <v>77.855000000000004</v>
      </c>
      <c r="AX4" s="913">
        <v>78.02</v>
      </c>
      <c r="AY4" s="913">
        <v>78.185000000000002</v>
      </c>
      <c r="AZ4" s="913">
        <v>78.319999999999993</v>
      </c>
      <c r="BA4" s="913">
        <v>78.444999999999993</v>
      </c>
      <c r="BB4" s="913">
        <v>78.599999999999994</v>
      </c>
      <c r="BC4" s="913">
        <v>78.740000000000009</v>
      </c>
      <c r="BD4" s="913">
        <v>78.905000000000001</v>
      </c>
      <c r="BE4" s="913">
        <v>79.069999999999993</v>
      </c>
      <c r="BF4" s="913">
        <v>79.3</v>
      </c>
      <c r="BG4" s="913">
        <v>79.47</v>
      </c>
      <c r="BH4" s="913">
        <v>79.739999999999995</v>
      </c>
      <c r="BI4" s="913">
        <v>79.930000000000007</v>
      </c>
      <c r="BJ4" s="913">
        <v>80.16</v>
      </c>
      <c r="BK4" s="913">
        <v>80.38</v>
      </c>
      <c r="BL4" s="913">
        <v>80.64</v>
      </c>
      <c r="BM4" s="913">
        <v>80.905000000000001</v>
      </c>
      <c r="BN4" s="913">
        <v>81.125</v>
      </c>
      <c r="BO4" s="913">
        <v>81.35499999999999</v>
      </c>
      <c r="BP4" s="913">
        <v>81.585000000000008</v>
      </c>
      <c r="BQ4" s="913">
        <v>81.790000000000006</v>
      </c>
      <c r="BR4" s="913">
        <v>82</v>
      </c>
      <c r="BS4" s="913">
        <v>82.205000000000013</v>
      </c>
      <c r="BT4" s="914">
        <v>82.4</v>
      </c>
      <c r="BU4" s="913">
        <v>82.56</v>
      </c>
      <c r="BV4" s="913">
        <v>82.759999999999991</v>
      </c>
      <c r="BW4" s="913">
        <v>82.95</v>
      </c>
      <c r="BX4" s="913">
        <v>83.13</v>
      </c>
      <c r="BY4" s="913">
        <v>83.300000000000011</v>
      </c>
      <c r="BZ4" s="913">
        <v>83.465000000000003</v>
      </c>
      <c r="CA4" s="913">
        <v>83.64</v>
      </c>
      <c r="CB4" s="913">
        <v>83.814999999999998</v>
      </c>
      <c r="CC4" s="913">
        <v>83.97999999999999</v>
      </c>
      <c r="CD4" s="913">
        <v>84.17</v>
      </c>
      <c r="CE4" s="913">
        <v>84.335000000000008</v>
      </c>
      <c r="CF4" s="913">
        <v>84.515000000000001</v>
      </c>
      <c r="CG4" s="913">
        <v>84.69</v>
      </c>
      <c r="CH4" s="913">
        <v>84.86</v>
      </c>
      <c r="CI4" s="913">
        <v>85.050000000000011</v>
      </c>
      <c r="CJ4" s="913">
        <v>85.194999999999993</v>
      </c>
      <c r="CK4" s="913">
        <v>85.36</v>
      </c>
      <c r="CL4" s="913">
        <v>85.539999999999992</v>
      </c>
      <c r="CM4" s="913">
        <v>85.704999999999998</v>
      </c>
      <c r="CN4" s="913">
        <v>85.875</v>
      </c>
      <c r="CO4" s="913">
        <v>86.03</v>
      </c>
      <c r="CP4" s="913">
        <v>86.185000000000002</v>
      </c>
      <c r="CQ4" s="913">
        <v>86.34</v>
      </c>
      <c r="CR4" s="913">
        <v>86.484999999999999</v>
      </c>
      <c r="CS4" s="913">
        <v>86.64</v>
      </c>
      <c r="CT4" s="913">
        <v>86.789999999999992</v>
      </c>
      <c r="CU4" s="913">
        <v>86.93</v>
      </c>
      <c r="CV4" s="913">
        <v>87.06</v>
      </c>
      <c r="CW4" s="913">
        <v>87.210000000000008</v>
      </c>
      <c r="CX4" s="913">
        <v>87.36</v>
      </c>
      <c r="CY4" s="913">
        <v>87.5</v>
      </c>
      <c r="CZ4" s="913">
        <v>87.634999999999991</v>
      </c>
      <c r="DA4" s="913">
        <v>87.77000000000001</v>
      </c>
      <c r="DB4" s="913">
        <v>87.905000000000001</v>
      </c>
      <c r="DC4" s="913">
        <v>88.039999999999992</v>
      </c>
      <c r="DD4" s="913">
        <v>88.174999999999997</v>
      </c>
      <c r="DE4" s="913">
        <v>88.305000000000007</v>
      </c>
      <c r="DF4" s="913">
        <v>88.44</v>
      </c>
      <c r="DG4" s="913">
        <v>88.57</v>
      </c>
      <c r="DH4" s="913">
        <v>88.694999999999993</v>
      </c>
      <c r="DI4" s="913">
        <v>88.824999999999989</v>
      </c>
      <c r="DJ4" s="913">
        <v>88.944999999999993</v>
      </c>
      <c r="DK4" s="913">
        <v>89.075000000000003</v>
      </c>
      <c r="DL4" s="913">
        <v>89.194999999999993</v>
      </c>
      <c r="DM4" s="913">
        <v>89.314999999999998</v>
      </c>
      <c r="DN4" s="913">
        <v>89.44</v>
      </c>
      <c r="DO4" s="913">
        <v>89.56</v>
      </c>
      <c r="DP4" s="913">
        <v>89.68</v>
      </c>
      <c r="DQ4" s="913">
        <v>89.8</v>
      </c>
      <c r="DR4" s="913">
        <v>89.914999999999992</v>
      </c>
    </row>
    <row r="5" spans="1:122" s="127" customFormat="1" ht="12.75">
      <c r="A5" s="917">
        <v>3</v>
      </c>
      <c r="B5" s="913">
        <v>62.806752168954716</v>
      </c>
      <c r="C5" s="913">
        <v>63.055035770892559</v>
      </c>
      <c r="D5" s="913">
        <v>63.424754761212895</v>
      </c>
      <c r="E5" s="913">
        <v>63.808885683616992</v>
      </c>
      <c r="F5" s="913">
        <v>64.244727937909445</v>
      </c>
      <c r="G5" s="913">
        <v>64.639610089311944</v>
      </c>
      <c r="H5" s="913">
        <v>64.974030953527929</v>
      </c>
      <c r="I5" s="913">
        <v>65.35005993848435</v>
      </c>
      <c r="J5" s="913">
        <v>65.616349629978444</v>
      </c>
      <c r="K5" s="913">
        <v>65.910147119310835</v>
      </c>
      <c r="L5" s="913">
        <v>66.236579205512257</v>
      </c>
      <c r="M5" s="913">
        <v>66.506103580325572</v>
      </c>
      <c r="N5" s="913">
        <v>66.765532265964794</v>
      </c>
      <c r="O5" s="913">
        <v>67.075106298927707</v>
      </c>
      <c r="P5" s="913">
        <v>67.347543734350765</v>
      </c>
      <c r="Q5" s="913">
        <v>67.550341585735623</v>
      </c>
      <c r="R5" s="913">
        <v>68.154094353360776</v>
      </c>
      <c r="S5" s="913">
        <v>68.603520534367675</v>
      </c>
      <c r="T5" s="913">
        <v>68.814007083154166</v>
      </c>
      <c r="U5" s="913">
        <v>69.20937750467246</v>
      </c>
      <c r="V5" s="913">
        <v>69.62</v>
      </c>
      <c r="W5" s="913">
        <v>70.064999999999998</v>
      </c>
      <c r="X5" s="913">
        <v>70.284999999999997</v>
      </c>
      <c r="Y5" s="913">
        <v>70.419999999999987</v>
      </c>
      <c r="Z5" s="913">
        <v>70.66</v>
      </c>
      <c r="AA5" s="913">
        <v>70.900000000000006</v>
      </c>
      <c r="AB5" s="913">
        <v>71.180000000000007</v>
      </c>
      <c r="AC5" s="913">
        <v>71.460000000000008</v>
      </c>
      <c r="AD5" s="913">
        <v>71.650000000000006</v>
      </c>
      <c r="AE5" s="913">
        <v>71.935000000000002</v>
      </c>
      <c r="AF5" s="913">
        <v>72.234999999999999</v>
      </c>
      <c r="AG5" s="913">
        <v>72.525000000000006</v>
      </c>
      <c r="AH5" s="913">
        <v>72.835000000000008</v>
      </c>
      <c r="AI5" s="913">
        <v>73.16</v>
      </c>
      <c r="AJ5" s="913">
        <v>73.569999999999993</v>
      </c>
      <c r="AK5" s="913">
        <v>73.894999999999996</v>
      </c>
      <c r="AL5" s="913">
        <v>74.254999999999995</v>
      </c>
      <c r="AM5" s="913">
        <v>74.614999999999995</v>
      </c>
      <c r="AN5" s="913">
        <v>74.900000000000006</v>
      </c>
      <c r="AO5" s="913">
        <v>75.14</v>
      </c>
      <c r="AP5" s="913">
        <v>75.384999999999991</v>
      </c>
      <c r="AQ5" s="913">
        <v>75.599999999999994</v>
      </c>
      <c r="AR5" s="913">
        <v>75.905000000000001</v>
      </c>
      <c r="AS5" s="913">
        <v>76.144999999999996</v>
      </c>
      <c r="AT5" s="913">
        <v>76.314999999999998</v>
      </c>
      <c r="AU5" s="913">
        <v>76.545000000000002</v>
      </c>
      <c r="AV5" s="913">
        <v>76.704999999999998</v>
      </c>
      <c r="AW5" s="913">
        <v>77.034999999999997</v>
      </c>
      <c r="AX5" s="913">
        <v>77.194999999999993</v>
      </c>
      <c r="AY5" s="913">
        <v>77.365000000000009</v>
      </c>
      <c r="AZ5" s="913">
        <v>77.460000000000008</v>
      </c>
      <c r="BA5" s="913">
        <v>77.58</v>
      </c>
      <c r="BB5" s="913">
        <v>77.724999999999994</v>
      </c>
      <c r="BC5" s="913">
        <v>77.865000000000009</v>
      </c>
      <c r="BD5" s="913">
        <v>78.02000000000001</v>
      </c>
      <c r="BE5" s="913">
        <v>78.19</v>
      </c>
      <c r="BF5" s="913">
        <v>78.405000000000001</v>
      </c>
      <c r="BG5" s="913">
        <v>78.58</v>
      </c>
      <c r="BH5" s="913">
        <v>78.84</v>
      </c>
      <c r="BI5" s="913">
        <v>79.025000000000006</v>
      </c>
      <c r="BJ5" s="913">
        <v>79.259999999999991</v>
      </c>
      <c r="BK5" s="913">
        <v>79.474999999999994</v>
      </c>
      <c r="BL5" s="913">
        <v>79.724999999999994</v>
      </c>
      <c r="BM5" s="913">
        <v>79.984999999999999</v>
      </c>
      <c r="BN5" s="913">
        <v>80.204999999999998</v>
      </c>
      <c r="BO5" s="913">
        <v>80.425000000000011</v>
      </c>
      <c r="BP5" s="913">
        <v>80.66</v>
      </c>
      <c r="BQ5" s="913">
        <v>80.87</v>
      </c>
      <c r="BR5" s="913">
        <v>81.064999999999998</v>
      </c>
      <c r="BS5" s="913">
        <v>81.275000000000006</v>
      </c>
      <c r="BT5" s="914">
        <v>81.465000000000003</v>
      </c>
      <c r="BU5" s="913">
        <v>81.625</v>
      </c>
      <c r="BV5" s="913">
        <v>81.824999999999989</v>
      </c>
      <c r="BW5" s="913">
        <v>82.004999999999995</v>
      </c>
      <c r="BX5" s="913">
        <v>82.19</v>
      </c>
      <c r="BY5" s="913">
        <v>82.355000000000004</v>
      </c>
      <c r="BZ5" s="913">
        <v>82.52</v>
      </c>
      <c r="CA5" s="913">
        <v>82.694999999999993</v>
      </c>
      <c r="CB5" s="913">
        <v>82.86</v>
      </c>
      <c r="CC5" s="913">
        <v>83.03</v>
      </c>
      <c r="CD5" s="913">
        <v>83.215000000000003</v>
      </c>
      <c r="CE5" s="913">
        <v>83.375</v>
      </c>
      <c r="CF5" s="913">
        <v>83.555000000000007</v>
      </c>
      <c r="CG5" s="913">
        <v>83.724999999999994</v>
      </c>
      <c r="CH5" s="913">
        <v>83.894999999999996</v>
      </c>
      <c r="CI5" s="913">
        <v>84.085000000000008</v>
      </c>
      <c r="CJ5" s="913">
        <v>84.234999999999999</v>
      </c>
      <c r="CK5" s="913">
        <v>84.394999999999996</v>
      </c>
      <c r="CL5" s="913">
        <v>84.575000000000003</v>
      </c>
      <c r="CM5" s="913">
        <v>84.740000000000009</v>
      </c>
      <c r="CN5" s="913">
        <v>84.9</v>
      </c>
      <c r="CO5" s="913">
        <v>85.055000000000007</v>
      </c>
      <c r="CP5" s="913">
        <v>85.210000000000008</v>
      </c>
      <c r="CQ5" s="913">
        <v>85.365000000000009</v>
      </c>
      <c r="CR5" s="913">
        <v>85.504999999999995</v>
      </c>
      <c r="CS5" s="913">
        <v>85.664999999999992</v>
      </c>
      <c r="CT5" s="913">
        <v>85.814999999999998</v>
      </c>
      <c r="CU5" s="913">
        <v>85.949999999999989</v>
      </c>
      <c r="CV5" s="913">
        <v>86.080000000000013</v>
      </c>
      <c r="CW5" s="913">
        <v>86.224999999999994</v>
      </c>
      <c r="CX5" s="913">
        <v>86.375</v>
      </c>
      <c r="CY5" s="913">
        <v>86.52</v>
      </c>
      <c r="CZ5" s="913">
        <v>86.65</v>
      </c>
      <c r="DA5" s="913">
        <v>86.784999999999997</v>
      </c>
      <c r="DB5" s="913">
        <v>86.92</v>
      </c>
      <c r="DC5" s="913">
        <v>87.05</v>
      </c>
      <c r="DD5" s="913">
        <v>87.19</v>
      </c>
      <c r="DE5" s="913">
        <v>87.32</v>
      </c>
      <c r="DF5" s="913">
        <v>87.454999999999998</v>
      </c>
      <c r="DG5" s="913">
        <v>87.580000000000013</v>
      </c>
      <c r="DH5" s="913">
        <v>87.704999999999998</v>
      </c>
      <c r="DI5" s="913">
        <v>87.83</v>
      </c>
      <c r="DJ5" s="913">
        <v>87.954999999999998</v>
      </c>
      <c r="DK5" s="913">
        <v>88.09</v>
      </c>
      <c r="DL5" s="913">
        <v>88.210000000000008</v>
      </c>
      <c r="DM5" s="913">
        <v>88.335000000000008</v>
      </c>
      <c r="DN5" s="913">
        <v>88.45</v>
      </c>
      <c r="DO5" s="913">
        <v>88.575000000000003</v>
      </c>
      <c r="DP5" s="913">
        <v>88.694999999999993</v>
      </c>
      <c r="DQ5" s="913">
        <v>88.81</v>
      </c>
      <c r="DR5" s="913">
        <v>88.93</v>
      </c>
    </row>
    <row r="6" spans="1:122" s="127" customFormat="1" ht="12.75">
      <c r="A6" s="917">
        <v>4</v>
      </c>
      <c r="B6" s="913">
        <v>62.49592787128018</v>
      </c>
      <c r="C6" s="913">
        <v>62.71319822953248</v>
      </c>
      <c r="D6" s="913">
        <v>63.052888689487432</v>
      </c>
      <c r="E6" s="913">
        <v>63.406764397821846</v>
      </c>
      <c r="F6" s="913">
        <v>63.816554211380577</v>
      </c>
      <c r="G6" s="913">
        <v>64.184647817506544</v>
      </c>
      <c r="H6" s="913">
        <v>64.491448212431123</v>
      </c>
      <c r="I6" s="913">
        <v>64.839887426421143</v>
      </c>
      <c r="J6" s="913">
        <v>65.10818460515884</v>
      </c>
      <c r="K6" s="913">
        <v>65.431177142440134</v>
      </c>
      <c r="L6" s="913">
        <v>65.787344626389611</v>
      </c>
      <c r="M6" s="913">
        <v>66.055710258984732</v>
      </c>
      <c r="N6" s="913">
        <v>66.473862063279526</v>
      </c>
      <c r="O6" s="913">
        <v>66.644703902153566</v>
      </c>
      <c r="P6" s="913">
        <v>67.00748438586146</v>
      </c>
      <c r="Q6" s="913">
        <v>67.492731458066999</v>
      </c>
      <c r="R6" s="913">
        <v>67.930927069048707</v>
      </c>
      <c r="S6" s="913">
        <v>68.204325207698929</v>
      </c>
      <c r="T6" s="913">
        <v>68.318897885178885</v>
      </c>
      <c r="U6" s="913">
        <v>68.672295819649094</v>
      </c>
      <c r="V6" s="913">
        <v>69.105000000000004</v>
      </c>
      <c r="W6" s="913">
        <v>69.33</v>
      </c>
      <c r="X6" s="913">
        <v>69.550000000000011</v>
      </c>
      <c r="Y6" s="913">
        <v>69.69</v>
      </c>
      <c r="Z6" s="913">
        <v>69.949999999999989</v>
      </c>
      <c r="AA6" s="913">
        <v>70.180000000000007</v>
      </c>
      <c r="AB6" s="913">
        <v>70.490000000000009</v>
      </c>
      <c r="AC6" s="913">
        <v>70.740000000000009</v>
      </c>
      <c r="AD6" s="913">
        <v>70.89500000000001</v>
      </c>
      <c r="AE6" s="913">
        <v>71.16</v>
      </c>
      <c r="AF6" s="913">
        <v>71.460000000000008</v>
      </c>
      <c r="AG6" s="913">
        <v>71.754999999999995</v>
      </c>
      <c r="AH6" s="913">
        <v>72.099999999999994</v>
      </c>
      <c r="AI6" s="913">
        <v>72.444999999999993</v>
      </c>
      <c r="AJ6" s="913">
        <v>72.824999999999989</v>
      </c>
      <c r="AK6" s="913">
        <v>73.13</v>
      </c>
      <c r="AL6" s="913">
        <v>73.510000000000005</v>
      </c>
      <c r="AM6" s="913">
        <v>73.875</v>
      </c>
      <c r="AN6" s="913">
        <v>74.16</v>
      </c>
      <c r="AO6" s="913">
        <v>74.400000000000006</v>
      </c>
      <c r="AP6" s="913">
        <v>74.674999999999997</v>
      </c>
      <c r="AQ6" s="913">
        <v>74.924999999999997</v>
      </c>
      <c r="AR6" s="913">
        <v>75.295000000000002</v>
      </c>
      <c r="AS6" s="913">
        <v>75.435000000000002</v>
      </c>
      <c r="AT6" s="913">
        <v>75.61</v>
      </c>
      <c r="AU6" s="913">
        <v>75.740000000000009</v>
      </c>
      <c r="AV6" s="913">
        <v>75.844999999999999</v>
      </c>
      <c r="AW6" s="913">
        <v>76.175000000000011</v>
      </c>
      <c r="AX6" s="913">
        <v>76.335000000000008</v>
      </c>
      <c r="AY6" s="913">
        <v>76.460000000000008</v>
      </c>
      <c r="AZ6" s="913">
        <v>76.555000000000007</v>
      </c>
      <c r="BA6" s="913">
        <v>76.67</v>
      </c>
      <c r="BB6" s="913">
        <v>76.814999999999998</v>
      </c>
      <c r="BC6" s="913">
        <v>76.955000000000013</v>
      </c>
      <c r="BD6" s="913">
        <v>77.10499999999999</v>
      </c>
      <c r="BE6" s="913">
        <v>77.265000000000001</v>
      </c>
      <c r="BF6" s="913">
        <v>77.48</v>
      </c>
      <c r="BG6" s="913">
        <v>77.655000000000001</v>
      </c>
      <c r="BH6" s="913">
        <v>77.915000000000006</v>
      </c>
      <c r="BI6" s="913">
        <v>78.094999999999999</v>
      </c>
      <c r="BJ6" s="913">
        <v>78.325000000000003</v>
      </c>
      <c r="BK6" s="913">
        <v>78.534999999999997</v>
      </c>
      <c r="BL6" s="913">
        <v>78.784999999999997</v>
      </c>
      <c r="BM6" s="913">
        <v>79.050000000000011</v>
      </c>
      <c r="BN6" s="913">
        <v>79.265000000000001</v>
      </c>
      <c r="BO6" s="913">
        <v>79.490000000000009</v>
      </c>
      <c r="BP6" s="913">
        <v>79.715000000000003</v>
      </c>
      <c r="BQ6" s="913">
        <v>79.930000000000007</v>
      </c>
      <c r="BR6" s="913">
        <v>80.125</v>
      </c>
      <c r="BS6" s="913">
        <v>80.330000000000013</v>
      </c>
      <c r="BT6" s="914">
        <v>80.52000000000001</v>
      </c>
      <c r="BU6" s="913">
        <v>80.675000000000011</v>
      </c>
      <c r="BV6" s="913">
        <v>80.87</v>
      </c>
      <c r="BW6" s="913">
        <v>81.05</v>
      </c>
      <c r="BX6" s="913">
        <v>81.235000000000014</v>
      </c>
      <c r="BY6" s="913">
        <v>81.400000000000006</v>
      </c>
      <c r="BZ6" s="913">
        <v>81.564999999999998</v>
      </c>
      <c r="CA6" s="913">
        <v>81.72999999999999</v>
      </c>
      <c r="CB6" s="913">
        <v>81.89500000000001</v>
      </c>
      <c r="CC6" s="913">
        <v>82.07</v>
      </c>
      <c r="CD6" s="913">
        <v>82.245000000000005</v>
      </c>
      <c r="CE6" s="913">
        <v>82.405000000000001</v>
      </c>
      <c r="CF6" s="913">
        <v>82.584999999999994</v>
      </c>
      <c r="CG6" s="913">
        <v>82.754999999999995</v>
      </c>
      <c r="CH6" s="913">
        <v>82.924999999999997</v>
      </c>
      <c r="CI6" s="913">
        <v>83.115000000000009</v>
      </c>
      <c r="CJ6" s="913">
        <v>83.26</v>
      </c>
      <c r="CK6" s="913">
        <v>83.424999999999997</v>
      </c>
      <c r="CL6" s="913">
        <v>83.6</v>
      </c>
      <c r="CM6" s="913">
        <v>83.759999999999991</v>
      </c>
      <c r="CN6" s="913">
        <v>83.924999999999997</v>
      </c>
      <c r="CO6" s="913">
        <v>84.074999999999989</v>
      </c>
      <c r="CP6" s="913">
        <v>84.234999999999999</v>
      </c>
      <c r="CQ6" s="913">
        <v>84.38</v>
      </c>
      <c r="CR6" s="913">
        <v>84.52000000000001</v>
      </c>
      <c r="CS6" s="913">
        <v>84.68</v>
      </c>
      <c r="CT6" s="913">
        <v>84.83</v>
      </c>
      <c r="CU6" s="913">
        <v>84.97</v>
      </c>
      <c r="CV6" s="913">
        <v>85.094999999999999</v>
      </c>
      <c r="CW6" s="913">
        <v>85.245000000000005</v>
      </c>
      <c r="CX6" s="913">
        <v>85.39</v>
      </c>
      <c r="CY6" s="913">
        <v>85.534999999999997</v>
      </c>
      <c r="CZ6" s="913">
        <v>85.66</v>
      </c>
      <c r="DA6" s="913">
        <v>85.800000000000011</v>
      </c>
      <c r="DB6" s="913">
        <v>85.935000000000002</v>
      </c>
      <c r="DC6" s="913">
        <v>86.07</v>
      </c>
      <c r="DD6" s="913">
        <v>86.2</v>
      </c>
      <c r="DE6" s="913">
        <v>86.330000000000013</v>
      </c>
      <c r="DF6" s="913">
        <v>86.465000000000003</v>
      </c>
      <c r="DG6" s="913">
        <v>86.59</v>
      </c>
      <c r="DH6" s="913">
        <v>86.715000000000003</v>
      </c>
      <c r="DI6" s="913">
        <v>86.844999999999999</v>
      </c>
      <c r="DJ6" s="913">
        <v>86.965000000000003</v>
      </c>
      <c r="DK6" s="913">
        <v>87.1</v>
      </c>
      <c r="DL6" s="913">
        <v>87.22</v>
      </c>
      <c r="DM6" s="913">
        <v>87.344999999999999</v>
      </c>
      <c r="DN6" s="913">
        <v>87.465000000000003</v>
      </c>
      <c r="DO6" s="913">
        <v>87.584999999999994</v>
      </c>
      <c r="DP6" s="913">
        <v>87.704999999999998</v>
      </c>
      <c r="DQ6" s="913">
        <v>87.82</v>
      </c>
      <c r="DR6" s="913">
        <v>87.94</v>
      </c>
    </row>
    <row r="7" spans="1:122" s="127" customFormat="1" ht="12.75">
      <c r="A7" s="917">
        <v>5</v>
      </c>
      <c r="B7" s="913">
        <v>61.973195515609973</v>
      </c>
      <c r="C7" s="913">
        <v>62.167950843276621</v>
      </c>
      <c r="D7" s="913">
        <v>62.485824468834679</v>
      </c>
      <c r="E7" s="913">
        <v>62.822808494503107</v>
      </c>
      <c r="F7" s="913">
        <v>63.215854558283198</v>
      </c>
      <c r="G7" s="913">
        <v>63.566711120925419</v>
      </c>
      <c r="H7" s="913">
        <v>63.855707419460273</v>
      </c>
      <c r="I7" s="913">
        <v>64.206128039550222</v>
      </c>
      <c r="J7" s="913">
        <v>64.495993908668495</v>
      </c>
      <c r="K7" s="913">
        <v>64.841085064236111</v>
      </c>
      <c r="L7" s="913">
        <v>65.196968398480109</v>
      </c>
      <c r="M7" s="913">
        <v>65.5834232195608</v>
      </c>
      <c r="N7" s="913">
        <v>65.898561638200206</v>
      </c>
      <c r="O7" s="913">
        <v>66.136511402672852</v>
      </c>
      <c r="P7" s="913">
        <v>66.710567360152538</v>
      </c>
      <c r="Q7" s="913">
        <v>67.071845591419105</v>
      </c>
      <c r="R7" s="913">
        <v>67.379128125385819</v>
      </c>
      <c r="S7" s="913">
        <v>67.589303744892362</v>
      </c>
      <c r="T7" s="913">
        <v>67.677567991877595</v>
      </c>
      <c r="U7" s="913">
        <v>68.046560378873238</v>
      </c>
      <c r="V7" s="913">
        <v>68.31</v>
      </c>
      <c r="W7" s="913">
        <v>68.539999999999992</v>
      </c>
      <c r="X7" s="913">
        <v>68.759999999999991</v>
      </c>
      <c r="Y7" s="913">
        <v>68.91</v>
      </c>
      <c r="Z7" s="913">
        <v>69.164999999999992</v>
      </c>
      <c r="AA7" s="913">
        <v>69.425000000000011</v>
      </c>
      <c r="AB7" s="913">
        <v>69.72</v>
      </c>
      <c r="AC7" s="913">
        <v>69.935000000000002</v>
      </c>
      <c r="AD7" s="913">
        <v>70.075000000000003</v>
      </c>
      <c r="AE7" s="913">
        <v>70.344999999999999</v>
      </c>
      <c r="AF7" s="913">
        <v>70.650000000000006</v>
      </c>
      <c r="AG7" s="913">
        <v>70.97</v>
      </c>
      <c r="AH7" s="913">
        <v>71.325000000000003</v>
      </c>
      <c r="AI7" s="913">
        <v>71.650000000000006</v>
      </c>
      <c r="AJ7" s="913">
        <v>72.015000000000001</v>
      </c>
      <c r="AK7" s="913">
        <v>72.335000000000008</v>
      </c>
      <c r="AL7" s="913">
        <v>72.72</v>
      </c>
      <c r="AM7" s="913">
        <v>73.085000000000008</v>
      </c>
      <c r="AN7" s="913">
        <v>73.37</v>
      </c>
      <c r="AO7" s="913">
        <v>73.63</v>
      </c>
      <c r="AP7" s="913">
        <v>73.94</v>
      </c>
      <c r="AQ7" s="913">
        <v>74.245000000000005</v>
      </c>
      <c r="AR7" s="913">
        <v>74.495000000000005</v>
      </c>
      <c r="AS7" s="913">
        <v>74.634999999999991</v>
      </c>
      <c r="AT7" s="913">
        <v>74.739999999999995</v>
      </c>
      <c r="AU7" s="913">
        <v>74.844999999999999</v>
      </c>
      <c r="AV7" s="913">
        <v>74.95</v>
      </c>
      <c r="AW7" s="913">
        <v>75.28</v>
      </c>
      <c r="AX7" s="913">
        <v>75.414999999999992</v>
      </c>
      <c r="AY7" s="913">
        <v>75.539999999999992</v>
      </c>
      <c r="AZ7" s="913">
        <v>75.625</v>
      </c>
      <c r="BA7" s="913">
        <v>75.72999999999999</v>
      </c>
      <c r="BB7" s="913">
        <v>75.88</v>
      </c>
      <c r="BC7" s="913">
        <v>76.015000000000001</v>
      </c>
      <c r="BD7" s="913">
        <v>76.175000000000011</v>
      </c>
      <c r="BE7" s="913">
        <v>76.319999999999993</v>
      </c>
      <c r="BF7" s="913">
        <v>76.545000000000002</v>
      </c>
      <c r="BG7" s="913">
        <v>76.715000000000003</v>
      </c>
      <c r="BH7" s="913">
        <v>76.965000000000003</v>
      </c>
      <c r="BI7" s="913">
        <v>77.150000000000006</v>
      </c>
      <c r="BJ7" s="913">
        <v>77.375</v>
      </c>
      <c r="BK7" s="913">
        <v>77.59</v>
      </c>
      <c r="BL7" s="913">
        <v>77.84</v>
      </c>
      <c r="BM7" s="913">
        <v>78.10499999999999</v>
      </c>
      <c r="BN7" s="913">
        <v>78.319999999999993</v>
      </c>
      <c r="BO7" s="913">
        <v>78.539999999999992</v>
      </c>
      <c r="BP7" s="913">
        <v>78.765000000000001</v>
      </c>
      <c r="BQ7" s="913">
        <v>78.974999999999994</v>
      </c>
      <c r="BR7" s="913">
        <v>79.174999999999997</v>
      </c>
      <c r="BS7" s="913">
        <v>79.37</v>
      </c>
      <c r="BT7" s="914">
        <v>79.56</v>
      </c>
      <c r="BU7" s="913">
        <v>79.72</v>
      </c>
      <c r="BV7" s="913">
        <v>79.914999999999992</v>
      </c>
      <c r="BW7" s="913">
        <v>80.094999999999999</v>
      </c>
      <c r="BX7" s="913">
        <v>80.27</v>
      </c>
      <c r="BY7" s="913">
        <v>80.435000000000002</v>
      </c>
      <c r="BZ7" s="913">
        <v>80.594999999999999</v>
      </c>
      <c r="CA7" s="913">
        <v>80.759999999999991</v>
      </c>
      <c r="CB7" s="913">
        <v>80.925000000000011</v>
      </c>
      <c r="CC7" s="913">
        <v>81.094999999999999</v>
      </c>
      <c r="CD7" s="913">
        <v>81.27000000000001</v>
      </c>
      <c r="CE7" s="913">
        <v>81.430000000000007</v>
      </c>
      <c r="CF7" s="913">
        <v>81.605000000000004</v>
      </c>
      <c r="CG7" s="913">
        <v>81.78</v>
      </c>
      <c r="CH7" s="913">
        <v>81.944999999999993</v>
      </c>
      <c r="CI7" s="913">
        <v>82.134999999999991</v>
      </c>
      <c r="CJ7" s="913">
        <v>82.28</v>
      </c>
      <c r="CK7" s="913">
        <v>82.444999999999993</v>
      </c>
      <c r="CL7" s="913">
        <v>82.62</v>
      </c>
      <c r="CM7" s="913">
        <v>82.78</v>
      </c>
      <c r="CN7" s="913">
        <v>82.94</v>
      </c>
      <c r="CO7" s="913">
        <v>83.094999999999999</v>
      </c>
      <c r="CP7" s="913">
        <v>83.245000000000005</v>
      </c>
      <c r="CQ7" s="913">
        <v>83.39500000000001</v>
      </c>
      <c r="CR7" s="913">
        <v>83.534999999999997</v>
      </c>
      <c r="CS7" s="913">
        <v>83.694999999999993</v>
      </c>
      <c r="CT7" s="913">
        <v>83.84</v>
      </c>
      <c r="CU7" s="913">
        <v>83.97999999999999</v>
      </c>
      <c r="CV7" s="913">
        <v>84.11</v>
      </c>
      <c r="CW7" s="913">
        <v>84.254999999999995</v>
      </c>
      <c r="CX7" s="913">
        <v>84.4</v>
      </c>
      <c r="CY7" s="913">
        <v>84.545000000000002</v>
      </c>
      <c r="CZ7" s="913">
        <v>84.67</v>
      </c>
      <c r="DA7" s="913">
        <v>84.814999999999998</v>
      </c>
      <c r="DB7" s="913">
        <v>84.944999999999993</v>
      </c>
      <c r="DC7" s="913">
        <v>85.08</v>
      </c>
      <c r="DD7" s="913">
        <v>85.210000000000008</v>
      </c>
      <c r="DE7" s="913">
        <v>85.34</v>
      </c>
      <c r="DF7" s="913">
        <v>85.47</v>
      </c>
      <c r="DG7" s="913">
        <v>85.6</v>
      </c>
      <c r="DH7" s="913">
        <v>85.724999999999994</v>
      </c>
      <c r="DI7" s="913">
        <v>85.85499999999999</v>
      </c>
      <c r="DJ7" s="913">
        <v>85.974999999999994</v>
      </c>
      <c r="DK7" s="913">
        <v>86.105000000000004</v>
      </c>
      <c r="DL7" s="913">
        <v>86.23</v>
      </c>
      <c r="DM7" s="913">
        <v>86.355000000000004</v>
      </c>
      <c r="DN7" s="913">
        <v>86.47</v>
      </c>
      <c r="DO7" s="913">
        <v>86.59</v>
      </c>
      <c r="DP7" s="913">
        <v>86.715000000000003</v>
      </c>
      <c r="DQ7" s="913">
        <v>86.83</v>
      </c>
      <c r="DR7" s="913">
        <v>86.944999999999993</v>
      </c>
    </row>
    <row r="8" spans="1:122" s="127" customFormat="1" ht="12.75">
      <c r="A8" s="917">
        <v>6</v>
      </c>
      <c r="B8" s="913">
        <v>61.317468793868287</v>
      </c>
      <c r="C8" s="913">
        <v>61.496260424766767</v>
      </c>
      <c r="D8" s="913">
        <v>61.80123103927626</v>
      </c>
      <c r="E8" s="913">
        <v>62.125262013375242</v>
      </c>
      <c r="F8" s="913">
        <v>62.505462511432391</v>
      </c>
      <c r="G8" s="913">
        <v>62.843109588754487</v>
      </c>
      <c r="H8" s="913">
        <v>63.133370602938882</v>
      </c>
      <c r="I8" s="913">
        <v>63.500518836080332</v>
      </c>
      <c r="J8" s="913">
        <v>63.80699050685601</v>
      </c>
      <c r="K8" s="913">
        <v>64.151830780248957</v>
      </c>
      <c r="L8" s="913">
        <v>64.597703401935078</v>
      </c>
      <c r="M8" s="913">
        <v>64.90654302429239</v>
      </c>
      <c r="N8" s="913">
        <v>65.272824942128835</v>
      </c>
      <c r="O8" s="913">
        <v>65.67041635617629</v>
      </c>
      <c r="P8" s="913">
        <v>66.150983577852628</v>
      </c>
      <c r="Q8" s="913">
        <v>66.412425210842102</v>
      </c>
      <c r="R8" s="913">
        <v>66.67089691483153</v>
      </c>
      <c r="S8" s="913">
        <v>66.86066970867202</v>
      </c>
      <c r="T8" s="913">
        <v>66.95962421948586</v>
      </c>
      <c r="U8" s="913">
        <v>67.202254176731415</v>
      </c>
      <c r="V8" s="913">
        <v>67.465000000000003</v>
      </c>
      <c r="W8" s="913">
        <v>67.699999999999989</v>
      </c>
      <c r="X8" s="913">
        <v>67.930000000000007</v>
      </c>
      <c r="Y8" s="913">
        <v>68.085000000000008</v>
      </c>
      <c r="Z8" s="913">
        <v>68.365000000000009</v>
      </c>
      <c r="AA8" s="913">
        <v>68.62</v>
      </c>
      <c r="AB8" s="913">
        <v>68.89</v>
      </c>
      <c r="AC8" s="913">
        <v>69.09</v>
      </c>
      <c r="AD8" s="913">
        <v>69.234999999999999</v>
      </c>
      <c r="AE8" s="913">
        <v>69.5</v>
      </c>
      <c r="AF8" s="913">
        <v>69.83</v>
      </c>
      <c r="AG8" s="913">
        <v>70.16</v>
      </c>
      <c r="AH8" s="913">
        <v>70.504999999999995</v>
      </c>
      <c r="AI8" s="913">
        <v>70.81</v>
      </c>
      <c r="AJ8" s="913">
        <v>71.19</v>
      </c>
      <c r="AK8" s="913">
        <v>71.509999999999991</v>
      </c>
      <c r="AL8" s="913">
        <v>71.900000000000006</v>
      </c>
      <c r="AM8" s="913">
        <v>72.259999999999991</v>
      </c>
      <c r="AN8" s="913">
        <v>72.564999999999998</v>
      </c>
      <c r="AO8" s="913">
        <v>72.85499999999999</v>
      </c>
      <c r="AP8" s="913">
        <v>73.204999999999998</v>
      </c>
      <c r="AQ8" s="913">
        <v>73.39</v>
      </c>
      <c r="AR8" s="913">
        <v>73.64500000000001</v>
      </c>
      <c r="AS8" s="913">
        <v>73.740000000000009</v>
      </c>
      <c r="AT8" s="913">
        <v>73.819999999999993</v>
      </c>
      <c r="AU8" s="913">
        <v>73.930000000000007</v>
      </c>
      <c r="AV8" s="913">
        <v>74.03</v>
      </c>
      <c r="AW8" s="913">
        <v>74.344999999999999</v>
      </c>
      <c r="AX8" s="913">
        <v>74.47</v>
      </c>
      <c r="AY8" s="913">
        <v>74.60499999999999</v>
      </c>
      <c r="AZ8" s="913">
        <v>74.685000000000002</v>
      </c>
      <c r="BA8" s="913">
        <v>74.784999999999997</v>
      </c>
      <c r="BB8" s="913">
        <v>74.935000000000002</v>
      </c>
      <c r="BC8" s="913">
        <v>75.069999999999993</v>
      </c>
      <c r="BD8" s="913">
        <v>75.22</v>
      </c>
      <c r="BE8" s="913">
        <v>75.375</v>
      </c>
      <c r="BF8" s="913">
        <v>75.59</v>
      </c>
      <c r="BG8" s="913">
        <v>75.759999999999991</v>
      </c>
      <c r="BH8" s="913">
        <v>76.010000000000005</v>
      </c>
      <c r="BI8" s="913">
        <v>76.19</v>
      </c>
      <c r="BJ8" s="913">
        <v>76.42</v>
      </c>
      <c r="BK8" s="913">
        <v>76.635000000000005</v>
      </c>
      <c r="BL8" s="913">
        <v>76.889999999999986</v>
      </c>
      <c r="BM8" s="913">
        <v>77.14500000000001</v>
      </c>
      <c r="BN8" s="913">
        <v>77.37</v>
      </c>
      <c r="BO8" s="913">
        <v>77.585000000000008</v>
      </c>
      <c r="BP8" s="913">
        <v>77.814999999999998</v>
      </c>
      <c r="BQ8" s="913">
        <v>78.02000000000001</v>
      </c>
      <c r="BR8" s="913">
        <v>78.215000000000003</v>
      </c>
      <c r="BS8" s="913">
        <v>78.414999999999992</v>
      </c>
      <c r="BT8" s="914">
        <v>78.594999999999999</v>
      </c>
      <c r="BU8" s="913">
        <v>78.754999999999995</v>
      </c>
      <c r="BV8" s="913">
        <v>78.94</v>
      </c>
      <c r="BW8" s="913">
        <v>79.125</v>
      </c>
      <c r="BX8" s="913">
        <v>79.300000000000011</v>
      </c>
      <c r="BY8" s="913">
        <v>79.465000000000003</v>
      </c>
      <c r="BZ8" s="913">
        <v>79.625</v>
      </c>
      <c r="CA8" s="913">
        <v>79.790000000000006</v>
      </c>
      <c r="CB8" s="913">
        <v>79.95</v>
      </c>
      <c r="CC8" s="913">
        <v>80.12</v>
      </c>
      <c r="CD8" s="913">
        <v>80.289999999999992</v>
      </c>
      <c r="CE8" s="913">
        <v>80.449999999999989</v>
      </c>
      <c r="CF8" s="913">
        <v>80.625</v>
      </c>
      <c r="CG8" s="913">
        <v>80.795000000000002</v>
      </c>
      <c r="CH8" s="913">
        <v>80.965000000000003</v>
      </c>
      <c r="CI8" s="913">
        <v>81.155000000000001</v>
      </c>
      <c r="CJ8" s="913">
        <v>81.305000000000007</v>
      </c>
      <c r="CK8" s="913">
        <v>81.465000000000003</v>
      </c>
      <c r="CL8" s="913">
        <v>81.63</v>
      </c>
      <c r="CM8" s="913">
        <v>81.795000000000002</v>
      </c>
      <c r="CN8" s="913">
        <v>81.954999999999998</v>
      </c>
      <c r="CO8" s="913">
        <v>82.10499999999999</v>
      </c>
      <c r="CP8" s="913">
        <v>82.26</v>
      </c>
      <c r="CQ8" s="913">
        <v>82.405000000000001</v>
      </c>
      <c r="CR8" s="913">
        <v>82.545000000000002</v>
      </c>
      <c r="CS8" s="913">
        <v>82.7</v>
      </c>
      <c r="CT8" s="913">
        <v>82.85</v>
      </c>
      <c r="CU8" s="913">
        <v>82.990000000000009</v>
      </c>
      <c r="CV8" s="913">
        <v>83.12</v>
      </c>
      <c r="CW8" s="913">
        <v>83.27</v>
      </c>
      <c r="CX8" s="913">
        <v>83.41</v>
      </c>
      <c r="CY8" s="913">
        <v>83.550000000000011</v>
      </c>
      <c r="CZ8" s="913">
        <v>83.68</v>
      </c>
      <c r="DA8" s="913">
        <v>83.814999999999998</v>
      </c>
      <c r="DB8" s="913">
        <v>83.954999999999998</v>
      </c>
      <c r="DC8" s="913">
        <v>84.09</v>
      </c>
      <c r="DD8" s="913">
        <v>84.22</v>
      </c>
      <c r="DE8" s="913">
        <v>84.35</v>
      </c>
      <c r="DF8" s="913">
        <v>84.48</v>
      </c>
      <c r="DG8" s="913">
        <v>84.61</v>
      </c>
      <c r="DH8" s="913">
        <v>84.72999999999999</v>
      </c>
      <c r="DI8" s="913">
        <v>84.86</v>
      </c>
      <c r="DJ8" s="913">
        <v>84.984999999999999</v>
      </c>
      <c r="DK8" s="913">
        <v>85.11</v>
      </c>
      <c r="DL8" s="913">
        <v>85.234999999999999</v>
      </c>
      <c r="DM8" s="913">
        <v>85.355000000000004</v>
      </c>
      <c r="DN8" s="913">
        <v>85.48</v>
      </c>
      <c r="DO8" s="913">
        <v>85.6</v>
      </c>
      <c r="DP8" s="913">
        <v>85.715000000000003</v>
      </c>
      <c r="DQ8" s="913">
        <v>85.835000000000008</v>
      </c>
      <c r="DR8" s="913">
        <v>85.949999999999989</v>
      </c>
    </row>
    <row r="9" spans="1:122" s="127" customFormat="1" ht="12.75">
      <c r="A9" s="917">
        <v>7</v>
      </c>
      <c r="B9" s="913">
        <v>60.581203399802796</v>
      </c>
      <c r="C9" s="913">
        <v>60.749492715854053</v>
      </c>
      <c r="D9" s="913">
        <v>61.044397592707796</v>
      </c>
      <c r="E9" s="913">
        <v>61.358326558665375</v>
      </c>
      <c r="F9" s="913">
        <v>61.728511823437593</v>
      </c>
      <c r="G9" s="913">
        <v>62.067373116447648</v>
      </c>
      <c r="H9" s="913">
        <v>62.370925691001503</v>
      </c>
      <c r="I9" s="913">
        <v>62.751790777169674</v>
      </c>
      <c r="J9" s="913">
        <v>63.057925897051462</v>
      </c>
      <c r="K9" s="913">
        <v>63.475328267601867</v>
      </c>
      <c r="L9" s="913">
        <v>63.859052039270793</v>
      </c>
      <c r="M9" s="913">
        <v>64.209014286441899</v>
      </c>
      <c r="N9" s="913">
        <v>64.705073769056142</v>
      </c>
      <c r="O9" s="913">
        <v>65.026099641681441</v>
      </c>
      <c r="P9" s="913">
        <v>65.426618355401928</v>
      </c>
      <c r="Q9" s="913">
        <v>65.648530185032882</v>
      </c>
      <c r="R9" s="913">
        <v>65.890777136458539</v>
      </c>
      <c r="S9" s="913">
        <v>66.089557711945247</v>
      </c>
      <c r="T9" s="913">
        <v>66.085509174880414</v>
      </c>
      <c r="U9" s="913">
        <v>66.328597100985093</v>
      </c>
      <c r="V9" s="913">
        <v>66.59</v>
      </c>
      <c r="W9" s="913">
        <v>66.83</v>
      </c>
      <c r="X9" s="913">
        <v>67.08</v>
      </c>
      <c r="Y9" s="913">
        <v>67.254999999999995</v>
      </c>
      <c r="Z9" s="913">
        <v>67.545000000000002</v>
      </c>
      <c r="AA9" s="913">
        <v>67.77000000000001</v>
      </c>
      <c r="AB9" s="913">
        <v>68.03</v>
      </c>
      <c r="AC9" s="913">
        <v>68.22999999999999</v>
      </c>
      <c r="AD9" s="913">
        <v>68.375</v>
      </c>
      <c r="AE9" s="913">
        <v>68.664999999999992</v>
      </c>
      <c r="AF9" s="913">
        <v>69.004999999999995</v>
      </c>
      <c r="AG9" s="913">
        <v>69.314999999999998</v>
      </c>
      <c r="AH9" s="913">
        <v>69.650000000000006</v>
      </c>
      <c r="AI9" s="913">
        <v>69.97</v>
      </c>
      <c r="AJ9" s="913">
        <v>70.344999999999999</v>
      </c>
      <c r="AK9" s="913">
        <v>70.674999999999997</v>
      </c>
      <c r="AL9" s="913">
        <v>71.055000000000007</v>
      </c>
      <c r="AM9" s="913">
        <v>71.435000000000002</v>
      </c>
      <c r="AN9" s="913">
        <v>71.764999999999986</v>
      </c>
      <c r="AO9" s="913">
        <v>72.094999999999999</v>
      </c>
      <c r="AP9" s="913">
        <v>72.325000000000003</v>
      </c>
      <c r="AQ9" s="913">
        <v>72.510000000000005</v>
      </c>
      <c r="AR9" s="913">
        <v>72.724999999999994</v>
      </c>
      <c r="AS9" s="913">
        <v>72.805000000000007</v>
      </c>
      <c r="AT9" s="913">
        <v>72.89</v>
      </c>
      <c r="AU9" s="913">
        <v>72.995000000000005</v>
      </c>
      <c r="AV9" s="913">
        <v>73.085000000000008</v>
      </c>
      <c r="AW9" s="913">
        <v>73.39</v>
      </c>
      <c r="AX9" s="913">
        <v>73.525000000000006</v>
      </c>
      <c r="AY9" s="913">
        <v>73.655000000000001</v>
      </c>
      <c r="AZ9" s="913">
        <v>73.734999999999999</v>
      </c>
      <c r="BA9" s="913">
        <v>73.835000000000008</v>
      </c>
      <c r="BB9" s="913">
        <v>73.97999999999999</v>
      </c>
      <c r="BC9" s="913">
        <v>74.105000000000004</v>
      </c>
      <c r="BD9" s="913">
        <v>74.265000000000001</v>
      </c>
      <c r="BE9" s="913">
        <v>74.414999999999992</v>
      </c>
      <c r="BF9" s="913">
        <v>74.63</v>
      </c>
      <c r="BG9" s="913">
        <v>74.800000000000011</v>
      </c>
      <c r="BH9" s="913">
        <v>75.055000000000007</v>
      </c>
      <c r="BI9" s="913">
        <v>75.22999999999999</v>
      </c>
      <c r="BJ9" s="913">
        <v>75.465000000000003</v>
      </c>
      <c r="BK9" s="913">
        <v>75.680000000000007</v>
      </c>
      <c r="BL9" s="913">
        <v>75.930000000000007</v>
      </c>
      <c r="BM9" s="913">
        <v>76.19</v>
      </c>
      <c r="BN9" s="913">
        <v>76.41</v>
      </c>
      <c r="BO9" s="913">
        <v>76.63</v>
      </c>
      <c r="BP9" s="913">
        <v>76.849999999999994</v>
      </c>
      <c r="BQ9" s="913">
        <v>77.055000000000007</v>
      </c>
      <c r="BR9" s="913">
        <v>77.25</v>
      </c>
      <c r="BS9" s="913">
        <v>77.45</v>
      </c>
      <c r="BT9" s="914">
        <v>77.63</v>
      </c>
      <c r="BU9" s="913">
        <v>77.784999999999997</v>
      </c>
      <c r="BV9" s="913">
        <v>77.974999999999994</v>
      </c>
      <c r="BW9" s="913">
        <v>78.155000000000001</v>
      </c>
      <c r="BX9" s="913">
        <v>78.325000000000003</v>
      </c>
      <c r="BY9" s="913">
        <v>78.495000000000005</v>
      </c>
      <c r="BZ9" s="913">
        <v>78.650000000000006</v>
      </c>
      <c r="CA9" s="913">
        <v>78.805000000000007</v>
      </c>
      <c r="CB9" s="913">
        <v>78.97</v>
      </c>
      <c r="CC9" s="913">
        <v>79.139999999999986</v>
      </c>
      <c r="CD9" s="913">
        <v>79.305000000000007</v>
      </c>
      <c r="CE9" s="913">
        <v>79.47</v>
      </c>
      <c r="CF9" s="913">
        <v>79.64500000000001</v>
      </c>
      <c r="CG9" s="913">
        <v>79.81</v>
      </c>
      <c r="CH9" s="913">
        <v>79.984999999999999</v>
      </c>
      <c r="CI9" s="913">
        <v>80.17</v>
      </c>
      <c r="CJ9" s="913">
        <v>80.314999999999998</v>
      </c>
      <c r="CK9" s="913">
        <v>80.474999999999994</v>
      </c>
      <c r="CL9" s="913">
        <v>80.644999999999996</v>
      </c>
      <c r="CM9" s="913">
        <v>80.81</v>
      </c>
      <c r="CN9" s="913">
        <v>80.965000000000003</v>
      </c>
      <c r="CO9" s="913">
        <v>81.115000000000009</v>
      </c>
      <c r="CP9" s="913">
        <v>81.27</v>
      </c>
      <c r="CQ9" s="913">
        <v>81.414999999999992</v>
      </c>
      <c r="CR9" s="913">
        <v>81.56</v>
      </c>
      <c r="CS9" s="913">
        <v>81.710000000000008</v>
      </c>
      <c r="CT9" s="913">
        <v>81.865000000000009</v>
      </c>
      <c r="CU9" s="913">
        <v>82</v>
      </c>
      <c r="CV9" s="913">
        <v>82.13</v>
      </c>
      <c r="CW9" s="913">
        <v>82.275000000000006</v>
      </c>
      <c r="CX9" s="913">
        <v>82.414999999999992</v>
      </c>
      <c r="CY9" s="913">
        <v>82.56</v>
      </c>
      <c r="CZ9" s="913">
        <v>82.69</v>
      </c>
      <c r="DA9" s="913">
        <v>82.824999999999989</v>
      </c>
      <c r="DB9" s="913">
        <v>82.960000000000008</v>
      </c>
      <c r="DC9" s="913">
        <v>83.09</v>
      </c>
      <c r="DD9" s="913">
        <v>83.23</v>
      </c>
      <c r="DE9" s="913">
        <v>83.360000000000014</v>
      </c>
      <c r="DF9" s="913">
        <v>83.484999999999999</v>
      </c>
      <c r="DG9" s="913">
        <v>83.615000000000009</v>
      </c>
      <c r="DH9" s="913">
        <v>83.740000000000009</v>
      </c>
      <c r="DI9" s="913">
        <v>83.865000000000009</v>
      </c>
      <c r="DJ9" s="913">
        <v>83.995000000000005</v>
      </c>
      <c r="DK9" s="913">
        <v>84.12</v>
      </c>
      <c r="DL9" s="913">
        <v>84.240000000000009</v>
      </c>
      <c r="DM9" s="913">
        <v>84.364999999999995</v>
      </c>
      <c r="DN9" s="913">
        <v>84.484999999999999</v>
      </c>
      <c r="DO9" s="913">
        <v>84.6</v>
      </c>
      <c r="DP9" s="913">
        <v>84.724999999999994</v>
      </c>
      <c r="DQ9" s="913">
        <v>84.84</v>
      </c>
      <c r="DR9" s="913">
        <v>84.960000000000008</v>
      </c>
    </row>
    <row r="10" spans="1:122" s="127" customFormat="1" ht="12.75">
      <c r="A10" s="917">
        <v>8</v>
      </c>
      <c r="B10" s="913">
        <v>59.791995699168353</v>
      </c>
      <c r="C10" s="913">
        <v>59.951625139200104</v>
      </c>
      <c r="D10" s="913">
        <v>60.238225134020809</v>
      </c>
      <c r="E10" s="913">
        <v>60.543819782698193</v>
      </c>
      <c r="F10" s="913">
        <v>60.915133836630147</v>
      </c>
      <c r="G10" s="913">
        <v>61.252213697402439</v>
      </c>
      <c r="H10" s="913">
        <v>61.553853302774669</v>
      </c>
      <c r="I10" s="913">
        <v>61.941829499037119</v>
      </c>
      <c r="J10" s="913">
        <v>62.320158664455278</v>
      </c>
      <c r="K10" s="913">
        <v>62.717502990412001</v>
      </c>
      <c r="L10" s="913">
        <v>63.134571044801049</v>
      </c>
      <c r="M10" s="913">
        <v>63.580985839484242</v>
      </c>
      <c r="N10" s="913">
        <v>63.952890333635452</v>
      </c>
      <c r="O10" s="913">
        <v>64.232914063609911</v>
      </c>
      <c r="P10" s="913">
        <v>64.588835184569547</v>
      </c>
      <c r="Q10" s="913">
        <v>64.782070217644346</v>
      </c>
      <c r="R10" s="913">
        <v>65.034489288865387</v>
      </c>
      <c r="S10" s="913">
        <v>65.195706469763024</v>
      </c>
      <c r="T10" s="913">
        <v>65.191650649009375</v>
      </c>
      <c r="U10" s="913">
        <v>65.435130468710469</v>
      </c>
      <c r="V10" s="913">
        <v>65.715000000000003</v>
      </c>
      <c r="W10" s="913">
        <v>65.960000000000008</v>
      </c>
      <c r="X10" s="913">
        <v>66.215000000000003</v>
      </c>
      <c r="Y10" s="913">
        <v>66.39</v>
      </c>
      <c r="Z10" s="913">
        <v>66.655000000000001</v>
      </c>
      <c r="AA10" s="913">
        <v>66.89500000000001</v>
      </c>
      <c r="AB10" s="913">
        <v>67.155000000000001</v>
      </c>
      <c r="AC10" s="913">
        <v>67.355000000000004</v>
      </c>
      <c r="AD10" s="913">
        <v>67.52</v>
      </c>
      <c r="AE10" s="913">
        <v>67.81</v>
      </c>
      <c r="AF10" s="913">
        <v>68.134999999999991</v>
      </c>
      <c r="AG10" s="913">
        <v>68.444999999999993</v>
      </c>
      <c r="AH10" s="913">
        <v>68.78</v>
      </c>
      <c r="AI10" s="913">
        <v>69.10499999999999</v>
      </c>
      <c r="AJ10" s="913">
        <v>69.47999999999999</v>
      </c>
      <c r="AK10" s="913">
        <v>69.81</v>
      </c>
      <c r="AL10" s="913">
        <v>70.204999999999998</v>
      </c>
      <c r="AM10" s="913">
        <v>70.61</v>
      </c>
      <c r="AN10" s="913">
        <v>70.974999999999994</v>
      </c>
      <c r="AO10" s="913">
        <v>71.194999999999993</v>
      </c>
      <c r="AP10" s="913">
        <v>71.424999999999997</v>
      </c>
      <c r="AQ10" s="913">
        <v>71.59</v>
      </c>
      <c r="AR10" s="913">
        <v>71.78</v>
      </c>
      <c r="AS10" s="913">
        <v>71.86</v>
      </c>
      <c r="AT10" s="913">
        <v>71.944999999999993</v>
      </c>
      <c r="AU10" s="913">
        <v>72.039999999999992</v>
      </c>
      <c r="AV10" s="913">
        <v>72.13</v>
      </c>
      <c r="AW10" s="913">
        <v>72.430000000000007</v>
      </c>
      <c r="AX10" s="913">
        <v>72.564999999999998</v>
      </c>
      <c r="AY10" s="913">
        <v>72.694999999999993</v>
      </c>
      <c r="AZ10" s="913">
        <v>72.775000000000006</v>
      </c>
      <c r="BA10" s="913">
        <v>72.87</v>
      </c>
      <c r="BB10" s="913">
        <v>73.02</v>
      </c>
      <c r="BC10" s="913">
        <v>73.14</v>
      </c>
      <c r="BD10" s="913">
        <v>73.305000000000007</v>
      </c>
      <c r="BE10" s="913">
        <v>73.454999999999998</v>
      </c>
      <c r="BF10" s="913">
        <v>73.67</v>
      </c>
      <c r="BG10" s="913">
        <v>73.835000000000008</v>
      </c>
      <c r="BH10" s="913">
        <v>74.09</v>
      </c>
      <c r="BI10" s="913">
        <v>74.265000000000001</v>
      </c>
      <c r="BJ10" s="913">
        <v>74.504999999999995</v>
      </c>
      <c r="BK10" s="913">
        <v>74.715000000000003</v>
      </c>
      <c r="BL10" s="913">
        <v>74.965000000000003</v>
      </c>
      <c r="BM10" s="913">
        <v>75.224999999999994</v>
      </c>
      <c r="BN10" s="913">
        <v>75.444999999999993</v>
      </c>
      <c r="BO10" s="913">
        <v>75.67</v>
      </c>
      <c r="BP10" s="913">
        <v>75.884999999999991</v>
      </c>
      <c r="BQ10" s="913">
        <v>76.09</v>
      </c>
      <c r="BR10" s="913">
        <v>76.28</v>
      </c>
      <c r="BS10" s="913">
        <v>76.474999999999994</v>
      </c>
      <c r="BT10" s="914">
        <v>76.66</v>
      </c>
      <c r="BU10" s="913">
        <v>76.814999999999998</v>
      </c>
      <c r="BV10" s="913">
        <v>77</v>
      </c>
      <c r="BW10" s="913">
        <v>77.180000000000007</v>
      </c>
      <c r="BX10" s="913">
        <v>77.349999999999994</v>
      </c>
      <c r="BY10" s="913">
        <v>77.515000000000001</v>
      </c>
      <c r="BZ10" s="913">
        <v>77.67</v>
      </c>
      <c r="CA10" s="913">
        <v>77.825000000000003</v>
      </c>
      <c r="CB10" s="913">
        <v>77.990000000000009</v>
      </c>
      <c r="CC10" s="913">
        <v>78.155000000000001</v>
      </c>
      <c r="CD10" s="913">
        <v>78.325000000000003</v>
      </c>
      <c r="CE10" s="913">
        <v>78.489999999999995</v>
      </c>
      <c r="CF10" s="913">
        <v>78.664999999999992</v>
      </c>
      <c r="CG10" s="913">
        <v>78.830000000000013</v>
      </c>
      <c r="CH10" s="913">
        <v>78.995000000000005</v>
      </c>
      <c r="CI10" s="913">
        <v>79.185000000000002</v>
      </c>
      <c r="CJ10" s="913">
        <v>79.335000000000008</v>
      </c>
      <c r="CK10" s="913">
        <v>79.490000000000009</v>
      </c>
      <c r="CL10" s="913">
        <v>79.66</v>
      </c>
      <c r="CM10" s="913">
        <v>79.814999999999998</v>
      </c>
      <c r="CN10" s="913">
        <v>79.97999999999999</v>
      </c>
      <c r="CO10" s="913">
        <v>80.12</v>
      </c>
      <c r="CP10" s="913">
        <v>80.28</v>
      </c>
      <c r="CQ10" s="913">
        <v>80.42</v>
      </c>
      <c r="CR10" s="913">
        <v>80.564999999999998</v>
      </c>
      <c r="CS10" s="913">
        <v>80.72</v>
      </c>
      <c r="CT10" s="913">
        <v>80.875</v>
      </c>
      <c r="CU10" s="913">
        <v>81</v>
      </c>
      <c r="CV10" s="913">
        <v>81.14</v>
      </c>
      <c r="CW10" s="913">
        <v>81.28</v>
      </c>
      <c r="CX10" s="913">
        <v>81.42</v>
      </c>
      <c r="CY10" s="913">
        <v>81.564999999999998</v>
      </c>
      <c r="CZ10" s="913">
        <v>81.7</v>
      </c>
      <c r="DA10" s="913">
        <v>81.835000000000008</v>
      </c>
      <c r="DB10" s="913">
        <v>81.97</v>
      </c>
      <c r="DC10" s="913">
        <v>82.1</v>
      </c>
      <c r="DD10" s="913">
        <v>82.23</v>
      </c>
      <c r="DE10" s="913">
        <v>82.360000000000014</v>
      </c>
      <c r="DF10" s="913">
        <v>82.49</v>
      </c>
      <c r="DG10" s="913">
        <v>82.62</v>
      </c>
      <c r="DH10" s="913">
        <v>82.75</v>
      </c>
      <c r="DI10" s="913">
        <v>82.875</v>
      </c>
      <c r="DJ10" s="913">
        <v>83</v>
      </c>
      <c r="DK10" s="913">
        <v>83.125</v>
      </c>
      <c r="DL10" s="913">
        <v>83.25</v>
      </c>
      <c r="DM10" s="913">
        <v>83.37</v>
      </c>
      <c r="DN10" s="913">
        <v>83.49</v>
      </c>
      <c r="DO10" s="913">
        <v>83.61</v>
      </c>
      <c r="DP10" s="913">
        <v>83.724999999999994</v>
      </c>
      <c r="DQ10" s="913">
        <v>83.844999999999999</v>
      </c>
      <c r="DR10" s="913">
        <v>83.960000000000008</v>
      </c>
    </row>
    <row r="11" spans="1:122" s="127" customFormat="1" ht="12.75">
      <c r="A11" s="917">
        <v>9</v>
      </c>
      <c r="B11" s="913">
        <v>58.961993666551223</v>
      </c>
      <c r="C11" s="913">
        <v>59.114470414330349</v>
      </c>
      <c r="D11" s="913">
        <v>59.394209623807861</v>
      </c>
      <c r="E11" s="913">
        <v>59.700602266673471</v>
      </c>
      <c r="F11" s="913">
        <v>60.070530993983738</v>
      </c>
      <c r="G11" s="913">
        <v>60.40611141820365</v>
      </c>
      <c r="H11" s="913">
        <v>60.713519662278046</v>
      </c>
      <c r="I11" s="913">
        <v>61.162451823829684</v>
      </c>
      <c r="J11" s="913">
        <v>61.523825744385356</v>
      </c>
      <c r="K11" s="913">
        <v>61.949243041841918</v>
      </c>
      <c r="L11" s="913">
        <v>62.447827676434414</v>
      </c>
      <c r="M11" s="913">
        <v>62.789569538677213</v>
      </c>
      <c r="N11" s="913">
        <v>63.127124906309767</v>
      </c>
      <c r="O11" s="913">
        <v>63.373054381337397</v>
      </c>
      <c r="P11" s="913">
        <v>63.707521530562886</v>
      </c>
      <c r="Q11" s="913">
        <v>63.909731499572594</v>
      </c>
      <c r="R11" s="913">
        <v>64.128880389680859</v>
      </c>
      <c r="S11" s="913">
        <v>64.290330711842302</v>
      </c>
      <c r="T11" s="913">
        <v>64.286268185461509</v>
      </c>
      <c r="U11" s="913">
        <v>64.543400864759533</v>
      </c>
      <c r="V11" s="913">
        <v>64.825000000000003</v>
      </c>
      <c r="W11" s="913">
        <v>65.075000000000003</v>
      </c>
      <c r="X11" s="913">
        <v>65.33</v>
      </c>
      <c r="Y11" s="913">
        <v>65.484999999999999</v>
      </c>
      <c r="Z11" s="913">
        <v>65.759999999999991</v>
      </c>
      <c r="AA11" s="913">
        <v>66</v>
      </c>
      <c r="AB11" s="913">
        <v>66.265000000000001</v>
      </c>
      <c r="AC11" s="913">
        <v>66.484999999999999</v>
      </c>
      <c r="AD11" s="913">
        <v>66.64500000000001</v>
      </c>
      <c r="AE11" s="913">
        <v>66.92</v>
      </c>
      <c r="AF11" s="913">
        <v>67.239999999999995</v>
      </c>
      <c r="AG11" s="913">
        <v>67.56</v>
      </c>
      <c r="AH11" s="913">
        <v>67.89500000000001</v>
      </c>
      <c r="AI11" s="913">
        <v>68.22</v>
      </c>
      <c r="AJ11" s="913">
        <v>68.599999999999994</v>
      </c>
      <c r="AK11" s="913">
        <v>68.935000000000002</v>
      </c>
      <c r="AL11" s="913">
        <v>69.35499999999999</v>
      </c>
      <c r="AM11" s="913">
        <v>69.784999999999997</v>
      </c>
      <c r="AN11" s="913">
        <v>70.06</v>
      </c>
      <c r="AO11" s="913">
        <v>70.284999999999997</v>
      </c>
      <c r="AP11" s="913">
        <v>70.495000000000005</v>
      </c>
      <c r="AQ11" s="913">
        <v>70.635000000000005</v>
      </c>
      <c r="AR11" s="913">
        <v>70.83</v>
      </c>
      <c r="AS11" s="913">
        <v>70.91</v>
      </c>
      <c r="AT11" s="913">
        <v>70.984999999999999</v>
      </c>
      <c r="AU11" s="913">
        <v>71.080000000000013</v>
      </c>
      <c r="AV11" s="913">
        <v>71.164999999999992</v>
      </c>
      <c r="AW11" s="913">
        <v>71.465000000000003</v>
      </c>
      <c r="AX11" s="913">
        <v>71.599999999999994</v>
      </c>
      <c r="AY11" s="913">
        <v>71.724999999999994</v>
      </c>
      <c r="AZ11" s="913">
        <v>71.81</v>
      </c>
      <c r="BA11" s="913">
        <v>71.905000000000001</v>
      </c>
      <c r="BB11" s="913">
        <v>72.055000000000007</v>
      </c>
      <c r="BC11" s="913">
        <v>72.180000000000007</v>
      </c>
      <c r="BD11" s="913">
        <v>72.34</v>
      </c>
      <c r="BE11" s="913">
        <v>72.484999999999999</v>
      </c>
      <c r="BF11" s="913">
        <v>72.699999999999989</v>
      </c>
      <c r="BG11" s="913">
        <v>72.87</v>
      </c>
      <c r="BH11" s="913">
        <v>73.125</v>
      </c>
      <c r="BI11" s="913">
        <v>73.305000000000007</v>
      </c>
      <c r="BJ11" s="913">
        <v>73.534999999999997</v>
      </c>
      <c r="BK11" s="913">
        <v>73.745000000000005</v>
      </c>
      <c r="BL11" s="913">
        <v>74</v>
      </c>
      <c r="BM11" s="913">
        <v>74.259999999999991</v>
      </c>
      <c r="BN11" s="913">
        <v>74.47999999999999</v>
      </c>
      <c r="BO11" s="913">
        <v>74.694999999999993</v>
      </c>
      <c r="BP11" s="913">
        <v>74.91</v>
      </c>
      <c r="BQ11" s="913">
        <v>75.115000000000009</v>
      </c>
      <c r="BR11" s="913">
        <v>75.305000000000007</v>
      </c>
      <c r="BS11" s="913">
        <v>75.5</v>
      </c>
      <c r="BT11" s="914">
        <v>75.685000000000002</v>
      </c>
      <c r="BU11" s="913">
        <v>75.835000000000008</v>
      </c>
      <c r="BV11" s="913">
        <v>76.025000000000006</v>
      </c>
      <c r="BW11" s="913">
        <v>76.2</v>
      </c>
      <c r="BX11" s="913">
        <v>76.37</v>
      </c>
      <c r="BY11" s="913">
        <v>76.53</v>
      </c>
      <c r="BZ11" s="913">
        <v>76.685000000000002</v>
      </c>
      <c r="CA11" s="913">
        <v>76.844999999999999</v>
      </c>
      <c r="CB11" s="913">
        <v>77.009999999999991</v>
      </c>
      <c r="CC11" s="913">
        <v>77.169999999999987</v>
      </c>
      <c r="CD11" s="913">
        <v>77.34</v>
      </c>
      <c r="CE11" s="913">
        <v>77.510000000000005</v>
      </c>
      <c r="CF11" s="913">
        <v>77.680000000000007</v>
      </c>
      <c r="CG11" s="913">
        <v>77.844999999999999</v>
      </c>
      <c r="CH11" s="913">
        <v>78.004999999999995</v>
      </c>
      <c r="CI11" s="913">
        <v>78.194999999999993</v>
      </c>
      <c r="CJ11" s="913">
        <v>78.344999999999999</v>
      </c>
      <c r="CK11" s="913">
        <v>78.5</v>
      </c>
      <c r="CL11" s="913">
        <v>78.664999999999992</v>
      </c>
      <c r="CM11" s="913">
        <v>78.83</v>
      </c>
      <c r="CN11" s="913">
        <v>78.984999999999999</v>
      </c>
      <c r="CO11" s="913">
        <v>79.135000000000005</v>
      </c>
      <c r="CP11" s="913">
        <v>79.284999999999997</v>
      </c>
      <c r="CQ11" s="913">
        <v>79.430000000000007</v>
      </c>
      <c r="CR11" s="913">
        <v>79.575000000000003</v>
      </c>
      <c r="CS11" s="913">
        <v>79.734999999999999</v>
      </c>
      <c r="CT11" s="913">
        <v>79.875</v>
      </c>
      <c r="CU11" s="913">
        <v>80.009999999999991</v>
      </c>
      <c r="CV11" s="913">
        <v>80.144999999999996</v>
      </c>
      <c r="CW11" s="913">
        <v>80.289999999999992</v>
      </c>
      <c r="CX11" s="913">
        <v>80.430000000000007</v>
      </c>
      <c r="CY11" s="913">
        <v>80.569999999999993</v>
      </c>
      <c r="CZ11" s="913">
        <v>80.710000000000008</v>
      </c>
      <c r="DA11" s="913">
        <v>80.835000000000008</v>
      </c>
      <c r="DB11" s="913">
        <v>80.974999999999994</v>
      </c>
      <c r="DC11" s="913">
        <v>81.10499999999999</v>
      </c>
      <c r="DD11" s="913">
        <v>81.240000000000009</v>
      </c>
      <c r="DE11" s="913">
        <v>81.37</v>
      </c>
      <c r="DF11" s="913">
        <v>81.495000000000005</v>
      </c>
      <c r="DG11" s="913">
        <v>81.625</v>
      </c>
      <c r="DH11" s="913">
        <v>81.75</v>
      </c>
      <c r="DI11" s="913">
        <v>81.88</v>
      </c>
      <c r="DJ11" s="913">
        <v>82.004999999999995</v>
      </c>
      <c r="DK11" s="913">
        <v>82.13</v>
      </c>
      <c r="DL11" s="913">
        <v>82.25</v>
      </c>
      <c r="DM11" s="913">
        <v>82.375</v>
      </c>
      <c r="DN11" s="913">
        <v>82.495000000000005</v>
      </c>
      <c r="DO11" s="913">
        <v>82.61</v>
      </c>
      <c r="DP11" s="913">
        <v>82.72999999999999</v>
      </c>
      <c r="DQ11" s="913">
        <v>82.85</v>
      </c>
      <c r="DR11" s="913">
        <v>82.965000000000003</v>
      </c>
    </row>
    <row r="12" spans="1:122" s="127" customFormat="1" ht="12.75">
      <c r="A12" s="917">
        <v>10</v>
      </c>
      <c r="B12" s="913">
        <v>58.104748886662101</v>
      </c>
      <c r="C12" s="913">
        <v>58.25166888105899</v>
      </c>
      <c r="D12" s="913">
        <v>58.5320628319093</v>
      </c>
      <c r="E12" s="913">
        <v>58.837120520234897</v>
      </c>
      <c r="F12" s="913">
        <v>59.205836676335416</v>
      </c>
      <c r="G12" s="913">
        <v>59.546543606403404</v>
      </c>
      <c r="H12" s="913">
        <v>59.907343267245132</v>
      </c>
      <c r="I12" s="913">
        <v>60.341633324421707</v>
      </c>
      <c r="J12" s="913">
        <v>60.727558917970171</v>
      </c>
      <c r="K12" s="913">
        <v>61.224818113811011</v>
      </c>
      <c r="L12" s="913">
        <v>61.631475570458711</v>
      </c>
      <c r="M12" s="913">
        <v>61.942908474548631</v>
      </c>
      <c r="N12" s="913">
        <v>62.25335979254757</v>
      </c>
      <c r="O12" s="913">
        <v>62.482157382749278</v>
      </c>
      <c r="P12" s="913">
        <v>62.825189095492178</v>
      </c>
      <c r="Q12" s="913">
        <v>62.996691690955991</v>
      </c>
      <c r="R12" s="913">
        <v>63.216139135510481</v>
      </c>
      <c r="S12" s="913">
        <v>63.377807652619389</v>
      </c>
      <c r="T12" s="913">
        <v>63.386032595750201</v>
      </c>
      <c r="U12" s="913">
        <v>63.640917319015927</v>
      </c>
      <c r="V12" s="913">
        <v>63.930000000000007</v>
      </c>
      <c r="W12" s="913">
        <v>64.174999999999997</v>
      </c>
      <c r="X12" s="913">
        <v>64.415000000000006</v>
      </c>
      <c r="Y12" s="913">
        <v>64.575000000000003</v>
      </c>
      <c r="Z12" s="913">
        <v>64.849999999999994</v>
      </c>
      <c r="AA12" s="913">
        <v>65.09</v>
      </c>
      <c r="AB12" s="913">
        <v>65.37</v>
      </c>
      <c r="AC12" s="913">
        <v>65.59</v>
      </c>
      <c r="AD12" s="913">
        <v>65.734999999999999</v>
      </c>
      <c r="AE12" s="913">
        <v>66.009999999999991</v>
      </c>
      <c r="AF12" s="913">
        <v>66.344999999999999</v>
      </c>
      <c r="AG12" s="913">
        <v>66.655000000000001</v>
      </c>
      <c r="AH12" s="913">
        <v>67</v>
      </c>
      <c r="AI12" s="913">
        <v>67.319999999999993</v>
      </c>
      <c r="AJ12" s="913">
        <v>67.710000000000008</v>
      </c>
      <c r="AK12" s="913">
        <v>68.06</v>
      </c>
      <c r="AL12" s="913">
        <v>68.504999999999995</v>
      </c>
      <c r="AM12" s="913">
        <v>68.87</v>
      </c>
      <c r="AN12" s="913">
        <v>69.150000000000006</v>
      </c>
      <c r="AO12" s="913">
        <v>69.349999999999994</v>
      </c>
      <c r="AP12" s="913">
        <v>69.540000000000006</v>
      </c>
      <c r="AQ12" s="913">
        <v>69.680000000000007</v>
      </c>
      <c r="AR12" s="913">
        <v>69.875</v>
      </c>
      <c r="AS12" s="913">
        <v>69.944999999999993</v>
      </c>
      <c r="AT12" s="913">
        <v>70.02</v>
      </c>
      <c r="AU12" s="913">
        <v>70.11</v>
      </c>
      <c r="AV12" s="913">
        <v>70.194999999999993</v>
      </c>
      <c r="AW12" s="913">
        <v>70.5</v>
      </c>
      <c r="AX12" s="913">
        <v>70.634999999999991</v>
      </c>
      <c r="AY12" s="913">
        <v>70.759999999999991</v>
      </c>
      <c r="AZ12" s="913">
        <v>70.84</v>
      </c>
      <c r="BA12" s="913">
        <v>70.94</v>
      </c>
      <c r="BB12" s="913">
        <v>71.08</v>
      </c>
      <c r="BC12" s="913">
        <v>71.204999999999998</v>
      </c>
      <c r="BD12" s="913">
        <v>71.365000000000009</v>
      </c>
      <c r="BE12" s="913">
        <v>71.52</v>
      </c>
      <c r="BF12" s="913">
        <v>71.724999999999994</v>
      </c>
      <c r="BG12" s="913">
        <v>71.894999999999996</v>
      </c>
      <c r="BH12" s="913">
        <v>72.155000000000001</v>
      </c>
      <c r="BI12" s="913">
        <v>72.335000000000008</v>
      </c>
      <c r="BJ12" s="913">
        <v>72.564999999999998</v>
      </c>
      <c r="BK12" s="913">
        <v>72.775000000000006</v>
      </c>
      <c r="BL12" s="913">
        <v>73.03</v>
      </c>
      <c r="BM12" s="913">
        <v>73.284999999999997</v>
      </c>
      <c r="BN12" s="913">
        <v>73.504999999999995</v>
      </c>
      <c r="BO12" s="913">
        <v>73.715000000000003</v>
      </c>
      <c r="BP12" s="913">
        <v>73.94</v>
      </c>
      <c r="BQ12" s="913">
        <v>74.135000000000005</v>
      </c>
      <c r="BR12" s="913">
        <v>74.33</v>
      </c>
      <c r="BS12" s="913">
        <v>74.52000000000001</v>
      </c>
      <c r="BT12" s="914">
        <v>74.704999999999998</v>
      </c>
      <c r="BU12" s="913">
        <v>74.86</v>
      </c>
      <c r="BV12" s="913">
        <v>75.039999999999992</v>
      </c>
      <c r="BW12" s="913">
        <v>75.22</v>
      </c>
      <c r="BX12" s="913">
        <v>75.39</v>
      </c>
      <c r="BY12" s="913">
        <v>75.550000000000011</v>
      </c>
      <c r="BZ12" s="913">
        <v>75.699999999999989</v>
      </c>
      <c r="CA12" s="913">
        <v>75.86</v>
      </c>
      <c r="CB12" s="913">
        <v>76.02000000000001</v>
      </c>
      <c r="CC12" s="913">
        <v>76.185000000000002</v>
      </c>
      <c r="CD12" s="913">
        <v>76.349999999999994</v>
      </c>
      <c r="CE12" s="913">
        <v>76.52</v>
      </c>
      <c r="CF12" s="913">
        <v>76.69</v>
      </c>
      <c r="CG12" s="913">
        <v>76.855000000000004</v>
      </c>
      <c r="CH12" s="913">
        <v>77.02</v>
      </c>
      <c r="CI12" s="913">
        <v>77.204999999999998</v>
      </c>
      <c r="CJ12" s="913">
        <v>77.349999999999994</v>
      </c>
      <c r="CK12" s="913">
        <v>77.504999999999995</v>
      </c>
      <c r="CL12" s="913">
        <v>77.675000000000011</v>
      </c>
      <c r="CM12" s="913">
        <v>77.835000000000008</v>
      </c>
      <c r="CN12" s="913">
        <v>77.995000000000005</v>
      </c>
      <c r="CO12" s="913">
        <v>78.144999999999996</v>
      </c>
      <c r="CP12" s="913">
        <v>78.289999999999992</v>
      </c>
      <c r="CQ12" s="913">
        <v>78.44</v>
      </c>
      <c r="CR12" s="913">
        <v>78.58</v>
      </c>
      <c r="CS12" s="913">
        <v>78.740000000000009</v>
      </c>
      <c r="CT12" s="913">
        <v>78.884999999999991</v>
      </c>
      <c r="CU12" s="913">
        <v>79.02000000000001</v>
      </c>
      <c r="CV12" s="913">
        <v>79.155000000000001</v>
      </c>
      <c r="CW12" s="913">
        <v>79.295000000000002</v>
      </c>
      <c r="CX12" s="913">
        <v>79.435000000000002</v>
      </c>
      <c r="CY12" s="913">
        <v>79.580000000000013</v>
      </c>
      <c r="CZ12" s="913">
        <v>79.710000000000008</v>
      </c>
      <c r="DA12" s="913">
        <v>79.844999999999999</v>
      </c>
      <c r="DB12" s="913">
        <v>79.97999999999999</v>
      </c>
      <c r="DC12" s="913">
        <v>80.115000000000009</v>
      </c>
      <c r="DD12" s="913">
        <v>80.240000000000009</v>
      </c>
      <c r="DE12" s="913">
        <v>80.37</v>
      </c>
      <c r="DF12" s="913">
        <v>80.504999999999995</v>
      </c>
      <c r="DG12" s="913">
        <v>80.634999999999991</v>
      </c>
      <c r="DH12" s="913">
        <v>80.759999999999991</v>
      </c>
      <c r="DI12" s="913">
        <v>80.884999999999991</v>
      </c>
      <c r="DJ12" s="913">
        <v>81.009999999999991</v>
      </c>
      <c r="DK12" s="913">
        <v>81.134999999999991</v>
      </c>
      <c r="DL12" s="913">
        <v>81.259999999999991</v>
      </c>
      <c r="DM12" s="913">
        <v>81.38</v>
      </c>
      <c r="DN12" s="913">
        <v>81.495000000000005</v>
      </c>
      <c r="DO12" s="913">
        <v>81.62</v>
      </c>
      <c r="DP12" s="913">
        <v>81.734999999999999</v>
      </c>
      <c r="DQ12" s="913">
        <v>81.85499999999999</v>
      </c>
      <c r="DR12" s="913">
        <v>81.97</v>
      </c>
    </row>
    <row r="13" spans="1:122" s="127" customFormat="1" ht="12.75">
      <c r="A13" s="917">
        <v>11</v>
      </c>
      <c r="B13" s="913">
        <v>57.231206621019339</v>
      </c>
      <c r="C13" s="913">
        <v>57.37844938927396</v>
      </c>
      <c r="D13" s="913">
        <v>57.657577850662442</v>
      </c>
      <c r="E13" s="913">
        <v>57.961404605120904</v>
      </c>
      <c r="F13" s="913">
        <v>58.334902555320141</v>
      </c>
      <c r="G13" s="913">
        <v>58.724798241591714</v>
      </c>
      <c r="H13" s="913">
        <v>59.071923085452255</v>
      </c>
      <c r="I13" s="913">
        <v>59.528996138704215</v>
      </c>
      <c r="J13" s="913">
        <v>59.980892900360104</v>
      </c>
      <c r="K13" s="913">
        <v>60.393661935958718</v>
      </c>
      <c r="L13" s="913">
        <v>60.772618223524802</v>
      </c>
      <c r="M13" s="913">
        <v>61.059966768357683</v>
      </c>
      <c r="N13" s="913">
        <v>61.355438611708976</v>
      </c>
      <c r="O13" s="913">
        <v>61.592070528543346</v>
      </c>
      <c r="P13" s="913">
        <v>61.9066094374163</v>
      </c>
      <c r="Q13" s="913">
        <v>62.078336994575317</v>
      </c>
      <c r="R13" s="913">
        <v>62.298069239758647</v>
      </c>
      <c r="S13" s="913">
        <v>62.471489078015196</v>
      </c>
      <c r="T13" s="913">
        <v>62.474031274690546</v>
      </c>
      <c r="U13" s="913">
        <v>62.736190384588255</v>
      </c>
      <c r="V13" s="913">
        <v>63.010000000000005</v>
      </c>
      <c r="W13" s="913">
        <v>63.245000000000005</v>
      </c>
      <c r="X13" s="913">
        <v>63.489999999999995</v>
      </c>
      <c r="Y13" s="913">
        <v>63.655000000000001</v>
      </c>
      <c r="Z13" s="913">
        <v>63.93</v>
      </c>
      <c r="AA13" s="913">
        <v>64.19</v>
      </c>
      <c r="AB13" s="913">
        <v>64.459999999999994</v>
      </c>
      <c r="AC13" s="913">
        <v>64.675000000000011</v>
      </c>
      <c r="AD13" s="913">
        <v>64.819999999999993</v>
      </c>
      <c r="AE13" s="913">
        <v>65.099999999999994</v>
      </c>
      <c r="AF13" s="913">
        <v>65.424999999999997</v>
      </c>
      <c r="AG13" s="913">
        <v>65.745000000000005</v>
      </c>
      <c r="AH13" s="913">
        <v>66.085000000000008</v>
      </c>
      <c r="AI13" s="913">
        <v>66.42</v>
      </c>
      <c r="AJ13" s="913">
        <v>66.820000000000007</v>
      </c>
      <c r="AK13" s="913">
        <v>67.194999999999993</v>
      </c>
      <c r="AL13" s="913">
        <v>67.585000000000008</v>
      </c>
      <c r="AM13" s="913">
        <v>67.95</v>
      </c>
      <c r="AN13" s="913">
        <v>68.210000000000008</v>
      </c>
      <c r="AO13" s="913">
        <v>68.389999999999986</v>
      </c>
      <c r="AP13" s="913">
        <v>68.58</v>
      </c>
      <c r="AQ13" s="913">
        <v>68.72</v>
      </c>
      <c r="AR13" s="913">
        <v>68.905000000000001</v>
      </c>
      <c r="AS13" s="913">
        <v>68.974999999999994</v>
      </c>
      <c r="AT13" s="913">
        <v>69.050000000000011</v>
      </c>
      <c r="AU13" s="913">
        <v>69.134999999999991</v>
      </c>
      <c r="AV13" s="913">
        <v>69.22999999999999</v>
      </c>
      <c r="AW13" s="913">
        <v>69.534999999999997</v>
      </c>
      <c r="AX13" s="913">
        <v>69.66</v>
      </c>
      <c r="AY13" s="913">
        <v>69.789999999999992</v>
      </c>
      <c r="AZ13" s="913">
        <v>69.864999999999995</v>
      </c>
      <c r="BA13" s="913">
        <v>69.965000000000003</v>
      </c>
      <c r="BB13" s="913">
        <v>70.11</v>
      </c>
      <c r="BC13" s="913">
        <v>70.22999999999999</v>
      </c>
      <c r="BD13" s="913">
        <v>70.394999999999996</v>
      </c>
      <c r="BE13" s="913">
        <v>70.544999999999987</v>
      </c>
      <c r="BF13" s="913">
        <v>70.75</v>
      </c>
      <c r="BG13" s="913">
        <v>70.919999999999987</v>
      </c>
      <c r="BH13" s="913">
        <v>71.180000000000007</v>
      </c>
      <c r="BI13" s="913">
        <v>71.365000000000009</v>
      </c>
      <c r="BJ13" s="913">
        <v>71.59</v>
      </c>
      <c r="BK13" s="913">
        <v>71.800000000000011</v>
      </c>
      <c r="BL13" s="913">
        <v>72.055000000000007</v>
      </c>
      <c r="BM13" s="913">
        <v>72.31</v>
      </c>
      <c r="BN13" s="913">
        <v>72.52</v>
      </c>
      <c r="BO13" s="913">
        <v>72.740000000000009</v>
      </c>
      <c r="BP13" s="913">
        <v>72.954999999999998</v>
      </c>
      <c r="BQ13" s="913">
        <v>73.155000000000001</v>
      </c>
      <c r="BR13" s="913">
        <v>73.349999999999994</v>
      </c>
      <c r="BS13" s="913">
        <v>73.545000000000002</v>
      </c>
      <c r="BT13" s="914">
        <v>73.72999999999999</v>
      </c>
      <c r="BU13" s="913">
        <v>73.87</v>
      </c>
      <c r="BV13" s="913">
        <v>74.055000000000007</v>
      </c>
      <c r="BW13" s="913">
        <v>74.235000000000014</v>
      </c>
      <c r="BX13" s="913">
        <v>74.400000000000006</v>
      </c>
      <c r="BY13" s="913">
        <v>74.56</v>
      </c>
      <c r="BZ13" s="913">
        <v>74.715000000000003</v>
      </c>
      <c r="CA13" s="913">
        <v>74.87</v>
      </c>
      <c r="CB13" s="913">
        <v>75.034999999999997</v>
      </c>
      <c r="CC13" s="913">
        <v>75.2</v>
      </c>
      <c r="CD13" s="913">
        <v>75.365000000000009</v>
      </c>
      <c r="CE13" s="913">
        <v>75.534999999999997</v>
      </c>
      <c r="CF13" s="913">
        <v>75.7</v>
      </c>
      <c r="CG13" s="913">
        <v>75.87</v>
      </c>
      <c r="CH13" s="913">
        <v>76.025000000000006</v>
      </c>
      <c r="CI13" s="913">
        <v>76.215000000000003</v>
      </c>
      <c r="CJ13" s="913">
        <v>76.36</v>
      </c>
      <c r="CK13" s="913">
        <v>76.515000000000001</v>
      </c>
      <c r="CL13" s="913">
        <v>76.685000000000002</v>
      </c>
      <c r="CM13" s="913">
        <v>76.844999999999999</v>
      </c>
      <c r="CN13" s="913">
        <v>77</v>
      </c>
      <c r="CO13" s="913">
        <v>77.150000000000006</v>
      </c>
      <c r="CP13" s="913">
        <v>77.3</v>
      </c>
      <c r="CQ13" s="913">
        <v>77.44</v>
      </c>
      <c r="CR13" s="913">
        <v>77.585000000000008</v>
      </c>
      <c r="CS13" s="913">
        <v>77.745000000000005</v>
      </c>
      <c r="CT13" s="913">
        <v>77.89</v>
      </c>
      <c r="CU13" s="913">
        <v>78.025000000000006</v>
      </c>
      <c r="CV13" s="913">
        <v>78.155000000000001</v>
      </c>
      <c r="CW13" s="913">
        <v>78.305000000000007</v>
      </c>
      <c r="CX13" s="913">
        <v>78.44</v>
      </c>
      <c r="CY13" s="913">
        <v>78.585000000000008</v>
      </c>
      <c r="CZ13" s="913">
        <v>78.72</v>
      </c>
      <c r="DA13" s="913">
        <v>78.849999999999994</v>
      </c>
      <c r="DB13" s="913">
        <v>78.990000000000009</v>
      </c>
      <c r="DC13" s="913">
        <v>79.115000000000009</v>
      </c>
      <c r="DD13" s="913">
        <v>79.25</v>
      </c>
      <c r="DE13" s="913">
        <v>79.38</v>
      </c>
      <c r="DF13" s="913">
        <v>79.509999999999991</v>
      </c>
      <c r="DG13" s="913">
        <v>79.634999999999991</v>
      </c>
      <c r="DH13" s="913">
        <v>79.765000000000001</v>
      </c>
      <c r="DI13" s="913">
        <v>79.89</v>
      </c>
      <c r="DJ13" s="913">
        <v>80.015000000000001</v>
      </c>
      <c r="DK13" s="913">
        <v>80.134999999999991</v>
      </c>
      <c r="DL13" s="913">
        <v>80.259999999999991</v>
      </c>
      <c r="DM13" s="913">
        <v>80.38</v>
      </c>
      <c r="DN13" s="913">
        <v>80.504999999999995</v>
      </c>
      <c r="DO13" s="913">
        <v>80.62</v>
      </c>
      <c r="DP13" s="913">
        <v>80.740000000000009</v>
      </c>
      <c r="DQ13" s="913">
        <v>80.85499999999999</v>
      </c>
      <c r="DR13" s="913">
        <v>80.97</v>
      </c>
    </row>
    <row r="14" spans="1:122" s="127" customFormat="1" ht="12.75">
      <c r="A14" s="917">
        <v>12</v>
      </c>
      <c r="B14" s="913">
        <v>56.350102728389082</v>
      </c>
      <c r="C14" s="913">
        <v>56.49591166988256</v>
      </c>
      <c r="D14" s="913">
        <v>56.77386445178319</v>
      </c>
      <c r="E14" s="913">
        <v>57.082001268694626</v>
      </c>
      <c r="F14" s="913">
        <v>57.501604348092535</v>
      </c>
      <c r="G14" s="913">
        <v>57.878828311482607</v>
      </c>
      <c r="H14" s="913">
        <v>58.2469953499645</v>
      </c>
      <c r="I14" s="913">
        <v>58.766157785745492</v>
      </c>
      <c r="J14" s="913">
        <v>59.138821758373965</v>
      </c>
      <c r="K14" s="913">
        <v>59.525696013491391</v>
      </c>
      <c r="L14" s="913">
        <v>59.882755021550736</v>
      </c>
      <c r="M14" s="913">
        <v>60.156465273654661</v>
      </c>
      <c r="N14" s="913">
        <v>60.459398005065317</v>
      </c>
      <c r="O14" s="913">
        <v>60.668932221502125</v>
      </c>
      <c r="P14" s="913">
        <v>60.983867671442361</v>
      </c>
      <c r="Q14" s="913">
        <v>61.155811878250518</v>
      </c>
      <c r="R14" s="913">
        <v>61.386679757042771</v>
      </c>
      <c r="S14" s="913">
        <v>61.552924270664406</v>
      </c>
      <c r="T14" s="913">
        <v>61.561821323137281</v>
      </c>
      <c r="U14" s="913">
        <v>61.812606314241101</v>
      </c>
      <c r="V14" s="913">
        <v>62.08</v>
      </c>
      <c r="W14" s="913">
        <v>62.32</v>
      </c>
      <c r="X14" s="913">
        <v>62.56</v>
      </c>
      <c r="Y14" s="913">
        <v>62.725000000000001</v>
      </c>
      <c r="Z14" s="913">
        <v>63.015000000000001</v>
      </c>
      <c r="AA14" s="913">
        <v>63.269999999999996</v>
      </c>
      <c r="AB14" s="913">
        <v>63.535000000000004</v>
      </c>
      <c r="AC14" s="913">
        <v>63.745000000000005</v>
      </c>
      <c r="AD14" s="913">
        <v>63.900000000000006</v>
      </c>
      <c r="AE14" s="913">
        <v>64.174999999999997</v>
      </c>
      <c r="AF14" s="913">
        <v>64.504999999999995</v>
      </c>
      <c r="AG14" s="913">
        <v>64.819999999999993</v>
      </c>
      <c r="AH14" s="913">
        <v>65.17</v>
      </c>
      <c r="AI14" s="913">
        <v>65.515000000000001</v>
      </c>
      <c r="AJ14" s="913">
        <v>65.94</v>
      </c>
      <c r="AK14" s="913">
        <v>66.27</v>
      </c>
      <c r="AL14" s="913">
        <v>66.66</v>
      </c>
      <c r="AM14" s="913">
        <v>67.009999999999991</v>
      </c>
      <c r="AN14" s="913">
        <v>67.245000000000005</v>
      </c>
      <c r="AO14" s="913">
        <v>67.430000000000007</v>
      </c>
      <c r="AP14" s="913">
        <v>67.62</v>
      </c>
      <c r="AQ14" s="913">
        <v>67.754999999999995</v>
      </c>
      <c r="AR14" s="913">
        <v>67.935000000000002</v>
      </c>
      <c r="AS14" s="913">
        <v>68.004999999999995</v>
      </c>
      <c r="AT14" s="913">
        <v>68.075000000000003</v>
      </c>
      <c r="AU14" s="913">
        <v>68.17</v>
      </c>
      <c r="AV14" s="913">
        <v>68.254999999999995</v>
      </c>
      <c r="AW14" s="913">
        <v>68.56</v>
      </c>
      <c r="AX14" s="913">
        <v>68.685000000000002</v>
      </c>
      <c r="AY14" s="913">
        <v>68.814999999999998</v>
      </c>
      <c r="AZ14" s="913">
        <v>68.89</v>
      </c>
      <c r="BA14" s="913">
        <v>68.984999999999999</v>
      </c>
      <c r="BB14" s="913">
        <v>69.13</v>
      </c>
      <c r="BC14" s="913">
        <v>69.254999999999995</v>
      </c>
      <c r="BD14" s="913">
        <v>69.42</v>
      </c>
      <c r="BE14" s="913">
        <v>69.569999999999993</v>
      </c>
      <c r="BF14" s="913">
        <v>69.78</v>
      </c>
      <c r="BG14" s="913">
        <v>69.944999999999993</v>
      </c>
      <c r="BH14" s="913">
        <v>70.204999999999998</v>
      </c>
      <c r="BI14" s="913">
        <v>70.384999999999991</v>
      </c>
      <c r="BJ14" s="913">
        <v>70.614999999999995</v>
      </c>
      <c r="BK14" s="913">
        <v>70.825000000000003</v>
      </c>
      <c r="BL14" s="913">
        <v>71.075000000000003</v>
      </c>
      <c r="BM14" s="913">
        <v>71.33</v>
      </c>
      <c r="BN14" s="913">
        <v>71.544999999999987</v>
      </c>
      <c r="BO14" s="913">
        <v>71.759999999999991</v>
      </c>
      <c r="BP14" s="913">
        <v>71.97999999999999</v>
      </c>
      <c r="BQ14" s="913">
        <v>72.17</v>
      </c>
      <c r="BR14" s="913">
        <v>72.364999999999995</v>
      </c>
      <c r="BS14" s="913">
        <v>72.56</v>
      </c>
      <c r="BT14" s="914">
        <v>72.745000000000005</v>
      </c>
      <c r="BU14" s="913">
        <v>72.884999999999991</v>
      </c>
      <c r="BV14" s="913">
        <v>73.075000000000003</v>
      </c>
      <c r="BW14" s="913">
        <v>73.245000000000005</v>
      </c>
      <c r="BX14" s="913">
        <v>73.42</v>
      </c>
      <c r="BY14" s="913">
        <v>73.575000000000003</v>
      </c>
      <c r="BZ14" s="913">
        <v>73.72999999999999</v>
      </c>
      <c r="CA14" s="913">
        <v>73.885000000000005</v>
      </c>
      <c r="CB14" s="913">
        <v>74.045000000000002</v>
      </c>
      <c r="CC14" s="913">
        <v>74.215000000000003</v>
      </c>
      <c r="CD14" s="913">
        <v>74.375</v>
      </c>
      <c r="CE14" s="913">
        <v>74.545000000000002</v>
      </c>
      <c r="CF14" s="913">
        <v>74.715000000000003</v>
      </c>
      <c r="CG14" s="913">
        <v>74.88</v>
      </c>
      <c r="CH14" s="913">
        <v>75.034999999999997</v>
      </c>
      <c r="CI14" s="913">
        <v>75.224999999999994</v>
      </c>
      <c r="CJ14" s="913">
        <v>75.37</v>
      </c>
      <c r="CK14" s="913">
        <v>75.525000000000006</v>
      </c>
      <c r="CL14" s="913">
        <v>75.694999999999993</v>
      </c>
      <c r="CM14" s="913">
        <v>75.849999999999994</v>
      </c>
      <c r="CN14" s="913">
        <v>76.015000000000001</v>
      </c>
      <c r="CO14" s="913">
        <v>76.155000000000001</v>
      </c>
      <c r="CP14" s="913">
        <v>76.31</v>
      </c>
      <c r="CQ14" s="913">
        <v>76.45</v>
      </c>
      <c r="CR14" s="913">
        <v>76.594999999999999</v>
      </c>
      <c r="CS14" s="913">
        <v>76.754999999999995</v>
      </c>
      <c r="CT14" s="913">
        <v>76.900000000000006</v>
      </c>
      <c r="CU14" s="913">
        <v>77.034999999999997</v>
      </c>
      <c r="CV14" s="913">
        <v>77.164999999999992</v>
      </c>
      <c r="CW14" s="913">
        <v>77.31</v>
      </c>
      <c r="CX14" s="913">
        <v>77.45</v>
      </c>
      <c r="CY14" s="913">
        <v>77.585000000000008</v>
      </c>
      <c r="CZ14" s="913">
        <v>77.72</v>
      </c>
      <c r="DA14" s="913">
        <v>77.86</v>
      </c>
      <c r="DB14" s="913">
        <v>77.995000000000005</v>
      </c>
      <c r="DC14" s="913">
        <v>78.125</v>
      </c>
      <c r="DD14" s="913">
        <v>78.254999999999995</v>
      </c>
      <c r="DE14" s="913">
        <v>78.389999999999986</v>
      </c>
      <c r="DF14" s="913">
        <v>78.515000000000001</v>
      </c>
      <c r="DG14" s="913">
        <v>78.64500000000001</v>
      </c>
      <c r="DH14" s="913">
        <v>78.77000000000001</v>
      </c>
      <c r="DI14" s="913">
        <v>78.900000000000006</v>
      </c>
      <c r="DJ14" s="913">
        <v>79.02000000000001</v>
      </c>
      <c r="DK14" s="913">
        <v>79.144999999999996</v>
      </c>
      <c r="DL14" s="913">
        <v>79.264999999999986</v>
      </c>
      <c r="DM14" s="913">
        <v>79.39</v>
      </c>
      <c r="DN14" s="913">
        <v>79.504999999999995</v>
      </c>
      <c r="DO14" s="913">
        <v>79.625</v>
      </c>
      <c r="DP14" s="913">
        <v>79.745000000000005</v>
      </c>
      <c r="DQ14" s="913">
        <v>79.865000000000009</v>
      </c>
      <c r="DR14" s="913">
        <v>79.97999999999999</v>
      </c>
    </row>
    <row r="15" spans="1:122" s="127" customFormat="1" ht="12.75">
      <c r="A15" s="917">
        <v>13</v>
      </c>
      <c r="B15" s="913">
        <v>55.4610514904779</v>
      </c>
      <c r="C15" s="913">
        <v>55.605344553043452</v>
      </c>
      <c r="D15" s="913">
        <v>55.890947290230457</v>
      </c>
      <c r="E15" s="913">
        <v>56.219256981844623</v>
      </c>
      <c r="F15" s="913">
        <v>56.649469817966498</v>
      </c>
      <c r="G15" s="913">
        <v>57.0532171724942</v>
      </c>
      <c r="H15" s="913">
        <v>57.506341115653974</v>
      </c>
      <c r="I15" s="913">
        <v>57.930108131950618</v>
      </c>
      <c r="J15" s="913">
        <v>58.273846326671773</v>
      </c>
      <c r="K15" s="913">
        <v>58.634846941808149</v>
      </c>
      <c r="L15" s="913">
        <v>58.983791586167285</v>
      </c>
      <c r="M15" s="913">
        <v>59.261105005789233</v>
      </c>
      <c r="N15" s="913">
        <v>59.536469409460175</v>
      </c>
      <c r="O15" s="913">
        <v>59.746273208372912</v>
      </c>
      <c r="P15" s="913">
        <v>60.061613771864288</v>
      </c>
      <c r="Q15" s="913">
        <v>60.234715721190156</v>
      </c>
      <c r="R15" s="913">
        <v>60.465579236310504</v>
      </c>
      <c r="S15" s="913">
        <v>60.635247211264314</v>
      </c>
      <c r="T15" s="913">
        <v>60.638041829678613</v>
      </c>
      <c r="U15" s="913">
        <v>60.883000464882095</v>
      </c>
      <c r="V15" s="913">
        <v>61.144999999999996</v>
      </c>
      <c r="W15" s="913">
        <v>61.384999999999998</v>
      </c>
      <c r="X15" s="913">
        <v>61.629999999999995</v>
      </c>
      <c r="Y15" s="913">
        <v>61.81</v>
      </c>
      <c r="Z15" s="913">
        <v>62.105000000000004</v>
      </c>
      <c r="AA15" s="913">
        <v>62.350000000000009</v>
      </c>
      <c r="AB15" s="913">
        <v>62.61</v>
      </c>
      <c r="AC15" s="913">
        <v>62.83</v>
      </c>
      <c r="AD15" s="913">
        <v>62.980000000000004</v>
      </c>
      <c r="AE15" s="913">
        <v>63.254999999999995</v>
      </c>
      <c r="AF15" s="913">
        <v>63.59</v>
      </c>
      <c r="AG15" s="913">
        <v>63.915000000000006</v>
      </c>
      <c r="AH15" s="913">
        <v>64.275000000000006</v>
      </c>
      <c r="AI15" s="913">
        <v>64.64500000000001</v>
      </c>
      <c r="AJ15" s="913">
        <v>65.009999999999991</v>
      </c>
      <c r="AK15" s="913">
        <v>65.344999999999999</v>
      </c>
      <c r="AL15" s="913">
        <v>65.715000000000003</v>
      </c>
      <c r="AM15" s="913">
        <v>66.05</v>
      </c>
      <c r="AN15" s="913">
        <v>66.284999999999997</v>
      </c>
      <c r="AO15" s="913">
        <v>66.465000000000003</v>
      </c>
      <c r="AP15" s="913">
        <v>66.644999999999996</v>
      </c>
      <c r="AQ15" s="913">
        <v>66.784999999999997</v>
      </c>
      <c r="AR15" s="913">
        <v>66.959999999999994</v>
      </c>
      <c r="AS15" s="913">
        <v>67.03</v>
      </c>
      <c r="AT15" s="913">
        <v>67.105000000000004</v>
      </c>
      <c r="AU15" s="913">
        <v>67.194999999999993</v>
      </c>
      <c r="AV15" s="913">
        <v>67.28</v>
      </c>
      <c r="AW15" s="913">
        <v>67.585000000000008</v>
      </c>
      <c r="AX15" s="913">
        <v>67.704999999999998</v>
      </c>
      <c r="AY15" s="913">
        <v>67.84</v>
      </c>
      <c r="AZ15" s="913">
        <v>67.914999999999992</v>
      </c>
      <c r="BA15" s="913">
        <v>68.015000000000001</v>
      </c>
      <c r="BB15" s="913">
        <v>68.155000000000001</v>
      </c>
      <c r="BC15" s="913">
        <v>68.28</v>
      </c>
      <c r="BD15" s="913">
        <v>68.444999999999993</v>
      </c>
      <c r="BE15" s="913">
        <v>68.594999999999999</v>
      </c>
      <c r="BF15" s="913">
        <v>68.805000000000007</v>
      </c>
      <c r="BG15" s="913">
        <v>68.97</v>
      </c>
      <c r="BH15" s="913">
        <v>69.234999999999999</v>
      </c>
      <c r="BI15" s="913">
        <v>69.41</v>
      </c>
      <c r="BJ15" s="913">
        <v>69.64</v>
      </c>
      <c r="BK15" s="913">
        <v>69.844999999999999</v>
      </c>
      <c r="BL15" s="913">
        <v>70.099999999999994</v>
      </c>
      <c r="BM15" s="913">
        <v>70.349999999999994</v>
      </c>
      <c r="BN15" s="913">
        <v>70.564999999999998</v>
      </c>
      <c r="BO15" s="913">
        <v>70.78</v>
      </c>
      <c r="BP15" s="913">
        <v>70.995000000000005</v>
      </c>
      <c r="BQ15" s="913">
        <v>71.19</v>
      </c>
      <c r="BR15" s="913">
        <v>71.385000000000005</v>
      </c>
      <c r="BS15" s="913">
        <v>71.575000000000003</v>
      </c>
      <c r="BT15" s="914">
        <v>71.765000000000001</v>
      </c>
      <c r="BU15" s="913">
        <v>71.905000000000001</v>
      </c>
      <c r="BV15" s="913">
        <v>72.085000000000008</v>
      </c>
      <c r="BW15" s="913">
        <v>72.259999999999991</v>
      </c>
      <c r="BX15" s="913">
        <v>72.430000000000007</v>
      </c>
      <c r="BY15" s="913">
        <v>72.585000000000008</v>
      </c>
      <c r="BZ15" s="913">
        <v>72.745000000000005</v>
      </c>
      <c r="CA15" s="913">
        <v>72.894999999999996</v>
      </c>
      <c r="CB15" s="913">
        <v>73.06</v>
      </c>
      <c r="CC15" s="913">
        <v>73.23</v>
      </c>
      <c r="CD15" s="913">
        <v>73.384999999999991</v>
      </c>
      <c r="CE15" s="913">
        <v>73.555000000000007</v>
      </c>
      <c r="CF15" s="913">
        <v>73.724999999999994</v>
      </c>
      <c r="CG15" s="913">
        <v>73.889999999999986</v>
      </c>
      <c r="CH15" s="913">
        <v>74.044999999999987</v>
      </c>
      <c r="CI15" s="913">
        <v>74.234999999999999</v>
      </c>
      <c r="CJ15" s="913">
        <v>74.38</v>
      </c>
      <c r="CK15" s="913">
        <v>74.539999999999992</v>
      </c>
      <c r="CL15" s="913">
        <v>74.7</v>
      </c>
      <c r="CM15" s="913">
        <v>74.865000000000009</v>
      </c>
      <c r="CN15" s="913">
        <v>75.02000000000001</v>
      </c>
      <c r="CO15" s="913">
        <v>75.165000000000006</v>
      </c>
      <c r="CP15" s="913">
        <v>75.319999999999993</v>
      </c>
      <c r="CQ15" s="913">
        <v>75.454999999999998</v>
      </c>
      <c r="CR15" s="913">
        <v>75.605000000000004</v>
      </c>
      <c r="CS15" s="913">
        <v>75.754999999999995</v>
      </c>
      <c r="CT15" s="913">
        <v>75.905000000000001</v>
      </c>
      <c r="CU15" s="913">
        <v>76.034999999999997</v>
      </c>
      <c r="CV15" s="913">
        <v>76.174999999999997</v>
      </c>
      <c r="CW15" s="913">
        <v>76.314999999999998</v>
      </c>
      <c r="CX15" s="913">
        <v>76.455000000000013</v>
      </c>
      <c r="CY15" s="913">
        <v>76.594999999999999</v>
      </c>
      <c r="CZ15" s="913">
        <v>76.72999999999999</v>
      </c>
      <c r="DA15" s="913">
        <v>76.86</v>
      </c>
      <c r="DB15" s="913">
        <v>77</v>
      </c>
      <c r="DC15" s="913">
        <v>77.13</v>
      </c>
      <c r="DD15" s="913">
        <v>77.259999999999991</v>
      </c>
      <c r="DE15" s="913">
        <v>77.389999999999986</v>
      </c>
      <c r="DF15" s="913">
        <v>77.52000000000001</v>
      </c>
      <c r="DG15" s="913">
        <v>77.650000000000006</v>
      </c>
      <c r="DH15" s="913">
        <v>77.775000000000006</v>
      </c>
      <c r="DI15" s="913">
        <v>77.900000000000006</v>
      </c>
      <c r="DJ15" s="913">
        <v>78.03</v>
      </c>
      <c r="DK15" s="913">
        <v>78.150000000000006</v>
      </c>
      <c r="DL15" s="913">
        <v>78.275000000000006</v>
      </c>
      <c r="DM15" s="913">
        <v>78.39</v>
      </c>
      <c r="DN15" s="913">
        <v>78.515000000000001</v>
      </c>
      <c r="DO15" s="913">
        <v>78.634999999999991</v>
      </c>
      <c r="DP15" s="913">
        <v>78.75</v>
      </c>
      <c r="DQ15" s="913">
        <v>78.865000000000009</v>
      </c>
      <c r="DR15" s="913">
        <v>78.97999999999999</v>
      </c>
    </row>
    <row r="16" spans="1:122" s="127" customFormat="1" ht="12.75">
      <c r="A16" s="917">
        <v>14</v>
      </c>
      <c r="B16" s="913">
        <v>54.576538248641796</v>
      </c>
      <c r="C16" s="913">
        <v>54.728898481423911</v>
      </c>
      <c r="D16" s="913">
        <v>55.034118098454542</v>
      </c>
      <c r="E16" s="913">
        <v>55.373446119267633</v>
      </c>
      <c r="F16" s="913">
        <v>55.834736884202194</v>
      </c>
      <c r="G16" s="913">
        <v>56.338046192868767</v>
      </c>
      <c r="H16" s="913">
        <v>56.683426268411594</v>
      </c>
      <c r="I16" s="913">
        <v>57.076851151206611</v>
      </c>
      <c r="J16" s="913">
        <v>57.389472546964313</v>
      </c>
      <c r="K16" s="913">
        <v>57.742722293563389</v>
      </c>
      <c r="L16" s="913">
        <v>58.095711913688291</v>
      </c>
      <c r="M16" s="913">
        <v>58.343455895305894</v>
      </c>
      <c r="N16" s="913">
        <v>58.619206078054972</v>
      </c>
      <c r="O16" s="913">
        <v>58.829304007919646</v>
      </c>
      <c r="P16" s="913">
        <v>59.146111237981508</v>
      </c>
      <c r="Q16" s="913">
        <v>59.316688588262593</v>
      </c>
      <c r="R16" s="913">
        <v>59.551249699041676</v>
      </c>
      <c r="S16" s="913">
        <v>59.712485088281348</v>
      </c>
      <c r="T16" s="913">
        <v>59.709084497728568</v>
      </c>
      <c r="U16" s="913">
        <v>59.949563560180906</v>
      </c>
      <c r="V16" s="913">
        <v>60.215000000000003</v>
      </c>
      <c r="W16" s="913">
        <v>60.45</v>
      </c>
      <c r="X16" s="913">
        <v>60.725000000000001</v>
      </c>
      <c r="Y16" s="913">
        <v>60.905000000000001</v>
      </c>
      <c r="Z16" s="913">
        <v>61.185000000000002</v>
      </c>
      <c r="AA16" s="913">
        <v>61.430000000000007</v>
      </c>
      <c r="AB16" s="913">
        <v>61.7</v>
      </c>
      <c r="AC16" s="913">
        <v>61.91</v>
      </c>
      <c r="AD16" s="913">
        <v>62.06</v>
      </c>
      <c r="AE16" s="913">
        <v>62.344999999999999</v>
      </c>
      <c r="AF16" s="913">
        <v>62.68</v>
      </c>
      <c r="AG16" s="913">
        <v>63.019999999999996</v>
      </c>
      <c r="AH16" s="913">
        <v>63.405000000000001</v>
      </c>
      <c r="AI16" s="913">
        <v>63.715000000000003</v>
      </c>
      <c r="AJ16" s="913">
        <v>64.085000000000008</v>
      </c>
      <c r="AK16" s="913">
        <v>64.400000000000006</v>
      </c>
      <c r="AL16" s="913">
        <v>64.759999999999991</v>
      </c>
      <c r="AM16" s="913">
        <v>65.09</v>
      </c>
      <c r="AN16" s="913">
        <v>65.33</v>
      </c>
      <c r="AO16" s="913">
        <v>65.5</v>
      </c>
      <c r="AP16" s="913">
        <v>65.680000000000007</v>
      </c>
      <c r="AQ16" s="913">
        <v>65.814999999999998</v>
      </c>
      <c r="AR16" s="913">
        <v>65.995000000000005</v>
      </c>
      <c r="AS16" s="913">
        <v>66.064999999999998</v>
      </c>
      <c r="AT16" s="913">
        <v>66.135000000000005</v>
      </c>
      <c r="AU16" s="913">
        <v>66.22</v>
      </c>
      <c r="AV16" s="913">
        <v>66.305000000000007</v>
      </c>
      <c r="AW16" s="913">
        <v>66.61</v>
      </c>
      <c r="AX16" s="913">
        <v>66.734999999999999</v>
      </c>
      <c r="AY16" s="913">
        <v>66.865000000000009</v>
      </c>
      <c r="AZ16" s="913">
        <v>66.94</v>
      </c>
      <c r="BA16" s="913">
        <v>67.039999999999992</v>
      </c>
      <c r="BB16" s="913">
        <v>67.185000000000002</v>
      </c>
      <c r="BC16" s="913">
        <v>67.31</v>
      </c>
      <c r="BD16" s="913">
        <v>67.47</v>
      </c>
      <c r="BE16" s="913">
        <v>67.62</v>
      </c>
      <c r="BF16" s="913">
        <v>67.83</v>
      </c>
      <c r="BG16" s="913">
        <v>68</v>
      </c>
      <c r="BH16" s="913">
        <v>68.259999999999991</v>
      </c>
      <c r="BI16" s="913">
        <v>68.435000000000002</v>
      </c>
      <c r="BJ16" s="913">
        <v>68.664999999999992</v>
      </c>
      <c r="BK16" s="913">
        <v>68.865000000000009</v>
      </c>
      <c r="BL16" s="913">
        <v>69.12</v>
      </c>
      <c r="BM16" s="913">
        <v>69.375</v>
      </c>
      <c r="BN16" s="913">
        <v>69.585000000000008</v>
      </c>
      <c r="BO16" s="913">
        <v>69.8</v>
      </c>
      <c r="BP16" s="913">
        <v>70.015000000000001</v>
      </c>
      <c r="BQ16" s="913">
        <v>70.210000000000008</v>
      </c>
      <c r="BR16" s="913">
        <v>70.400000000000006</v>
      </c>
      <c r="BS16" s="913">
        <v>70.594999999999999</v>
      </c>
      <c r="BT16" s="914">
        <v>70.78</v>
      </c>
      <c r="BU16" s="913">
        <v>70.92</v>
      </c>
      <c r="BV16" s="913">
        <v>71.099999999999994</v>
      </c>
      <c r="BW16" s="913">
        <v>71.275000000000006</v>
      </c>
      <c r="BX16" s="913">
        <v>71.444999999999993</v>
      </c>
      <c r="BY16" s="913">
        <v>71.599999999999994</v>
      </c>
      <c r="BZ16" s="913">
        <v>71.754999999999995</v>
      </c>
      <c r="CA16" s="913">
        <v>71.91</v>
      </c>
      <c r="CB16" s="913">
        <v>72.069999999999993</v>
      </c>
      <c r="CC16" s="913">
        <v>72.240000000000009</v>
      </c>
      <c r="CD16" s="913">
        <v>72.405000000000001</v>
      </c>
      <c r="CE16" s="913">
        <v>72.569999999999993</v>
      </c>
      <c r="CF16" s="913">
        <v>72.734999999999999</v>
      </c>
      <c r="CG16" s="913">
        <v>72.894999999999996</v>
      </c>
      <c r="CH16" s="913">
        <v>73.06</v>
      </c>
      <c r="CI16" s="913">
        <v>73.240000000000009</v>
      </c>
      <c r="CJ16" s="913">
        <v>73.39</v>
      </c>
      <c r="CK16" s="913">
        <v>73.545000000000002</v>
      </c>
      <c r="CL16" s="913">
        <v>73.715000000000003</v>
      </c>
      <c r="CM16" s="913">
        <v>73.875</v>
      </c>
      <c r="CN16" s="913">
        <v>74.025000000000006</v>
      </c>
      <c r="CO16" s="913">
        <v>74.17</v>
      </c>
      <c r="CP16" s="913">
        <v>74.330000000000013</v>
      </c>
      <c r="CQ16" s="913">
        <v>74.465000000000003</v>
      </c>
      <c r="CR16" s="913">
        <v>74.610000000000014</v>
      </c>
      <c r="CS16" s="913">
        <v>74.765000000000001</v>
      </c>
      <c r="CT16" s="913">
        <v>74.91</v>
      </c>
      <c r="CU16" s="913">
        <v>75.045000000000002</v>
      </c>
      <c r="CV16" s="913">
        <v>75.185000000000002</v>
      </c>
      <c r="CW16" s="913">
        <v>75.325000000000003</v>
      </c>
      <c r="CX16" s="913">
        <v>75.460000000000008</v>
      </c>
      <c r="CY16" s="913">
        <v>75.599999999999994</v>
      </c>
      <c r="CZ16" s="913">
        <v>75.740000000000009</v>
      </c>
      <c r="DA16" s="913">
        <v>75.87</v>
      </c>
      <c r="DB16" s="913">
        <v>76.004999999999995</v>
      </c>
      <c r="DC16" s="913">
        <v>76.134999999999991</v>
      </c>
      <c r="DD16" s="913">
        <v>76.27</v>
      </c>
      <c r="DE16" s="913">
        <v>76.400000000000006</v>
      </c>
      <c r="DF16" s="913">
        <v>76.53</v>
      </c>
      <c r="DG16" s="913">
        <v>76.655000000000001</v>
      </c>
      <c r="DH16" s="913">
        <v>76.784999999999997</v>
      </c>
      <c r="DI16" s="913">
        <v>76.91</v>
      </c>
      <c r="DJ16" s="913">
        <v>77.03</v>
      </c>
      <c r="DK16" s="913">
        <v>77.155000000000001</v>
      </c>
      <c r="DL16" s="913">
        <v>77.275000000000006</v>
      </c>
      <c r="DM16" s="913">
        <v>77.400000000000006</v>
      </c>
      <c r="DN16" s="913">
        <v>77.52000000000001</v>
      </c>
      <c r="DO16" s="913">
        <v>77.634999999999991</v>
      </c>
      <c r="DP16" s="913">
        <v>77.75</v>
      </c>
      <c r="DQ16" s="913">
        <v>77.87</v>
      </c>
      <c r="DR16" s="913">
        <v>77.984999999999999</v>
      </c>
    </row>
    <row r="17" spans="1:122" s="127" customFormat="1" ht="12.75">
      <c r="A17" s="917">
        <v>15</v>
      </c>
      <c r="B17" s="913">
        <v>53.711800095348593</v>
      </c>
      <c r="C17" s="913">
        <v>53.883709622666998</v>
      </c>
      <c r="D17" s="913">
        <v>54.200875504220235</v>
      </c>
      <c r="E17" s="913">
        <v>54.576534873817089</v>
      </c>
      <c r="F17" s="913">
        <v>55.154563969228718</v>
      </c>
      <c r="G17" s="913">
        <v>55.534742304493108</v>
      </c>
      <c r="H17" s="913">
        <v>55.847315151984645</v>
      </c>
      <c r="I17" s="913">
        <v>56.205664413518726</v>
      </c>
      <c r="J17" s="913">
        <v>56.510051095733509</v>
      </c>
      <c r="K17" s="913">
        <v>56.867810062013746</v>
      </c>
      <c r="L17" s="913">
        <v>57.187922859816041</v>
      </c>
      <c r="M17" s="913">
        <v>57.436063659192008</v>
      </c>
      <c r="N17" s="913">
        <v>57.712254933391911</v>
      </c>
      <c r="O17" s="913">
        <v>57.923816621015902</v>
      </c>
      <c r="P17" s="913">
        <v>58.23671823386276</v>
      </c>
      <c r="Q17" s="913">
        <v>58.411272640719694</v>
      </c>
      <c r="R17" s="913">
        <v>58.635331232407957</v>
      </c>
      <c r="S17" s="913">
        <v>58.790028463536004</v>
      </c>
      <c r="T17" s="913">
        <v>58.781441727269929</v>
      </c>
      <c r="U17" s="913">
        <v>59.022213548780613</v>
      </c>
      <c r="V17" s="913">
        <v>59.284999999999997</v>
      </c>
      <c r="W17" s="913">
        <v>59.55</v>
      </c>
      <c r="X17" s="913">
        <v>59.82</v>
      </c>
      <c r="Y17" s="913">
        <v>59.994999999999997</v>
      </c>
      <c r="Z17" s="913">
        <v>60.269999999999996</v>
      </c>
      <c r="AA17" s="913">
        <v>60.515000000000001</v>
      </c>
      <c r="AB17" s="913">
        <v>60.784999999999997</v>
      </c>
      <c r="AC17" s="913">
        <v>61</v>
      </c>
      <c r="AD17" s="913">
        <v>61.155000000000001</v>
      </c>
      <c r="AE17" s="913">
        <v>61.445000000000007</v>
      </c>
      <c r="AF17" s="913">
        <v>61.795000000000002</v>
      </c>
      <c r="AG17" s="913">
        <v>62.155000000000001</v>
      </c>
      <c r="AH17" s="913">
        <v>62.484999999999999</v>
      </c>
      <c r="AI17" s="913">
        <v>62.795000000000002</v>
      </c>
      <c r="AJ17" s="913">
        <v>63.150000000000006</v>
      </c>
      <c r="AK17" s="913">
        <v>63.45</v>
      </c>
      <c r="AL17" s="913">
        <v>63.805000000000007</v>
      </c>
      <c r="AM17" s="913">
        <v>64.14</v>
      </c>
      <c r="AN17" s="913">
        <v>64.364999999999995</v>
      </c>
      <c r="AO17" s="913">
        <v>64.534999999999997</v>
      </c>
      <c r="AP17" s="913">
        <v>64.715000000000003</v>
      </c>
      <c r="AQ17" s="913">
        <v>64.844999999999999</v>
      </c>
      <c r="AR17" s="913">
        <v>65.025000000000006</v>
      </c>
      <c r="AS17" s="913">
        <v>65.099999999999994</v>
      </c>
      <c r="AT17" s="913">
        <v>65.17</v>
      </c>
      <c r="AU17" s="913">
        <v>65.254999999999995</v>
      </c>
      <c r="AV17" s="913">
        <v>65.335000000000008</v>
      </c>
      <c r="AW17" s="913">
        <v>65.64</v>
      </c>
      <c r="AX17" s="913">
        <v>65.765000000000001</v>
      </c>
      <c r="AY17" s="913">
        <v>65.894999999999996</v>
      </c>
      <c r="AZ17" s="913">
        <v>65.97</v>
      </c>
      <c r="BA17" s="913">
        <v>66.064999999999998</v>
      </c>
      <c r="BB17" s="913">
        <v>66.215000000000003</v>
      </c>
      <c r="BC17" s="913">
        <v>66.34</v>
      </c>
      <c r="BD17" s="913">
        <v>66.5</v>
      </c>
      <c r="BE17" s="913">
        <v>66.655000000000001</v>
      </c>
      <c r="BF17" s="913">
        <v>66.86</v>
      </c>
      <c r="BG17" s="913">
        <v>67.025000000000006</v>
      </c>
      <c r="BH17" s="913">
        <v>67.284999999999997</v>
      </c>
      <c r="BI17" s="913">
        <v>67.460000000000008</v>
      </c>
      <c r="BJ17" s="913">
        <v>67.69</v>
      </c>
      <c r="BK17" s="913">
        <v>67.894999999999996</v>
      </c>
      <c r="BL17" s="913">
        <v>68.14500000000001</v>
      </c>
      <c r="BM17" s="913">
        <v>68.400000000000006</v>
      </c>
      <c r="BN17" s="913">
        <v>68.610000000000014</v>
      </c>
      <c r="BO17" s="913">
        <v>68.824999999999989</v>
      </c>
      <c r="BP17" s="913">
        <v>69.040000000000006</v>
      </c>
      <c r="BQ17" s="913">
        <v>69.23</v>
      </c>
      <c r="BR17" s="913">
        <v>69.424999999999997</v>
      </c>
      <c r="BS17" s="913">
        <v>69.615000000000009</v>
      </c>
      <c r="BT17" s="914">
        <v>69.795000000000002</v>
      </c>
      <c r="BU17" s="913">
        <v>69.94</v>
      </c>
      <c r="BV17" s="913">
        <v>70.114999999999995</v>
      </c>
      <c r="BW17" s="913">
        <v>70.289999999999992</v>
      </c>
      <c r="BX17" s="913">
        <v>70.460000000000008</v>
      </c>
      <c r="BY17" s="913">
        <v>70.615000000000009</v>
      </c>
      <c r="BZ17" s="913">
        <v>70.775000000000006</v>
      </c>
      <c r="CA17" s="913">
        <v>70.92</v>
      </c>
      <c r="CB17" s="913">
        <v>71.085000000000008</v>
      </c>
      <c r="CC17" s="913">
        <v>71.254999999999995</v>
      </c>
      <c r="CD17" s="913">
        <v>71.414999999999992</v>
      </c>
      <c r="CE17" s="913">
        <v>71.58</v>
      </c>
      <c r="CF17" s="913">
        <v>71.75</v>
      </c>
      <c r="CG17" s="913">
        <v>71.91</v>
      </c>
      <c r="CH17" s="913">
        <v>72.069999999999993</v>
      </c>
      <c r="CI17" s="913">
        <v>72.259999999999991</v>
      </c>
      <c r="CJ17" s="913">
        <v>72.400000000000006</v>
      </c>
      <c r="CK17" s="913">
        <v>72.555000000000007</v>
      </c>
      <c r="CL17" s="913">
        <v>72.724999999999994</v>
      </c>
      <c r="CM17" s="913">
        <v>72.884999999999991</v>
      </c>
      <c r="CN17" s="913">
        <v>73.034999999999997</v>
      </c>
      <c r="CO17" s="913">
        <v>73.185000000000002</v>
      </c>
      <c r="CP17" s="913">
        <v>73.34</v>
      </c>
      <c r="CQ17" s="913">
        <v>73.474999999999994</v>
      </c>
      <c r="CR17" s="913">
        <v>73.62</v>
      </c>
      <c r="CS17" s="913">
        <v>73.775000000000006</v>
      </c>
      <c r="CT17" s="913">
        <v>73.92</v>
      </c>
      <c r="CU17" s="913">
        <v>74.05</v>
      </c>
      <c r="CV17" s="913">
        <v>74.19</v>
      </c>
      <c r="CW17" s="913">
        <v>74.33</v>
      </c>
      <c r="CX17" s="913">
        <v>74.47</v>
      </c>
      <c r="CY17" s="913">
        <v>74.60499999999999</v>
      </c>
      <c r="CZ17" s="913">
        <v>74.745000000000005</v>
      </c>
      <c r="DA17" s="913">
        <v>74.88</v>
      </c>
      <c r="DB17" s="913">
        <v>75.015000000000001</v>
      </c>
      <c r="DC17" s="913">
        <v>75.14500000000001</v>
      </c>
      <c r="DD17" s="913">
        <v>75.275000000000006</v>
      </c>
      <c r="DE17" s="913">
        <v>75.405000000000001</v>
      </c>
      <c r="DF17" s="913">
        <v>75.539999999999992</v>
      </c>
      <c r="DG17" s="913">
        <v>75.66</v>
      </c>
      <c r="DH17" s="913">
        <v>75.789999999999992</v>
      </c>
      <c r="DI17" s="913">
        <v>75.914999999999992</v>
      </c>
      <c r="DJ17" s="913">
        <v>76.039999999999992</v>
      </c>
      <c r="DK17" s="913">
        <v>76.16</v>
      </c>
      <c r="DL17" s="913">
        <v>76.284999999999997</v>
      </c>
      <c r="DM17" s="913">
        <v>76.405000000000001</v>
      </c>
      <c r="DN17" s="913">
        <v>76.525000000000006</v>
      </c>
      <c r="DO17" s="913">
        <v>76.64500000000001</v>
      </c>
      <c r="DP17" s="913">
        <v>76.759999999999991</v>
      </c>
      <c r="DQ17" s="913">
        <v>76.875</v>
      </c>
      <c r="DR17" s="913">
        <v>76.990000000000009</v>
      </c>
    </row>
    <row r="18" spans="1:122" s="127" customFormat="1" ht="12.75">
      <c r="A18" s="917">
        <v>16</v>
      </c>
      <c r="B18" s="913">
        <v>52.880565006210034</v>
      </c>
      <c r="C18" s="913">
        <v>53.065099207883947</v>
      </c>
      <c r="D18" s="913">
        <v>53.424379266729076</v>
      </c>
      <c r="E18" s="913">
        <v>53.933865619254824</v>
      </c>
      <c r="F18" s="913">
        <v>54.372704778251673</v>
      </c>
      <c r="G18" s="913">
        <v>54.717734249332153</v>
      </c>
      <c r="H18" s="913">
        <v>54.992321342785246</v>
      </c>
      <c r="I18" s="913">
        <v>55.343919384022783</v>
      </c>
      <c r="J18" s="913">
        <v>55.653309306758693</v>
      </c>
      <c r="K18" s="913">
        <v>55.973504732188445</v>
      </c>
      <c r="L18" s="913">
        <v>56.294217476806089</v>
      </c>
      <c r="M18" s="913">
        <v>56.542823963925059</v>
      </c>
      <c r="N18" s="913">
        <v>56.820795835283803</v>
      </c>
      <c r="O18" s="913">
        <v>57.027719408307384</v>
      </c>
      <c r="P18" s="913">
        <v>57.345374059717685</v>
      </c>
      <c r="Q18" s="913">
        <v>57.507669273845011</v>
      </c>
      <c r="R18" s="913">
        <v>57.724339344142507</v>
      </c>
      <c r="S18" s="913">
        <v>57.873378223875079</v>
      </c>
      <c r="T18" s="913">
        <v>57.864778680838327</v>
      </c>
      <c r="U18" s="913">
        <v>58.105893028293764</v>
      </c>
      <c r="V18" s="913">
        <v>58.384999999999998</v>
      </c>
      <c r="W18" s="913">
        <v>58.65</v>
      </c>
      <c r="X18" s="913">
        <v>58.915000000000006</v>
      </c>
      <c r="Y18" s="913">
        <v>59.09</v>
      </c>
      <c r="Z18" s="913">
        <v>59.365000000000002</v>
      </c>
      <c r="AA18" s="913">
        <v>59.614999999999995</v>
      </c>
      <c r="AB18" s="913">
        <v>59.885000000000005</v>
      </c>
      <c r="AC18" s="913">
        <v>60.1</v>
      </c>
      <c r="AD18" s="913">
        <v>60.265000000000001</v>
      </c>
      <c r="AE18" s="913">
        <v>60.564999999999998</v>
      </c>
      <c r="AF18" s="913">
        <v>60.95</v>
      </c>
      <c r="AG18" s="913">
        <v>61.254999999999995</v>
      </c>
      <c r="AH18" s="913">
        <v>61.58</v>
      </c>
      <c r="AI18" s="913">
        <v>61.87</v>
      </c>
      <c r="AJ18" s="913">
        <v>62.2</v>
      </c>
      <c r="AK18" s="913">
        <v>62.5</v>
      </c>
      <c r="AL18" s="913">
        <v>62.86</v>
      </c>
      <c r="AM18" s="913">
        <v>63.18</v>
      </c>
      <c r="AN18" s="913">
        <v>63.405000000000001</v>
      </c>
      <c r="AO18" s="913">
        <v>63.575000000000003</v>
      </c>
      <c r="AP18" s="913">
        <v>63.754999999999995</v>
      </c>
      <c r="AQ18" s="913">
        <v>63.89</v>
      </c>
      <c r="AR18" s="913">
        <v>64.064999999999998</v>
      </c>
      <c r="AS18" s="913">
        <v>64.135000000000005</v>
      </c>
      <c r="AT18" s="913">
        <v>64.204999999999998</v>
      </c>
      <c r="AU18" s="913">
        <v>64.290000000000006</v>
      </c>
      <c r="AV18" s="913">
        <v>64.37</v>
      </c>
      <c r="AW18" s="913">
        <v>64.680000000000007</v>
      </c>
      <c r="AX18" s="913">
        <v>64.800000000000011</v>
      </c>
      <c r="AY18" s="913">
        <v>64.924999999999997</v>
      </c>
      <c r="AZ18" s="913">
        <v>65.004999999999995</v>
      </c>
      <c r="BA18" s="913">
        <v>65.099999999999994</v>
      </c>
      <c r="BB18" s="913">
        <v>65.25</v>
      </c>
      <c r="BC18" s="913">
        <v>65.375</v>
      </c>
      <c r="BD18" s="913">
        <v>65.539999999999992</v>
      </c>
      <c r="BE18" s="913">
        <v>65.694999999999993</v>
      </c>
      <c r="BF18" s="913">
        <v>65.89500000000001</v>
      </c>
      <c r="BG18" s="913">
        <v>66.064999999999998</v>
      </c>
      <c r="BH18" s="913">
        <v>66.320000000000007</v>
      </c>
      <c r="BI18" s="913">
        <v>66.5</v>
      </c>
      <c r="BJ18" s="913">
        <v>66.724999999999994</v>
      </c>
      <c r="BK18" s="913">
        <v>66.930000000000007</v>
      </c>
      <c r="BL18" s="913">
        <v>67.180000000000007</v>
      </c>
      <c r="BM18" s="913">
        <v>67.430000000000007</v>
      </c>
      <c r="BN18" s="913">
        <v>67.639999999999986</v>
      </c>
      <c r="BO18" s="913">
        <v>67.849999999999994</v>
      </c>
      <c r="BP18" s="913">
        <v>68.069999999999993</v>
      </c>
      <c r="BQ18" s="913">
        <v>68.254999999999995</v>
      </c>
      <c r="BR18" s="913">
        <v>68.45</v>
      </c>
      <c r="BS18" s="913">
        <v>68.634999999999991</v>
      </c>
      <c r="BT18" s="914">
        <v>68.819999999999993</v>
      </c>
      <c r="BU18" s="913">
        <v>68.960000000000008</v>
      </c>
      <c r="BV18" s="913">
        <v>69.14</v>
      </c>
      <c r="BW18" s="913">
        <v>69.314999999999998</v>
      </c>
      <c r="BX18" s="913">
        <v>69.47999999999999</v>
      </c>
      <c r="BY18" s="913">
        <v>69.64</v>
      </c>
      <c r="BZ18" s="913">
        <v>69.8</v>
      </c>
      <c r="CA18" s="913">
        <v>69.94</v>
      </c>
      <c r="CB18" s="913">
        <v>70.11</v>
      </c>
      <c r="CC18" s="913">
        <v>70.275000000000006</v>
      </c>
      <c r="CD18" s="913">
        <v>70.44</v>
      </c>
      <c r="CE18" s="913">
        <v>70.594999999999999</v>
      </c>
      <c r="CF18" s="913">
        <v>70.765000000000001</v>
      </c>
      <c r="CG18" s="913">
        <v>70.930000000000007</v>
      </c>
      <c r="CH18" s="913">
        <v>71.09</v>
      </c>
      <c r="CI18" s="913">
        <v>71.27000000000001</v>
      </c>
      <c r="CJ18" s="913">
        <v>71.414999999999992</v>
      </c>
      <c r="CK18" s="913">
        <v>71.575000000000003</v>
      </c>
      <c r="CL18" s="913">
        <v>71.740000000000009</v>
      </c>
      <c r="CM18" s="913">
        <v>71.89500000000001</v>
      </c>
      <c r="CN18" s="913">
        <v>72.05</v>
      </c>
      <c r="CO18" s="913">
        <v>72.194999999999993</v>
      </c>
      <c r="CP18" s="913">
        <v>72.349999999999994</v>
      </c>
      <c r="CQ18" s="913">
        <v>72.490000000000009</v>
      </c>
      <c r="CR18" s="913">
        <v>72.634999999999991</v>
      </c>
      <c r="CS18" s="913">
        <v>72.784999999999997</v>
      </c>
      <c r="CT18" s="913">
        <v>72.930000000000007</v>
      </c>
      <c r="CU18" s="913">
        <v>73.06</v>
      </c>
      <c r="CV18" s="913">
        <v>73.2</v>
      </c>
      <c r="CW18" s="913">
        <v>73.34</v>
      </c>
      <c r="CX18" s="913">
        <v>73.48</v>
      </c>
      <c r="CY18" s="913">
        <v>73.615000000000009</v>
      </c>
      <c r="CZ18" s="913">
        <v>73.754999999999995</v>
      </c>
      <c r="DA18" s="913">
        <v>73.89</v>
      </c>
      <c r="DB18" s="913">
        <v>74.02000000000001</v>
      </c>
      <c r="DC18" s="913">
        <v>74.155000000000001</v>
      </c>
      <c r="DD18" s="913">
        <v>74.284999999999997</v>
      </c>
      <c r="DE18" s="913">
        <v>74.414999999999992</v>
      </c>
      <c r="DF18" s="913">
        <v>74.545000000000002</v>
      </c>
      <c r="DG18" s="913">
        <v>74.67</v>
      </c>
      <c r="DH18" s="913">
        <v>74.800000000000011</v>
      </c>
      <c r="DI18" s="913">
        <v>74.924999999999997</v>
      </c>
      <c r="DJ18" s="913">
        <v>75.044999999999987</v>
      </c>
      <c r="DK18" s="913">
        <v>75.169999999999987</v>
      </c>
      <c r="DL18" s="913">
        <v>75.294999999999987</v>
      </c>
      <c r="DM18" s="913">
        <v>75.414999999999992</v>
      </c>
      <c r="DN18" s="913">
        <v>75.53</v>
      </c>
      <c r="DO18" s="913">
        <v>75.650000000000006</v>
      </c>
      <c r="DP18" s="913">
        <v>75.765000000000001</v>
      </c>
      <c r="DQ18" s="913">
        <v>75.88</v>
      </c>
      <c r="DR18" s="913">
        <v>75.995000000000005</v>
      </c>
    </row>
    <row r="19" spans="1:122" s="127" customFormat="1" ht="12.75">
      <c r="A19" s="917">
        <v>17</v>
      </c>
      <c r="B19" s="913">
        <v>52.080569647781601</v>
      </c>
      <c r="C19" s="913">
        <v>52.313186945680428</v>
      </c>
      <c r="D19" s="913">
        <v>52.825112759262808</v>
      </c>
      <c r="E19" s="913">
        <v>53.176717116810579</v>
      </c>
      <c r="F19" s="913">
        <v>53.577851026708629</v>
      </c>
      <c r="G19" s="913">
        <v>53.883176400224116</v>
      </c>
      <c r="H19" s="913">
        <v>54.152788669065082</v>
      </c>
      <c r="I19" s="913">
        <v>54.510324214300056</v>
      </c>
      <c r="J19" s="913">
        <v>54.776016743660264</v>
      </c>
      <c r="K19" s="913">
        <v>55.096925466814781</v>
      </c>
      <c r="L19" s="913">
        <v>55.418351351478456</v>
      </c>
      <c r="M19" s="913">
        <v>55.668962388752853</v>
      </c>
      <c r="N19" s="913">
        <v>55.94178391076899</v>
      </c>
      <c r="O19" s="913">
        <v>56.153968522755889</v>
      </c>
      <c r="P19" s="913">
        <v>56.457678147923005</v>
      </c>
      <c r="Q19" s="913">
        <v>56.611265674206933</v>
      </c>
      <c r="R19" s="913">
        <v>56.821509779329197</v>
      </c>
      <c r="S19" s="913">
        <v>56.97079680365615</v>
      </c>
      <c r="T19" s="913">
        <v>56.962181931698765</v>
      </c>
      <c r="U19" s="913">
        <v>57.213483803486284</v>
      </c>
      <c r="V19" s="913">
        <v>57.489999999999995</v>
      </c>
      <c r="W19" s="913">
        <v>57.760000000000005</v>
      </c>
      <c r="X19" s="913">
        <v>58.019999999999996</v>
      </c>
      <c r="Y19" s="913">
        <v>58.194999999999993</v>
      </c>
      <c r="Z19" s="913">
        <v>58.48</v>
      </c>
      <c r="AA19" s="913">
        <v>58.730000000000004</v>
      </c>
      <c r="AB19" s="913">
        <v>58.994999999999997</v>
      </c>
      <c r="AC19" s="913">
        <v>59.225000000000001</v>
      </c>
      <c r="AD19" s="913">
        <v>59.405000000000001</v>
      </c>
      <c r="AE19" s="913">
        <v>59.75</v>
      </c>
      <c r="AF19" s="913">
        <v>60.06</v>
      </c>
      <c r="AG19" s="913">
        <v>60.365000000000002</v>
      </c>
      <c r="AH19" s="913">
        <v>60.67</v>
      </c>
      <c r="AI19" s="913">
        <v>60.930000000000007</v>
      </c>
      <c r="AJ19" s="913">
        <v>61.260000000000005</v>
      </c>
      <c r="AK19" s="913">
        <v>61.56</v>
      </c>
      <c r="AL19" s="913">
        <v>61.914999999999992</v>
      </c>
      <c r="AM19" s="913">
        <v>62.230000000000004</v>
      </c>
      <c r="AN19" s="913">
        <v>62.454999999999998</v>
      </c>
      <c r="AO19" s="913">
        <v>62.614999999999995</v>
      </c>
      <c r="AP19" s="913">
        <v>62.8</v>
      </c>
      <c r="AQ19" s="913">
        <v>62.935000000000002</v>
      </c>
      <c r="AR19" s="913">
        <v>63.11</v>
      </c>
      <c r="AS19" s="913">
        <v>63.185000000000002</v>
      </c>
      <c r="AT19" s="913">
        <v>63.25</v>
      </c>
      <c r="AU19" s="913">
        <v>63.33</v>
      </c>
      <c r="AV19" s="913">
        <v>63.414999999999999</v>
      </c>
      <c r="AW19" s="913">
        <v>63.72</v>
      </c>
      <c r="AX19" s="913">
        <v>63.849999999999994</v>
      </c>
      <c r="AY19" s="913">
        <v>63.97</v>
      </c>
      <c r="AZ19" s="913">
        <v>64.06</v>
      </c>
      <c r="BA19" s="913">
        <v>64.150000000000006</v>
      </c>
      <c r="BB19" s="913">
        <v>64.3</v>
      </c>
      <c r="BC19" s="913">
        <v>64.424999999999997</v>
      </c>
      <c r="BD19" s="913">
        <v>64.59</v>
      </c>
      <c r="BE19" s="913">
        <v>64.75</v>
      </c>
      <c r="BF19" s="913">
        <v>64.95</v>
      </c>
      <c r="BG19" s="913">
        <v>65.12</v>
      </c>
      <c r="BH19" s="913">
        <v>65.375</v>
      </c>
      <c r="BI19" s="913">
        <v>65.55</v>
      </c>
      <c r="BJ19" s="913">
        <v>65.78</v>
      </c>
      <c r="BK19" s="913">
        <v>65.984999999999999</v>
      </c>
      <c r="BL19" s="913">
        <v>66.224999999999994</v>
      </c>
      <c r="BM19" s="913">
        <v>66.48</v>
      </c>
      <c r="BN19" s="913">
        <v>66.685000000000002</v>
      </c>
      <c r="BO19" s="913">
        <v>66.89500000000001</v>
      </c>
      <c r="BP19" s="913">
        <v>67.11</v>
      </c>
      <c r="BQ19" s="913">
        <v>67.294999999999987</v>
      </c>
      <c r="BR19" s="913">
        <v>67.484999999999999</v>
      </c>
      <c r="BS19" s="913">
        <v>67.665000000000006</v>
      </c>
      <c r="BT19" s="914">
        <v>67.849999999999994</v>
      </c>
      <c r="BU19" s="913">
        <v>67.989999999999995</v>
      </c>
      <c r="BV19" s="913">
        <v>68.164999999999992</v>
      </c>
      <c r="BW19" s="913">
        <v>68.34</v>
      </c>
      <c r="BX19" s="913">
        <v>68.510000000000005</v>
      </c>
      <c r="BY19" s="913">
        <v>68.67</v>
      </c>
      <c r="BZ19" s="913">
        <v>68.825000000000003</v>
      </c>
      <c r="CA19" s="913">
        <v>68.97</v>
      </c>
      <c r="CB19" s="913">
        <v>69.134999999999991</v>
      </c>
      <c r="CC19" s="913">
        <v>69.305000000000007</v>
      </c>
      <c r="CD19" s="913">
        <v>69.465000000000003</v>
      </c>
      <c r="CE19" s="913">
        <v>69.62</v>
      </c>
      <c r="CF19" s="913">
        <v>69.784999999999997</v>
      </c>
      <c r="CG19" s="913">
        <v>69.95</v>
      </c>
      <c r="CH19" s="913">
        <v>70.11</v>
      </c>
      <c r="CI19" s="913">
        <v>70.289999999999992</v>
      </c>
      <c r="CJ19" s="913">
        <v>70.44</v>
      </c>
      <c r="CK19" s="913">
        <v>70.59</v>
      </c>
      <c r="CL19" s="913">
        <v>70.754999999999995</v>
      </c>
      <c r="CM19" s="913">
        <v>70.915000000000006</v>
      </c>
      <c r="CN19" s="913">
        <v>71.064999999999998</v>
      </c>
      <c r="CO19" s="913">
        <v>71.215000000000003</v>
      </c>
      <c r="CP19" s="913">
        <v>71.37</v>
      </c>
      <c r="CQ19" s="913">
        <v>71.504999999999995</v>
      </c>
      <c r="CR19" s="913">
        <v>71.650000000000006</v>
      </c>
      <c r="CS19" s="913">
        <v>71.800000000000011</v>
      </c>
      <c r="CT19" s="913">
        <v>71.94</v>
      </c>
      <c r="CU19" s="913">
        <v>72.08</v>
      </c>
      <c r="CV19" s="913">
        <v>72.215000000000003</v>
      </c>
      <c r="CW19" s="913">
        <v>72.355000000000004</v>
      </c>
      <c r="CX19" s="913">
        <v>72.495000000000005</v>
      </c>
      <c r="CY19" s="913">
        <v>72.634999999999991</v>
      </c>
      <c r="CZ19" s="913">
        <v>72.765000000000001</v>
      </c>
      <c r="DA19" s="913">
        <v>72.905000000000001</v>
      </c>
      <c r="DB19" s="913">
        <v>73.034999999999997</v>
      </c>
      <c r="DC19" s="913">
        <v>73.169999999999987</v>
      </c>
      <c r="DD19" s="913">
        <v>73.3</v>
      </c>
      <c r="DE19" s="913">
        <v>73.430000000000007</v>
      </c>
      <c r="DF19" s="913">
        <v>73.555000000000007</v>
      </c>
      <c r="DG19" s="913">
        <v>73.685000000000002</v>
      </c>
      <c r="DH19" s="913">
        <v>73.81</v>
      </c>
      <c r="DI19" s="913">
        <v>73.935000000000002</v>
      </c>
      <c r="DJ19" s="913">
        <v>74.055000000000007</v>
      </c>
      <c r="DK19" s="913">
        <v>74.180000000000007</v>
      </c>
      <c r="DL19" s="913">
        <v>74.3</v>
      </c>
      <c r="DM19" s="913">
        <v>74.424999999999997</v>
      </c>
      <c r="DN19" s="913">
        <v>74.539999999999992</v>
      </c>
      <c r="DO19" s="913">
        <v>74.66</v>
      </c>
      <c r="DP19" s="913">
        <v>74.775000000000006</v>
      </c>
      <c r="DQ19" s="913">
        <v>74.89</v>
      </c>
      <c r="DR19" s="913">
        <v>75.004999999999995</v>
      </c>
    </row>
    <row r="20" spans="1:122" s="127" customFormat="1" ht="12.75">
      <c r="A20" s="917">
        <v>18</v>
      </c>
      <c r="B20" s="913">
        <v>51.340202434290312</v>
      </c>
      <c r="C20" s="913">
        <v>51.758562330243585</v>
      </c>
      <c r="D20" s="913">
        <v>52.101055781217681</v>
      </c>
      <c r="E20" s="913">
        <v>52.423192954106085</v>
      </c>
      <c r="F20" s="913">
        <v>52.76814675171633</v>
      </c>
      <c r="G20" s="913">
        <v>53.066953265602478</v>
      </c>
      <c r="H20" s="913">
        <v>53.340032543016051</v>
      </c>
      <c r="I20" s="913">
        <v>53.653363623783122</v>
      </c>
      <c r="J20" s="913">
        <v>53.919754787380505</v>
      </c>
      <c r="K20" s="913">
        <v>54.2415149603328</v>
      </c>
      <c r="L20" s="913">
        <v>54.549714555055985</v>
      </c>
      <c r="M20" s="913">
        <v>54.800925905943146</v>
      </c>
      <c r="N20" s="913">
        <v>55.074097439454185</v>
      </c>
      <c r="O20" s="913">
        <v>55.275635948510867</v>
      </c>
      <c r="P20" s="913">
        <v>55.577360609841193</v>
      </c>
      <c r="Q20" s="913">
        <v>55.721654866436936</v>
      </c>
      <c r="R20" s="913">
        <v>55.932310918987874</v>
      </c>
      <c r="S20" s="913">
        <v>56.081885920211761</v>
      </c>
      <c r="T20" s="913">
        <v>56.074296080432461</v>
      </c>
      <c r="U20" s="913">
        <v>56.320721487020336</v>
      </c>
      <c r="V20" s="913">
        <v>56.594999999999999</v>
      </c>
      <c r="W20" s="913">
        <v>56.870000000000005</v>
      </c>
      <c r="X20" s="913">
        <v>57.129999999999995</v>
      </c>
      <c r="Y20" s="913">
        <v>57.31</v>
      </c>
      <c r="Z20" s="913">
        <v>57.594999999999999</v>
      </c>
      <c r="AA20" s="913">
        <v>57.84</v>
      </c>
      <c r="AB20" s="913">
        <v>58.12</v>
      </c>
      <c r="AC20" s="913">
        <v>58.364999999999995</v>
      </c>
      <c r="AD20" s="913">
        <v>58.61</v>
      </c>
      <c r="AE20" s="913">
        <v>58.875</v>
      </c>
      <c r="AF20" s="913">
        <v>59.185000000000002</v>
      </c>
      <c r="AG20" s="913">
        <v>59.46</v>
      </c>
      <c r="AH20" s="913">
        <v>59.730000000000004</v>
      </c>
      <c r="AI20" s="913">
        <v>59.995000000000005</v>
      </c>
      <c r="AJ20" s="913">
        <v>60.33</v>
      </c>
      <c r="AK20" s="913">
        <v>60.62</v>
      </c>
      <c r="AL20" s="913">
        <v>60.964999999999996</v>
      </c>
      <c r="AM20" s="913">
        <v>61.28</v>
      </c>
      <c r="AN20" s="913">
        <v>61.504999999999995</v>
      </c>
      <c r="AO20" s="913">
        <v>61.67</v>
      </c>
      <c r="AP20" s="913">
        <v>61.850000000000009</v>
      </c>
      <c r="AQ20" s="913">
        <v>61.984999999999999</v>
      </c>
      <c r="AR20" s="913">
        <v>62.16</v>
      </c>
      <c r="AS20" s="913">
        <v>62.234999999999999</v>
      </c>
      <c r="AT20" s="913">
        <v>62.3</v>
      </c>
      <c r="AU20" s="913">
        <v>62.379999999999995</v>
      </c>
      <c r="AV20" s="913">
        <v>62.47</v>
      </c>
      <c r="AW20" s="913">
        <v>62.77</v>
      </c>
      <c r="AX20" s="913">
        <v>62.9</v>
      </c>
      <c r="AY20" s="913">
        <v>63.024999999999999</v>
      </c>
      <c r="AZ20" s="913">
        <v>63.11</v>
      </c>
      <c r="BA20" s="913">
        <v>63.215000000000003</v>
      </c>
      <c r="BB20" s="913">
        <v>63.354999999999997</v>
      </c>
      <c r="BC20" s="913">
        <v>63.49</v>
      </c>
      <c r="BD20" s="913">
        <v>63.655000000000001</v>
      </c>
      <c r="BE20" s="913">
        <v>63.81</v>
      </c>
      <c r="BF20" s="913">
        <v>64.004999999999995</v>
      </c>
      <c r="BG20" s="913">
        <v>64.174999999999997</v>
      </c>
      <c r="BH20" s="913">
        <v>64.435000000000002</v>
      </c>
      <c r="BI20" s="913">
        <v>64.61</v>
      </c>
      <c r="BJ20" s="913">
        <v>64.84</v>
      </c>
      <c r="BK20" s="913">
        <v>65.039999999999992</v>
      </c>
      <c r="BL20" s="913">
        <v>65.28</v>
      </c>
      <c r="BM20" s="913">
        <v>65.534999999999997</v>
      </c>
      <c r="BN20" s="913">
        <v>65.740000000000009</v>
      </c>
      <c r="BO20" s="913">
        <v>65.94</v>
      </c>
      <c r="BP20" s="913">
        <v>66.155000000000001</v>
      </c>
      <c r="BQ20" s="913">
        <v>66.334999999999994</v>
      </c>
      <c r="BR20" s="913">
        <v>66.525000000000006</v>
      </c>
      <c r="BS20" s="913">
        <v>66.7</v>
      </c>
      <c r="BT20" s="914">
        <v>66.89</v>
      </c>
      <c r="BU20" s="913">
        <v>67.025000000000006</v>
      </c>
      <c r="BV20" s="913">
        <v>67.204999999999998</v>
      </c>
      <c r="BW20" s="913">
        <v>67.375</v>
      </c>
      <c r="BX20" s="913">
        <v>67.545000000000002</v>
      </c>
      <c r="BY20" s="913">
        <v>67.7</v>
      </c>
      <c r="BZ20" s="913">
        <v>67.855000000000004</v>
      </c>
      <c r="CA20" s="913">
        <v>68.004999999999995</v>
      </c>
      <c r="CB20" s="913">
        <v>68.17</v>
      </c>
      <c r="CC20" s="913">
        <v>68.33</v>
      </c>
      <c r="CD20" s="913">
        <v>68.489999999999995</v>
      </c>
      <c r="CE20" s="913">
        <v>68.66</v>
      </c>
      <c r="CF20" s="913">
        <v>68.819999999999993</v>
      </c>
      <c r="CG20" s="913">
        <v>68.974999999999994</v>
      </c>
      <c r="CH20" s="913">
        <v>69.134999999999991</v>
      </c>
      <c r="CI20" s="913">
        <v>69.319999999999993</v>
      </c>
      <c r="CJ20" s="913">
        <v>69.460000000000008</v>
      </c>
      <c r="CK20" s="913">
        <v>69.615000000000009</v>
      </c>
      <c r="CL20" s="913">
        <v>69.78</v>
      </c>
      <c r="CM20" s="913">
        <v>69.930000000000007</v>
      </c>
      <c r="CN20" s="913">
        <v>70.085000000000008</v>
      </c>
      <c r="CO20" s="913">
        <v>70.23</v>
      </c>
      <c r="CP20" s="913">
        <v>70.385000000000005</v>
      </c>
      <c r="CQ20" s="913">
        <v>70.525000000000006</v>
      </c>
      <c r="CR20" s="913">
        <v>70.67</v>
      </c>
      <c r="CS20" s="913">
        <v>70.814999999999998</v>
      </c>
      <c r="CT20" s="913">
        <v>70.960000000000008</v>
      </c>
      <c r="CU20" s="913">
        <v>71.09</v>
      </c>
      <c r="CV20" s="913">
        <v>71.234999999999999</v>
      </c>
      <c r="CW20" s="913">
        <v>71.37</v>
      </c>
      <c r="CX20" s="913">
        <v>71.509999999999991</v>
      </c>
      <c r="CY20" s="913">
        <v>71.650000000000006</v>
      </c>
      <c r="CZ20" s="913">
        <v>71.78</v>
      </c>
      <c r="DA20" s="913">
        <v>71.92</v>
      </c>
      <c r="DB20" s="913">
        <v>72.05</v>
      </c>
      <c r="DC20" s="913">
        <v>72.180000000000007</v>
      </c>
      <c r="DD20" s="913">
        <v>72.31</v>
      </c>
      <c r="DE20" s="913">
        <v>72.44</v>
      </c>
      <c r="DF20" s="913">
        <v>72.569999999999993</v>
      </c>
      <c r="DG20" s="913">
        <v>72.694999999999993</v>
      </c>
      <c r="DH20" s="913">
        <v>72.819999999999993</v>
      </c>
      <c r="DI20" s="913">
        <v>72.94</v>
      </c>
      <c r="DJ20" s="913">
        <v>73.064999999999998</v>
      </c>
      <c r="DK20" s="913">
        <v>73.185000000000002</v>
      </c>
      <c r="DL20" s="913">
        <v>73.31</v>
      </c>
      <c r="DM20" s="913">
        <v>73.430000000000007</v>
      </c>
      <c r="DN20" s="913">
        <v>73.545000000000002</v>
      </c>
      <c r="DO20" s="913">
        <v>73.67</v>
      </c>
      <c r="DP20" s="913">
        <v>73.784999999999997</v>
      </c>
      <c r="DQ20" s="913">
        <v>73.900000000000006</v>
      </c>
      <c r="DR20" s="913">
        <v>74.009999999999991</v>
      </c>
    </row>
    <row r="21" spans="1:122" s="127" customFormat="1" ht="12.75">
      <c r="A21" s="917">
        <v>19</v>
      </c>
      <c r="B21" s="913">
        <v>50.805922530414875</v>
      </c>
      <c r="C21" s="913">
        <v>51.050029468517138</v>
      </c>
      <c r="D21" s="913">
        <v>51.366654122737259</v>
      </c>
      <c r="E21" s="913">
        <v>51.633298031747607</v>
      </c>
      <c r="F21" s="913">
        <v>51.977841290292588</v>
      </c>
      <c r="G21" s="913">
        <v>52.280827331637255</v>
      </c>
      <c r="H21" s="913">
        <v>52.503032470683181</v>
      </c>
      <c r="I21" s="913">
        <v>52.817327552666654</v>
      </c>
      <c r="J21" s="913">
        <v>53.08453203675478</v>
      </c>
      <c r="K21" s="913">
        <v>53.391327758963556</v>
      </c>
      <c r="L21" s="913">
        <v>53.697401843198122</v>
      </c>
      <c r="M21" s="913">
        <v>53.949045024744052</v>
      </c>
      <c r="N21" s="913">
        <v>54.207619542418122</v>
      </c>
      <c r="O21" s="913">
        <v>54.406751180015831</v>
      </c>
      <c r="P21" s="913">
        <v>54.698627062935827</v>
      </c>
      <c r="Q21" s="913">
        <v>54.843241028414461</v>
      </c>
      <c r="R21" s="913">
        <v>55.054359079093253</v>
      </c>
      <c r="S21" s="913">
        <v>55.202849647322402</v>
      </c>
      <c r="T21" s="913">
        <v>55.189857938172821</v>
      </c>
      <c r="U21" s="913">
        <v>55.43554503880722</v>
      </c>
      <c r="V21" s="913">
        <v>55.715000000000003</v>
      </c>
      <c r="W21" s="913">
        <v>55.984999999999999</v>
      </c>
      <c r="X21" s="913">
        <v>56.254999999999995</v>
      </c>
      <c r="Y21" s="913">
        <v>56.435000000000002</v>
      </c>
      <c r="Z21" s="913">
        <v>56.715000000000003</v>
      </c>
      <c r="AA21" s="913">
        <v>56.980000000000004</v>
      </c>
      <c r="AB21" s="913">
        <v>57.28</v>
      </c>
      <c r="AC21" s="913">
        <v>57.59</v>
      </c>
      <c r="AD21" s="913">
        <v>57.75</v>
      </c>
      <c r="AE21" s="913">
        <v>58.015000000000001</v>
      </c>
      <c r="AF21" s="913">
        <v>58.295000000000002</v>
      </c>
      <c r="AG21" s="913">
        <v>58.53</v>
      </c>
      <c r="AH21" s="913">
        <v>58.805</v>
      </c>
      <c r="AI21" s="913">
        <v>59.07</v>
      </c>
      <c r="AJ21" s="913">
        <v>59.39</v>
      </c>
      <c r="AK21" s="913">
        <v>59.68</v>
      </c>
      <c r="AL21" s="913">
        <v>60.03</v>
      </c>
      <c r="AM21" s="913">
        <v>60.34</v>
      </c>
      <c r="AN21" s="913">
        <v>60.564999999999998</v>
      </c>
      <c r="AO21" s="913">
        <v>60.73</v>
      </c>
      <c r="AP21" s="913">
        <v>60.91</v>
      </c>
      <c r="AQ21" s="913">
        <v>61.050000000000004</v>
      </c>
      <c r="AR21" s="913">
        <v>61.22</v>
      </c>
      <c r="AS21" s="913">
        <v>61.3</v>
      </c>
      <c r="AT21" s="913">
        <v>61.364999999999995</v>
      </c>
      <c r="AU21" s="913">
        <v>61.435000000000002</v>
      </c>
      <c r="AV21" s="913">
        <v>61.534999999999997</v>
      </c>
      <c r="AW21" s="913">
        <v>61.835000000000001</v>
      </c>
      <c r="AX21" s="913">
        <v>61.97</v>
      </c>
      <c r="AY21" s="913">
        <v>62.09</v>
      </c>
      <c r="AZ21" s="913">
        <v>62.175000000000004</v>
      </c>
      <c r="BA21" s="913">
        <v>62.29</v>
      </c>
      <c r="BB21" s="913">
        <v>62.434999999999995</v>
      </c>
      <c r="BC21" s="913">
        <v>62.564999999999998</v>
      </c>
      <c r="BD21" s="913">
        <v>62.730000000000004</v>
      </c>
      <c r="BE21" s="913">
        <v>62.879999999999995</v>
      </c>
      <c r="BF21" s="913">
        <v>63.08</v>
      </c>
      <c r="BG21" s="913">
        <v>63.25</v>
      </c>
      <c r="BH21" s="913">
        <v>63.510000000000005</v>
      </c>
      <c r="BI21" s="913">
        <v>63.685000000000002</v>
      </c>
      <c r="BJ21" s="913">
        <v>63.91</v>
      </c>
      <c r="BK21" s="913">
        <v>64.105000000000004</v>
      </c>
      <c r="BL21" s="913">
        <v>64.344999999999999</v>
      </c>
      <c r="BM21" s="913">
        <v>64.594999999999999</v>
      </c>
      <c r="BN21" s="913">
        <v>64.8</v>
      </c>
      <c r="BO21" s="913">
        <v>65</v>
      </c>
      <c r="BP21" s="913">
        <v>65.204999999999998</v>
      </c>
      <c r="BQ21" s="913">
        <v>65.384999999999991</v>
      </c>
      <c r="BR21" s="913">
        <v>65.564999999999998</v>
      </c>
      <c r="BS21" s="913">
        <v>65.75</v>
      </c>
      <c r="BT21" s="914">
        <v>65.929999999999993</v>
      </c>
      <c r="BU21" s="913">
        <v>66.070000000000007</v>
      </c>
      <c r="BV21" s="913">
        <v>66.254999999999995</v>
      </c>
      <c r="BW21" s="913">
        <v>66.425000000000011</v>
      </c>
      <c r="BX21" s="913">
        <v>66.59</v>
      </c>
      <c r="BY21" s="913">
        <v>66.75</v>
      </c>
      <c r="BZ21" s="913">
        <v>66.905000000000001</v>
      </c>
      <c r="CA21" s="913">
        <v>67.050000000000011</v>
      </c>
      <c r="CB21" s="913">
        <v>67.22</v>
      </c>
      <c r="CC21" s="913">
        <v>67.38</v>
      </c>
      <c r="CD21" s="913">
        <v>67.539999999999992</v>
      </c>
      <c r="CE21" s="913">
        <v>67.7</v>
      </c>
      <c r="CF21" s="913">
        <v>67.860000000000014</v>
      </c>
      <c r="CG21" s="913">
        <v>68.02</v>
      </c>
      <c r="CH21" s="913">
        <v>68.174999999999997</v>
      </c>
      <c r="CI21" s="913">
        <v>68.355000000000004</v>
      </c>
      <c r="CJ21" s="913">
        <v>68.495000000000005</v>
      </c>
      <c r="CK21" s="913">
        <v>68.644999999999996</v>
      </c>
      <c r="CL21" s="913">
        <v>68.805000000000007</v>
      </c>
      <c r="CM21" s="913">
        <v>68.959999999999994</v>
      </c>
      <c r="CN21" s="913">
        <v>69.11</v>
      </c>
      <c r="CO21" s="913">
        <v>69.254999999999995</v>
      </c>
      <c r="CP21" s="913">
        <v>69.41</v>
      </c>
      <c r="CQ21" s="913">
        <v>69.544999999999987</v>
      </c>
      <c r="CR21" s="913">
        <v>69.694999999999993</v>
      </c>
      <c r="CS21" s="913">
        <v>69.835000000000008</v>
      </c>
      <c r="CT21" s="913">
        <v>69.974999999999994</v>
      </c>
      <c r="CU21" s="913">
        <v>70.114999999999995</v>
      </c>
      <c r="CV21" s="913">
        <v>70.25</v>
      </c>
      <c r="CW21" s="913">
        <v>70.39</v>
      </c>
      <c r="CX21" s="913">
        <v>70.53</v>
      </c>
      <c r="CY21" s="913">
        <v>70.664999999999992</v>
      </c>
      <c r="CZ21" s="913">
        <v>70.795000000000002</v>
      </c>
      <c r="DA21" s="913">
        <v>70.935000000000002</v>
      </c>
      <c r="DB21" s="913">
        <v>71.064999999999998</v>
      </c>
      <c r="DC21" s="913">
        <v>71.194999999999993</v>
      </c>
      <c r="DD21" s="913">
        <v>71.325000000000003</v>
      </c>
      <c r="DE21" s="913">
        <v>71.455000000000013</v>
      </c>
      <c r="DF21" s="913">
        <v>71.580000000000013</v>
      </c>
      <c r="DG21" s="913">
        <v>71.710000000000008</v>
      </c>
      <c r="DH21" s="913">
        <v>71.83</v>
      </c>
      <c r="DI21" s="913">
        <v>71.954999999999998</v>
      </c>
      <c r="DJ21" s="913">
        <v>72.08</v>
      </c>
      <c r="DK21" s="913">
        <v>72.2</v>
      </c>
      <c r="DL21" s="913">
        <v>72.325000000000003</v>
      </c>
      <c r="DM21" s="913">
        <v>72.44</v>
      </c>
      <c r="DN21" s="913">
        <v>72.56</v>
      </c>
      <c r="DO21" s="913">
        <v>72.675000000000011</v>
      </c>
      <c r="DP21" s="913">
        <v>72.789999999999992</v>
      </c>
      <c r="DQ21" s="913">
        <v>72.905000000000001</v>
      </c>
      <c r="DR21" s="913">
        <v>73.02</v>
      </c>
    </row>
    <row r="22" spans="1:122" s="127" customFormat="1" ht="12.75">
      <c r="A22" s="917">
        <v>20</v>
      </c>
      <c r="B22" s="913">
        <v>50.111681649880659</v>
      </c>
      <c r="C22" s="913">
        <v>50.332858773588654</v>
      </c>
      <c r="D22" s="913">
        <v>50.594284683868423</v>
      </c>
      <c r="E22" s="913">
        <v>50.864868122364307</v>
      </c>
      <c r="F22" s="913">
        <v>51.214352394648856</v>
      </c>
      <c r="G22" s="913">
        <v>51.461070259154397</v>
      </c>
      <c r="H22" s="913">
        <v>51.684032905865124</v>
      </c>
      <c r="I22" s="913">
        <v>51.999418337353859</v>
      </c>
      <c r="J22" s="913">
        <v>52.25000568559652</v>
      </c>
      <c r="K22" s="913">
        <v>52.551009828259545</v>
      </c>
      <c r="L22" s="913">
        <v>52.857824332075126</v>
      </c>
      <c r="M22" s="913">
        <v>53.090464114231608</v>
      </c>
      <c r="N22" s="913">
        <v>53.34663226634504</v>
      </c>
      <c r="O22" s="913">
        <v>53.535085955738197</v>
      </c>
      <c r="P22" s="913">
        <v>53.827659364678127</v>
      </c>
      <c r="Q22" s="913">
        <v>53.972619922807112</v>
      </c>
      <c r="R22" s="913">
        <v>54.183499169396129</v>
      </c>
      <c r="S22" s="913">
        <v>54.326912734146923</v>
      </c>
      <c r="T22" s="913">
        <v>54.31151449184425</v>
      </c>
      <c r="U22" s="913">
        <v>54.560903251493478</v>
      </c>
      <c r="V22" s="913">
        <v>54.844999999999999</v>
      </c>
      <c r="W22" s="913">
        <v>55.120000000000005</v>
      </c>
      <c r="X22" s="913">
        <v>55.384999999999998</v>
      </c>
      <c r="Y22" s="913">
        <v>55.56</v>
      </c>
      <c r="Z22" s="913">
        <v>55.86</v>
      </c>
      <c r="AA22" s="913">
        <v>56.14</v>
      </c>
      <c r="AB22" s="913">
        <v>56.515000000000001</v>
      </c>
      <c r="AC22" s="913">
        <v>56.754999999999995</v>
      </c>
      <c r="AD22" s="913">
        <v>56.92</v>
      </c>
      <c r="AE22" s="913">
        <v>57.14</v>
      </c>
      <c r="AF22" s="913">
        <v>57.375</v>
      </c>
      <c r="AG22" s="913">
        <v>57.615000000000002</v>
      </c>
      <c r="AH22" s="913">
        <v>57.885000000000005</v>
      </c>
      <c r="AI22" s="913">
        <v>58.144999999999996</v>
      </c>
      <c r="AJ22" s="913">
        <v>58.46</v>
      </c>
      <c r="AK22" s="913">
        <v>58.745000000000005</v>
      </c>
      <c r="AL22" s="913">
        <v>59.094999999999999</v>
      </c>
      <c r="AM22" s="913">
        <v>59.41</v>
      </c>
      <c r="AN22" s="913">
        <v>59.64</v>
      </c>
      <c r="AO22" s="913">
        <v>59.8</v>
      </c>
      <c r="AP22" s="913">
        <v>59.980000000000004</v>
      </c>
      <c r="AQ22" s="913">
        <v>60.125</v>
      </c>
      <c r="AR22" s="913">
        <v>60.29</v>
      </c>
      <c r="AS22" s="913">
        <v>60.365000000000002</v>
      </c>
      <c r="AT22" s="913">
        <v>60.435000000000002</v>
      </c>
      <c r="AU22" s="913">
        <v>60.510000000000005</v>
      </c>
      <c r="AV22" s="913">
        <v>60.61</v>
      </c>
      <c r="AW22" s="913">
        <v>60.9</v>
      </c>
      <c r="AX22" s="913">
        <v>61.034999999999997</v>
      </c>
      <c r="AY22" s="913">
        <v>61.16</v>
      </c>
      <c r="AZ22" s="913">
        <v>61.25</v>
      </c>
      <c r="BA22" s="913">
        <v>61.365000000000002</v>
      </c>
      <c r="BB22" s="913">
        <v>61.510000000000005</v>
      </c>
      <c r="BC22" s="913">
        <v>61.645000000000003</v>
      </c>
      <c r="BD22" s="913">
        <v>61.795000000000002</v>
      </c>
      <c r="BE22" s="913">
        <v>61.954999999999998</v>
      </c>
      <c r="BF22" s="913">
        <v>62.155000000000001</v>
      </c>
      <c r="BG22" s="913">
        <v>62.325000000000003</v>
      </c>
      <c r="BH22" s="913">
        <v>62.584999999999994</v>
      </c>
      <c r="BI22" s="913">
        <v>62.760000000000005</v>
      </c>
      <c r="BJ22" s="913">
        <v>62.980000000000004</v>
      </c>
      <c r="BK22" s="913">
        <v>63.175000000000004</v>
      </c>
      <c r="BL22" s="913">
        <v>63.415000000000006</v>
      </c>
      <c r="BM22" s="913">
        <v>63.655000000000001</v>
      </c>
      <c r="BN22" s="913">
        <v>63.864999999999995</v>
      </c>
      <c r="BO22" s="913">
        <v>64.055000000000007</v>
      </c>
      <c r="BP22" s="913">
        <v>64.25</v>
      </c>
      <c r="BQ22" s="913">
        <v>64.435000000000002</v>
      </c>
      <c r="BR22" s="913">
        <v>64.614999999999995</v>
      </c>
      <c r="BS22" s="913">
        <v>64.789999999999992</v>
      </c>
      <c r="BT22" s="914">
        <v>64.97999999999999</v>
      </c>
      <c r="BU22" s="913">
        <v>65.125</v>
      </c>
      <c r="BV22" s="913">
        <v>65.305000000000007</v>
      </c>
      <c r="BW22" s="913">
        <v>65.47</v>
      </c>
      <c r="BX22" s="913">
        <v>65.64</v>
      </c>
      <c r="BY22" s="913">
        <v>65.795000000000002</v>
      </c>
      <c r="BZ22" s="913">
        <v>65.95</v>
      </c>
      <c r="CA22" s="913">
        <v>66.105000000000004</v>
      </c>
      <c r="CB22" s="913">
        <v>66.265000000000001</v>
      </c>
      <c r="CC22" s="913">
        <v>66.425000000000011</v>
      </c>
      <c r="CD22" s="913">
        <v>66.580000000000013</v>
      </c>
      <c r="CE22" s="913">
        <v>66.745000000000005</v>
      </c>
      <c r="CF22" s="913">
        <v>66.900000000000006</v>
      </c>
      <c r="CG22" s="913">
        <v>67.055000000000007</v>
      </c>
      <c r="CH22" s="913">
        <v>67.209999999999994</v>
      </c>
      <c r="CI22" s="913">
        <v>67.38</v>
      </c>
      <c r="CJ22" s="913">
        <v>67.52</v>
      </c>
      <c r="CK22" s="913">
        <v>67.674999999999997</v>
      </c>
      <c r="CL22" s="913">
        <v>67.834999999999994</v>
      </c>
      <c r="CM22" s="913">
        <v>67.97999999999999</v>
      </c>
      <c r="CN22" s="913">
        <v>68.134999999999991</v>
      </c>
      <c r="CO22" s="913">
        <v>68.28</v>
      </c>
      <c r="CP22" s="913">
        <v>68.435000000000002</v>
      </c>
      <c r="CQ22" s="913">
        <v>68.569999999999993</v>
      </c>
      <c r="CR22" s="913">
        <v>68.710000000000008</v>
      </c>
      <c r="CS22" s="913">
        <v>68.855000000000004</v>
      </c>
      <c r="CT22" s="913">
        <v>68.995000000000005</v>
      </c>
      <c r="CU22" s="913">
        <v>69.13</v>
      </c>
      <c r="CV22" s="913">
        <v>69.27000000000001</v>
      </c>
      <c r="CW22" s="913">
        <v>69.41</v>
      </c>
      <c r="CX22" s="913">
        <v>69.545000000000002</v>
      </c>
      <c r="CY22" s="913">
        <v>69.685000000000002</v>
      </c>
      <c r="CZ22" s="913">
        <v>69.814999999999998</v>
      </c>
      <c r="DA22" s="913">
        <v>69.95</v>
      </c>
      <c r="DB22" s="913">
        <v>70.080000000000013</v>
      </c>
      <c r="DC22" s="913">
        <v>70.210000000000008</v>
      </c>
      <c r="DD22" s="913">
        <v>70.34</v>
      </c>
      <c r="DE22" s="913">
        <v>70.47</v>
      </c>
      <c r="DF22" s="913">
        <v>70.594999999999999</v>
      </c>
      <c r="DG22" s="913">
        <v>70.724999999999994</v>
      </c>
      <c r="DH22" s="913">
        <v>70.844999999999999</v>
      </c>
      <c r="DI22" s="913">
        <v>70.97</v>
      </c>
      <c r="DJ22" s="913">
        <v>71.094999999999999</v>
      </c>
      <c r="DK22" s="913">
        <v>71.215000000000003</v>
      </c>
      <c r="DL22" s="913">
        <v>71.330000000000013</v>
      </c>
      <c r="DM22" s="913">
        <v>71.455000000000013</v>
      </c>
      <c r="DN22" s="913">
        <v>71.569999999999993</v>
      </c>
      <c r="DO22" s="913">
        <v>71.685000000000002</v>
      </c>
      <c r="DP22" s="913">
        <v>71.805000000000007</v>
      </c>
      <c r="DQ22" s="913">
        <v>71.919999999999987</v>
      </c>
      <c r="DR22" s="913">
        <v>72.034999999999997</v>
      </c>
    </row>
    <row r="23" spans="1:122" s="127" customFormat="1" ht="12.75">
      <c r="A23" s="917">
        <v>21</v>
      </c>
      <c r="B23" s="913">
        <v>49.40399859360835</v>
      </c>
      <c r="C23" s="913">
        <v>49.56985331398144</v>
      </c>
      <c r="D23" s="913">
        <v>49.840928799974805</v>
      </c>
      <c r="E23" s="913">
        <v>50.11648026070953</v>
      </c>
      <c r="F23" s="913">
        <v>50.406226236817133</v>
      </c>
      <c r="G23" s="913">
        <v>50.653864436458875</v>
      </c>
      <c r="H23" s="913">
        <v>50.877651180135324</v>
      </c>
      <c r="I23" s="913">
        <v>51.175609786019166</v>
      </c>
      <c r="J23" s="913">
        <v>51.418271780957006</v>
      </c>
      <c r="K23" s="913">
        <v>51.720098831487796</v>
      </c>
      <c r="L23" s="913">
        <v>52.005653392169904</v>
      </c>
      <c r="M23" s="913">
        <v>52.235734337427786</v>
      </c>
      <c r="N23" s="913">
        <v>52.48089731993548</v>
      </c>
      <c r="O23" s="913">
        <v>52.669832015887124</v>
      </c>
      <c r="P23" s="913">
        <v>52.963151620005689</v>
      </c>
      <c r="Q23" s="913">
        <v>53.109404726495548</v>
      </c>
      <c r="R23" s="913">
        <v>53.315379529103801</v>
      </c>
      <c r="S23" s="913">
        <v>53.454683885631582</v>
      </c>
      <c r="T23" s="913">
        <v>53.442540028603673</v>
      </c>
      <c r="U23" s="913">
        <v>53.695839382587224</v>
      </c>
      <c r="V23" s="913">
        <v>53.980000000000004</v>
      </c>
      <c r="W23" s="913">
        <v>54.254999999999995</v>
      </c>
      <c r="X23" s="913">
        <v>54.519999999999996</v>
      </c>
      <c r="Y23" s="913">
        <v>54.71</v>
      </c>
      <c r="Z23" s="913">
        <v>55.03</v>
      </c>
      <c r="AA23" s="913">
        <v>55.39</v>
      </c>
      <c r="AB23" s="913">
        <v>55.704999999999998</v>
      </c>
      <c r="AC23" s="913">
        <v>55.945</v>
      </c>
      <c r="AD23" s="913">
        <v>56.06</v>
      </c>
      <c r="AE23" s="913">
        <v>56.224999999999994</v>
      </c>
      <c r="AF23" s="913">
        <v>56.46</v>
      </c>
      <c r="AG23" s="913">
        <v>56.7</v>
      </c>
      <c r="AH23" s="913">
        <v>56.959999999999994</v>
      </c>
      <c r="AI23" s="913">
        <v>57.215000000000003</v>
      </c>
      <c r="AJ23" s="913">
        <v>57.534999999999997</v>
      </c>
      <c r="AK23" s="913">
        <v>57.814999999999998</v>
      </c>
      <c r="AL23" s="913">
        <v>58.174999999999997</v>
      </c>
      <c r="AM23" s="913">
        <v>58.489999999999995</v>
      </c>
      <c r="AN23" s="913">
        <v>58.715000000000003</v>
      </c>
      <c r="AO23" s="913">
        <v>58.870000000000005</v>
      </c>
      <c r="AP23" s="913">
        <v>59.05</v>
      </c>
      <c r="AQ23" s="913">
        <v>59.195</v>
      </c>
      <c r="AR23" s="913">
        <v>59.36</v>
      </c>
      <c r="AS23" s="913">
        <v>59.43</v>
      </c>
      <c r="AT23" s="913">
        <v>59.494999999999997</v>
      </c>
      <c r="AU23" s="913">
        <v>59.58</v>
      </c>
      <c r="AV23" s="913">
        <v>59.68</v>
      </c>
      <c r="AW23" s="913">
        <v>59.965000000000003</v>
      </c>
      <c r="AX23" s="913">
        <v>60.094999999999999</v>
      </c>
      <c r="AY23" s="913">
        <v>60.230000000000004</v>
      </c>
      <c r="AZ23" s="913">
        <v>60.32</v>
      </c>
      <c r="BA23" s="913">
        <v>60.444999999999993</v>
      </c>
      <c r="BB23" s="913">
        <v>60.585000000000001</v>
      </c>
      <c r="BC23" s="913">
        <v>60.709999999999994</v>
      </c>
      <c r="BD23" s="913">
        <v>60.864999999999995</v>
      </c>
      <c r="BE23" s="913">
        <v>61.024999999999999</v>
      </c>
      <c r="BF23" s="913">
        <v>61.230000000000004</v>
      </c>
      <c r="BG23" s="913">
        <v>61.400000000000006</v>
      </c>
      <c r="BH23" s="913">
        <v>61.655000000000001</v>
      </c>
      <c r="BI23" s="913">
        <v>61.82</v>
      </c>
      <c r="BJ23" s="913">
        <v>62.040000000000006</v>
      </c>
      <c r="BK23" s="913">
        <v>62.234999999999999</v>
      </c>
      <c r="BL23" s="913">
        <v>62.475000000000001</v>
      </c>
      <c r="BM23" s="913">
        <v>62.709999999999994</v>
      </c>
      <c r="BN23" s="913">
        <v>62.914999999999999</v>
      </c>
      <c r="BO23" s="913">
        <v>63.099999999999994</v>
      </c>
      <c r="BP23" s="913">
        <v>63.3</v>
      </c>
      <c r="BQ23" s="913">
        <v>63.484999999999999</v>
      </c>
      <c r="BR23" s="913">
        <v>63.66</v>
      </c>
      <c r="BS23" s="913">
        <v>63.84</v>
      </c>
      <c r="BT23" s="914">
        <v>64.025000000000006</v>
      </c>
      <c r="BU23" s="913">
        <v>64.17</v>
      </c>
      <c r="BV23" s="913">
        <v>64.349999999999994</v>
      </c>
      <c r="BW23" s="913">
        <v>64.52</v>
      </c>
      <c r="BX23" s="913">
        <v>64.685000000000002</v>
      </c>
      <c r="BY23" s="913">
        <v>64.844999999999999</v>
      </c>
      <c r="BZ23" s="913">
        <v>65</v>
      </c>
      <c r="CA23" s="913">
        <v>65.150000000000006</v>
      </c>
      <c r="CB23" s="913">
        <v>65.305000000000007</v>
      </c>
      <c r="CC23" s="913">
        <v>65.465000000000003</v>
      </c>
      <c r="CD23" s="913">
        <v>65.625</v>
      </c>
      <c r="CE23" s="913">
        <v>65.784999999999997</v>
      </c>
      <c r="CF23" s="913">
        <v>65.935000000000002</v>
      </c>
      <c r="CG23" s="913">
        <v>66.09</v>
      </c>
      <c r="CH23" s="913">
        <v>66.240000000000009</v>
      </c>
      <c r="CI23" s="913">
        <v>66.41</v>
      </c>
      <c r="CJ23" s="913">
        <v>66.550000000000011</v>
      </c>
      <c r="CK23" s="913">
        <v>66.705000000000013</v>
      </c>
      <c r="CL23" s="913">
        <v>66.85499999999999</v>
      </c>
      <c r="CM23" s="913">
        <v>67</v>
      </c>
      <c r="CN23" s="913">
        <v>67.155000000000001</v>
      </c>
      <c r="CO23" s="913">
        <v>67.31</v>
      </c>
      <c r="CP23" s="913">
        <v>67.454999999999998</v>
      </c>
      <c r="CQ23" s="913">
        <v>67.59</v>
      </c>
      <c r="CR23" s="913">
        <v>67.734999999999999</v>
      </c>
      <c r="CS23" s="913">
        <v>67.88</v>
      </c>
      <c r="CT23" s="913">
        <v>68.02000000000001</v>
      </c>
      <c r="CU23" s="913">
        <v>68.155000000000001</v>
      </c>
      <c r="CV23" s="913">
        <v>68.295000000000002</v>
      </c>
      <c r="CW23" s="913">
        <v>68.424999999999997</v>
      </c>
      <c r="CX23" s="913">
        <v>68.564999999999998</v>
      </c>
      <c r="CY23" s="913">
        <v>68.699999999999989</v>
      </c>
      <c r="CZ23" s="913">
        <v>68.83</v>
      </c>
      <c r="DA23" s="913">
        <v>68.965000000000003</v>
      </c>
      <c r="DB23" s="913">
        <v>69.094999999999999</v>
      </c>
      <c r="DC23" s="913">
        <v>69.224999999999994</v>
      </c>
      <c r="DD23" s="913">
        <v>69.36</v>
      </c>
      <c r="DE23" s="913">
        <v>69.484999999999999</v>
      </c>
      <c r="DF23" s="913">
        <v>69.61</v>
      </c>
      <c r="DG23" s="913">
        <v>69.734999999999999</v>
      </c>
      <c r="DH23" s="913">
        <v>69.86</v>
      </c>
      <c r="DI23" s="913">
        <v>69.984999999999999</v>
      </c>
      <c r="DJ23" s="913">
        <v>70.105000000000004</v>
      </c>
      <c r="DK23" s="913">
        <v>70.224999999999994</v>
      </c>
      <c r="DL23" s="913">
        <v>70.344999999999999</v>
      </c>
      <c r="DM23" s="913">
        <v>70.460000000000008</v>
      </c>
      <c r="DN23" s="913">
        <v>70.585000000000008</v>
      </c>
      <c r="DO23" s="913">
        <v>70.699999999999989</v>
      </c>
      <c r="DP23" s="913">
        <v>70.814999999999998</v>
      </c>
      <c r="DQ23" s="913">
        <v>70.930000000000007</v>
      </c>
      <c r="DR23" s="913">
        <v>71.039999999999992</v>
      </c>
    </row>
    <row r="24" spans="1:122" s="127" customFormat="1" ht="12.75">
      <c r="A24" s="917">
        <v>22</v>
      </c>
      <c r="B24" s="913">
        <v>48.645538414633393</v>
      </c>
      <c r="C24" s="913">
        <v>48.82386888773118</v>
      </c>
      <c r="D24" s="913">
        <v>49.100115087852075</v>
      </c>
      <c r="E24" s="913">
        <v>49.313820782873975</v>
      </c>
      <c r="F24" s="913">
        <v>49.604711979537392</v>
      </c>
      <c r="G24" s="913">
        <v>49.853320815987189</v>
      </c>
      <c r="H24" s="913">
        <v>50.058850098083447</v>
      </c>
      <c r="I24" s="913">
        <v>50.348527983293664</v>
      </c>
      <c r="J24" s="913">
        <v>50.591821708422358</v>
      </c>
      <c r="K24" s="913">
        <v>50.871566063990684</v>
      </c>
      <c r="L24" s="913">
        <v>51.154691741262376</v>
      </c>
      <c r="M24" s="913">
        <v>51.373437138313705</v>
      </c>
      <c r="N24" s="913">
        <v>51.619251001951753</v>
      </c>
      <c r="O24" s="913">
        <v>51.808690764742366</v>
      </c>
      <c r="P24" s="913">
        <v>52.107366946973869</v>
      </c>
      <c r="Q24" s="913">
        <v>52.248569799607324</v>
      </c>
      <c r="R24" s="913">
        <v>52.446692851756623</v>
      </c>
      <c r="S24" s="913">
        <v>52.589698726647867</v>
      </c>
      <c r="T24" s="913">
        <v>52.580887793701606</v>
      </c>
      <c r="U24" s="913">
        <v>52.834847512332992</v>
      </c>
      <c r="V24" s="913">
        <v>53.120000000000005</v>
      </c>
      <c r="W24" s="913">
        <v>53.395000000000003</v>
      </c>
      <c r="X24" s="913">
        <v>53.68</v>
      </c>
      <c r="Y24" s="913">
        <v>53.89</v>
      </c>
      <c r="Z24" s="913">
        <v>54.29</v>
      </c>
      <c r="AA24" s="913">
        <v>54.585000000000001</v>
      </c>
      <c r="AB24" s="913">
        <v>54.9</v>
      </c>
      <c r="AC24" s="913">
        <v>55.09</v>
      </c>
      <c r="AD24" s="913">
        <v>55.150000000000006</v>
      </c>
      <c r="AE24" s="913">
        <v>55.314999999999998</v>
      </c>
      <c r="AF24" s="913">
        <v>55.55</v>
      </c>
      <c r="AG24" s="913">
        <v>55.775000000000006</v>
      </c>
      <c r="AH24" s="913">
        <v>56.034999999999997</v>
      </c>
      <c r="AI24" s="913">
        <v>56.29</v>
      </c>
      <c r="AJ24" s="913">
        <v>56.605000000000004</v>
      </c>
      <c r="AK24" s="913">
        <v>56.895000000000003</v>
      </c>
      <c r="AL24" s="913">
        <v>57.245000000000005</v>
      </c>
      <c r="AM24" s="913">
        <v>57.56</v>
      </c>
      <c r="AN24" s="913">
        <v>57.774999999999999</v>
      </c>
      <c r="AO24" s="913">
        <v>57.94</v>
      </c>
      <c r="AP24" s="913">
        <v>58.125</v>
      </c>
      <c r="AQ24" s="913">
        <v>58.26</v>
      </c>
      <c r="AR24" s="913">
        <v>58.424999999999997</v>
      </c>
      <c r="AS24" s="913">
        <v>58.5</v>
      </c>
      <c r="AT24" s="913">
        <v>58.56</v>
      </c>
      <c r="AU24" s="913">
        <v>58.64</v>
      </c>
      <c r="AV24" s="913">
        <v>58.74</v>
      </c>
      <c r="AW24" s="913">
        <v>59.024999999999999</v>
      </c>
      <c r="AX24" s="913">
        <v>59.16</v>
      </c>
      <c r="AY24" s="913">
        <v>59.295000000000002</v>
      </c>
      <c r="AZ24" s="913">
        <v>59.394999999999996</v>
      </c>
      <c r="BA24" s="913">
        <v>59.515000000000001</v>
      </c>
      <c r="BB24" s="913">
        <v>59.65</v>
      </c>
      <c r="BC24" s="913">
        <v>59.78</v>
      </c>
      <c r="BD24" s="913">
        <v>59.93</v>
      </c>
      <c r="BE24" s="913">
        <v>60.094999999999999</v>
      </c>
      <c r="BF24" s="913">
        <v>60.29</v>
      </c>
      <c r="BG24" s="913">
        <v>60.465000000000003</v>
      </c>
      <c r="BH24" s="913">
        <v>60.715000000000003</v>
      </c>
      <c r="BI24" s="913">
        <v>60.879999999999995</v>
      </c>
      <c r="BJ24" s="913">
        <v>61.099999999999994</v>
      </c>
      <c r="BK24" s="913">
        <v>61.290000000000006</v>
      </c>
      <c r="BL24" s="913">
        <v>61.53</v>
      </c>
      <c r="BM24" s="913">
        <v>61.755000000000003</v>
      </c>
      <c r="BN24" s="913">
        <v>61.96</v>
      </c>
      <c r="BO24" s="913">
        <v>62.14</v>
      </c>
      <c r="BP24" s="913">
        <v>62.344999999999999</v>
      </c>
      <c r="BQ24" s="913">
        <v>62.525000000000006</v>
      </c>
      <c r="BR24" s="913">
        <v>62.704999999999998</v>
      </c>
      <c r="BS24" s="913">
        <v>62.89</v>
      </c>
      <c r="BT24" s="914">
        <v>63.074999999999996</v>
      </c>
      <c r="BU24" s="913">
        <v>63.22</v>
      </c>
      <c r="BV24" s="913">
        <v>63.395000000000003</v>
      </c>
      <c r="BW24" s="913">
        <v>63.56</v>
      </c>
      <c r="BX24" s="913">
        <v>63.73</v>
      </c>
      <c r="BY24" s="913">
        <v>63.879999999999995</v>
      </c>
      <c r="BZ24" s="913">
        <v>64.039999999999992</v>
      </c>
      <c r="CA24" s="913">
        <v>64.19</v>
      </c>
      <c r="CB24" s="913">
        <v>64.349999999999994</v>
      </c>
      <c r="CC24" s="913">
        <v>64.504999999999995</v>
      </c>
      <c r="CD24" s="913">
        <v>64.66</v>
      </c>
      <c r="CE24" s="913">
        <v>64.814999999999998</v>
      </c>
      <c r="CF24" s="913">
        <v>64.97</v>
      </c>
      <c r="CG24" s="913">
        <v>65.12</v>
      </c>
      <c r="CH24" s="913">
        <v>65.27</v>
      </c>
      <c r="CI24" s="913">
        <v>65.435000000000002</v>
      </c>
      <c r="CJ24" s="913">
        <v>65.58</v>
      </c>
      <c r="CK24" s="913">
        <v>65.724999999999994</v>
      </c>
      <c r="CL24" s="913">
        <v>65.88</v>
      </c>
      <c r="CM24" s="913">
        <v>66.03</v>
      </c>
      <c r="CN24" s="913">
        <v>66.180000000000007</v>
      </c>
      <c r="CO24" s="913">
        <v>66.325000000000003</v>
      </c>
      <c r="CP24" s="913">
        <v>66.474999999999994</v>
      </c>
      <c r="CQ24" s="913">
        <v>66.61</v>
      </c>
      <c r="CR24" s="913">
        <v>66.75</v>
      </c>
      <c r="CS24" s="913">
        <v>66.900000000000006</v>
      </c>
      <c r="CT24" s="913">
        <v>67.039999999999992</v>
      </c>
      <c r="CU24" s="913">
        <v>67.174999999999997</v>
      </c>
      <c r="CV24" s="913">
        <v>67.314999999999998</v>
      </c>
      <c r="CW24" s="913">
        <v>67.449999999999989</v>
      </c>
      <c r="CX24" s="913">
        <v>67.58</v>
      </c>
      <c r="CY24" s="913">
        <v>67.72</v>
      </c>
      <c r="CZ24" s="913">
        <v>67.849999999999994</v>
      </c>
      <c r="DA24" s="913">
        <v>67.984999999999999</v>
      </c>
      <c r="DB24" s="913">
        <v>68.115000000000009</v>
      </c>
      <c r="DC24" s="913">
        <v>68.240000000000009</v>
      </c>
      <c r="DD24" s="913">
        <v>68.37</v>
      </c>
      <c r="DE24" s="913">
        <v>68.495000000000005</v>
      </c>
      <c r="DF24" s="913">
        <v>68.62</v>
      </c>
      <c r="DG24" s="913">
        <v>68.75</v>
      </c>
      <c r="DH24" s="913">
        <v>68.875</v>
      </c>
      <c r="DI24" s="913">
        <v>69</v>
      </c>
      <c r="DJ24" s="913">
        <v>69.115000000000009</v>
      </c>
      <c r="DK24" s="913">
        <v>69.240000000000009</v>
      </c>
      <c r="DL24" s="913">
        <v>69.36</v>
      </c>
      <c r="DM24" s="913">
        <v>69.474999999999994</v>
      </c>
      <c r="DN24" s="913">
        <v>69.59</v>
      </c>
      <c r="DO24" s="913">
        <v>69.710000000000008</v>
      </c>
      <c r="DP24" s="913">
        <v>69.825000000000003</v>
      </c>
      <c r="DQ24" s="913">
        <v>69.94</v>
      </c>
      <c r="DR24" s="913">
        <v>70.055000000000007</v>
      </c>
    </row>
    <row r="25" spans="1:122" s="127" customFormat="1" ht="12.75">
      <c r="A25" s="917">
        <v>23</v>
      </c>
      <c r="B25" s="913">
        <v>47.892669785202763</v>
      </c>
      <c r="C25" s="913">
        <v>48.073940642602309</v>
      </c>
      <c r="D25" s="913">
        <v>48.298157533575676</v>
      </c>
      <c r="E25" s="913">
        <v>48.512722638468944</v>
      </c>
      <c r="F25" s="913">
        <v>48.804792554268644</v>
      </c>
      <c r="G25" s="913">
        <v>49.032811021819043</v>
      </c>
      <c r="H25" s="913">
        <v>49.23616210996525</v>
      </c>
      <c r="I25" s="913">
        <v>49.529513649887988</v>
      </c>
      <c r="J25" s="913">
        <v>49.751205308887734</v>
      </c>
      <c r="K25" s="913">
        <v>50.019649483364944</v>
      </c>
      <c r="L25" s="913">
        <v>50.292678364122487</v>
      </c>
      <c r="M25" s="913">
        <v>50.512019929821847</v>
      </c>
      <c r="N25" s="913">
        <v>50.758502054364151</v>
      </c>
      <c r="O25" s="913">
        <v>50.959528602649115</v>
      </c>
      <c r="P25" s="913">
        <v>51.253611430701781</v>
      </c>
      <c r="Q25" s="913">
        <v>51.394921040402707</v>
      </c>
      <c r="R25" s="913">
        <v>51.590848070387267</v>
      </c>
      <c r="S25" s="913">
        <v>51.724096993109619</v>
      </c>
      <c r="T25" s="913">
        <v>51.71526625864221</v>
      </c>
      <c r="U25" s="913">
        <v>51.969879981505045</v>
      </c>
      <c r="V25" s="913">
        <v>52.254999999999995</v>
      </c>
      <c r="W25" s="913">
        <v>52.545000000000002</v>
      </c>
      <c r="X25" s="913">
        <v>52.844999999999999</v>
      </c>
      <c r="Y25" s="913">
        <v>53.14</v>
      </c>
      <c r="Z25" s="913">
        <v>53.484999999999999</v>
      </c>
      <c r="AA25" s="913">
        <v>53.79</v>
      </c>
      <c r="AB25" s="913">
        <v>54.04</v>
      </c>
      <c r="AC25" s="913">
        <v>54.18</v>
      </c>
      <c r="AD25" s="913">
        <v>54.24</v>
      </c>
      <c r="AE25" s="913">
        <v>54.405000000000001</v>
      </c>
      <c r="AF25" s="913">
        <v>54.629999999999995</v>
      </c>
      <c r="AG25" s="913">
        <v>54.855000000000004</v>
      </c>
      <c r="AH25" s="913">
        <v>55.11</v>
      </c>
      <c r="AI25" s="913">
        <v>55.36</v>
      </c>
      <c r="AJ25" s="913">
        <v>55.674999999999997</v>
      </c>
      <c r="AK25" s="913">
        <v>55.965000000000003</v>
      </c>
      <c r="AL25" s="913">
        <v>56.314999999999998</v>
      </c>
      <c r="AM25" s="913">
        <v>56.63</v>
      </c>
      <c r="AN25" s="913">
        <v>56.844999999999999</v>
      </c>
      <c r="AO25" s="913">
        <v>57.004999999999995</v>
      </c>
      <c r="AP25" s="913">
        <v>57.19</v>
      </c>
      <c r="AQ25" s="913">
        <v>57.32</v>
      </c>
      <c r="AR25" s="913">
        <v>57.489999999999995</v>
      </c>
      <c r="AS25" s="913">
        <v>57.555</v>
      </c>
      <c r="AT25" s="913">
        <v>57.625</v>
      </c>
      <c r="AU25" s="913">
        <v>57.71</v>
      </c>
      <c r="AV25" s="913">
        <v>57.805</v>
      </c>
      <c r="AW25" s="913">
        <v>58.09</v>
      </c>
      <c r="AX25" s="913">
        <v>58.230000000000004</v>
      </c>
      <c r="AY25" s="913">
        <v>58.36</v>
      </c>
      <c r="AZ25" s="913">
        <v>58.46</v>
      </c>
      <c r="BA25" s="913">
        <v>58.575000000000003</v>
      </c>
      <c r="BB25" s="913">
        <v>58.704999999999998</v>
      </c>
      <c r="BC25" s="913">
        <v>58.84</v>
      </c>
      <c r="BD25" s="913">
        <v>58.995000000000005</v>
      </c>
      <c r="BE25" s="913">
        <v>59.16</v>
      </c>
      <c r="BF25" s="913">
        <v>59.36</v>
      </c>
      <c r="BG25" s="913">
        <v>59.524999999999999</v>
      </c>
      <c r="BH25" s="913">
        <v>59.77</v>
      </c>
      <c r="BI25" s="913">
        <v>59.93</v>
      </c>
      <c r="BJ25" s="913">
        <v>60.155000000000001</v>
      </c>
      <c r="BK25" s="913">
        <v>60.34</v>
      </c>
      <c r="BL25" s="913">
        <v>60.575000000000003</v>
      </c>
      <c r="BM25" s="913">
        <v>60.805</v>
      </c>
      <c r="BN25" s="913">
        <v>61.004999999999995</v>
      </c>
      <c r="BO25" s="913">
        <v>61.185000000000002</v>
      </c>
      <c r="BP25" s="913">
        <v>61.384999999999998</v>
      </c>
      <c r="BQ25" s="913">
        <v>61.570000000000007</v>
      </c>
      <c r="BR25" s="913">
        <v>61.75</v>
      </c>
      <c r="BS25" s="913">
        <v>61.935000000000002</v>
      </c>
      <c r="BT25" s="914">
        <v>62.115000000000002</v>
      </c>
      <c r="BU25" s="913">
        <v>62.265000000000001</v>
      </c>
      <c r="BV25" s="913">
        <v>62.435000000000002</v>
      </c>
      <c r="BW25" s="913">
        <v>62.604999999999997</v>
      </c>
      <c r="BX25" s="913">
        <v>62.77</v>
      </c>
      <c r="BY25" s="913">
        <v>62.915000000000006</v>
      </c>
      <c r="BZ25" s="913">
        <v>63.08</v>
      </c>
      <c r="CA25" s="913">
        <v>63.230000000000004</v>
      </c>
      <c r="CB25" s="913">
        <v>63.38</v>
      </c>
      <c r="CC25" s="913">
        <v>63.540000000000006</v>
      </c>
      <c r="CD25" s="913">
        <v>63.695</v>
      </c>
      <c r="CE25" s="913">
        <v>63.85</v>
      </c>
      <c r="CF25" s="913">
        <v>63.995000000000005</v>
      </c>
      <c r="CG25" s="913">
        <v>64.14500000000001</v>
      </c>
      <c r="CH25" s="913">
        <v>64.3</v>
      </c>
      <c r="CI25" s="913">
        <v>64.460000000000008</v>
      </c>
      <c r="CJ25" s="913">
        <v>64.599999999999994</v>
      </c>
      <c r="CK25" s="913">
        <v>64.754999999999995</v>
      </c>
      <c r="CL25" s="913">
        <v>64.905000000000001</v>
      </c>
      <c r="CM25" s="913">
        <v>65.06</v>
      </c>
      <c r="CN25" s="913">
        <v>65.204999999999998</v>
      </c>
      <c r="CO25" s="913">
        <v>65.344999999999999</v>
      </c>
      <c r="CP25" s="913">
        <v>65.495000000000005</v>
      </c>
      <c r="CQ25" s="913">
        <v>65.634999999999991</v>
      </c>
      <c r="CR25" s="913">
        <v>65.77</v>
      </c>
      <c r="CS25" s="913">
        <v>65.919999999999987</v>
      </c>
      <c r="CT25" s="913">
        <v>66.055000000000007</v>
      </c>
      <c r="CU25" s="913">
        <v>66.194999999999993</v>
      </c>
      <c r="CV25" s="913">
        <v>66.33</v>
      </c>
      <c r="CW25" s="913">
        <v>66.47</v>
      </c>
      <c r="CX25" s="913">
        <v>66.599999999999994</v>
      </c>
      <c r="CY25" s="913">
        <v>66.734999999999999</v>
      </c>
      <c r="CZ25" s="913">
        <v>66.865000000000009</v>
      </c>
      <c r="DA25" s="913">
        <v>67</v>
      </c>
      <c r="DB25" s="913">
        <v>67.13</v>
      </c>
      <c r="DC25" s="913">
        <v>67.254999999999995</v>
      </c>
      <c r="DD25" s="913">
        <v>67.385000000000005</v>
      </c>
      <c r="DE25" s="913">
        <v>67.510000000000005</v>
      </c>
      <c r="DF25" s="913">
        <v>67.64</v>
      </c>
      <c r="DG25" s="913">
        <v>67.765000000000001</v>
      </c>
      <c r="DH25" s="913">
        <v>67.89</v>
      </c>
      <c r="DI25" s="913">
        <v>68.009999999999991</v>
      </c>
      <c r="DJ25" s="913">
        <v>68.13</v>
      </c>
      <c r="DK25" s="913">
        <v>68.25</v>
      </c>
      <c r="DL25" s="913">
        <v>68.37</v>
      </c>
      <c r="DM25" s="913">
        <v>68.490000000000009</v>
      </c>
      <c r="DN25" s="913">
        <v>68.60499999999999</v>
      </c>
      <c r="DO25" s="913">
        <v>68.72</v>
      </c>
      <c r="DP25" s="913">
        <v>68.835000000000008</v>
      </c>
      <c r="DQ25" s="913">
        <v>68.95</v>
      </c>
      <c r="DR25" s="913">
        <v>69.064999999999998</v>
      </c>
    </row>
    <row r="26" spans="1:122" s="127" customFormat="1" ht="12.75">
      <c r="A26" s="917">
        <v>24</v>
      </c>
      <c r="B26" s="913">
        <v>47.140277519297022</v>
      </c>
      <c r="C26" s="913">
        <v>47.269747477849045</v>
      </c>
      <c r="D26" s="913">
        <v>47.494882188429784</v>
      </c>
      <c r="E26" s="913">
        <v>47.710321490101038</v>
      </c>
      <c r="F26" s="913">
        <v>47.982355432709937</v>
      </c>
      <c r="G26" s="913">
        <v>48.207763842372032</v>
      </c>
      <c r="H26" s="913">
        <v>48.41450300944792</v>
      </c>
      <c r="I26" s="913">
        <v>48.68641833215348</v>
      </c>
      <c r="J26" s="913">
        <v>48.896925260048633</v>
      </c>
      <c r="K26" s="913">
        <v>49.155413145479201</v>
      </c>
      <c r="L26" s="913">
        <v>49.429189346231297</v>
      </c>
      <c r="M26" s="913">
        <v>49.649132539199805</v>
      </c>
      <c r="N26" s="913">
        <v>49.906832003425265</v>
      </c>
      <c r="O26" s="913">
        <v>50.104107945770977</v>
      </c>
      <c r="P26" s="913">
        <v>50.397876044460283</v>
      </c>
      <c r="Q26" s="913">
        <v>50.536829412780179</v>
      </c>
      <c r="R26" s="913">
        <v>50.723361651151741</v>
      </c>
      <c r="S26" s="913">
        <v>50.85694755060053</v>
      </c>
      <c r="T26" s="913">
        <v>50.848096543352696</v>
      </c>
      <c r="U26" s="913">
        <v>51.103369595903231</v>
      </c>
      <c r="V26" s="913">
        <v>51.405000000000001</v>
      </c>
      <c r="W26" s="913">
        <v>51.715000000000003</v>
      </c>
      <c r="X26" s="913">
        <v>52.094999999999999</v>
      </c>
      <c r="Y26" s="913">
        <v>52.33</v>
      </c>
      <c r="Z26" s="913">
        <v>52.68</v>
      </c>
      <c r="AA26" s="913">
        <v>52.92</v>
      </c>
      <c r="AB26" s="913">
        <v>53.129999999999995</v>
      </c>
      <c r="AC26" s="913">
        <v>53.275000000000006</v>
      </c>
      <c r="AD26" s="913">
        <v>53.325000000000003</v>
      </c>
      <c r="AE26" s="913">
        <v>53.484999999999999</v>
      </c>
      <c r="AF26" s="913">
        <v>53.71</v>
      </c>
      <c r="AG26" s="913">
        <v>53.93</v>
      </c>
      <c r="AH26" s="913">
        <v>54.185000000000002</v>
      </c>
      <c r="AI26" s="913">
        <v>54.435000000000002</v>
      </c>
      <c r="AJ26" s="913">
        <v>54.744999999999997</v>
      </c>
      <c r="AK26" s="913">
        <v>55.034999999999997</v>
      </c>
      <c r="AL26" s="913">
        <v>55.379999999999995</v>
      </c>
      <c r="AM26" s="913">
        <v>55.695</v>
      </c>
      <c r="AN26" s="913">
        <v>55.915000000000006</v>
      </c>
      <c r="AO26" s="913">
        <v>56.07</v>
      </c>
      <c r="AP26" s="913">
        <v>56.254999999999995</v>
      </c>
      <c r="AQ26" s="913">
        <v>56.384999999999998</v>
      </c>
      <c r="AR26" s="913">
        <v>56.555</v>
      </c>
      <c r="AS26" s="913">
        <v>56.620000000000005</v>
      </c>
      <c r="AT26" s="913">
        <v>56.680000000000007</v>
      </c>
      <c r="AU26" s="913">
        <v>56.765000000000001</v>
      </c>
      <c r="AV26" s="913">
        <v>56.870000000000005</v>
      </c>
      <c r="AW26" s="913">
        <v>57.15</v>
      </c>
      <c r="AX26" s="913">
        <v>57.29</v>
      </c>
      <c r="AY26" s="913">
        <v>57.42</v>
      </c>
      <c r="AZ26" s="913">
        <v>57.519999999999996</v>
      </c>
      <c r="BA26" s="913">
        <v>57.625</v>
      </c>
      <c r="BB26" s="913">
        <v>57.765000000000001</v>
      </c>
      <c r="BC26" s="913">
        <v>57.894999999999996</v>
      </c>
      <c r="BD26" s="913">
        <v>58.05</v>
      </c>
      <c r="BE26" s="913">
        <v>58.215000000000003</v>
      </c>
      <c r="BF26" s="913">
        <v>58.414999999999999</v>
      </c>
      <c r="BG26" s="913">
        <v>58.58</v>
      </c>
      <c r="BH26" s="913">
        <v>58.82</v>
      </c>
      <c r="BI26" s="913">
        <v>58.984999999999999</v>
      </c>
      <c r="BJ26" s="913">
        <v>59.204999999999998</v>
      </c>
      <c r="BK26" s="913">
        <v>59.384999999999998</v>
      </c>
      <c r="BL26" s="913">
        <v>59.620000000000005</v>
      </c>
      <c r="BM26" s="913">
        <v>59.84</v>
      </c>
      <c r="BN26" s="913">
        <v>60.045000000000002</v>
      </c>
      <c r="BO26" s="913">
        <v>60.225000000000001</v>
      </c>
      <c r="BP26" s="913">
        <v>60.43</v>
      </c>
      <c r="BQ26" s="913">
        <v>60.615000000000002</v>
      </c>
      <c r="BR26" s="913">
        <v>60.795000000000002</v>
      </c>
      <c r="BS26" s="913">
        <v>60.975000000000001</v>
      </c>
      <c r="BT26" s="914">
        <v>61.155000000000001</v>
      </c>
      <c r="BU26" s="913">
        <v>61.3</v>
      </c>
      <c r="BV26" s="913">
        <v>61.475000000000001</v>
      </c>
      <c r="BW26" s="913">
        <v>61.644999999999996</v>
      </c>
      <c r="BX26" s="913">
        <v>61.81</v>
      </c>
      <c r="BY26" s="913">
        <v>61.954999999999998</v>
      </c>
      <c r="BZ26" s="913">
        <v>62.120000000000005</v>
      </c>
      <c r="CA26" s="913">
        <v>62.265000000000001</v>
      </c>
      <c r="CB26" s="913">
        <v>62.414999999999999</v>
      </c>
      <c r="CC26" s="913">
        <v>62.569999999999993</v>
      </c>
      <c r="CD26" s="913">
        <v>62.72</v>
      </c>
      <c r="CE26" s="913">
        <v>62.879999999999995</v>
      </c>
      <c r="CF26" s="913">
        <v>63.024999999999999</v>
      </c>
      <c r="CG26" s="913">
        <v>63.174999999999997</v>
      </c>
      <c r="CH26" s="913">
        <v>63.325000000000003</v>
      </c>
      <c r="CI26" s="913">
        <v>63.484999999999999</v>
      </c>
      <c r="CJ26" s="913">
        <v>63.625</v>
      </c>
      <c r="CK26" s="913">
        <v>63.78</v>
      </c>
      <c r="CL26" s="913">
        <v>63.930000000000007</v>
      </c>
      <c r="CM26" s="913">
        <v>64.08</v>
      </c>
      <c r="CN26" s="913">
        <v>64.224999999999994</v>
      </c>
      <c r="CO26" s="913">
        <v>64.37</v>
      </c>
      <c r="CP26" s="913">
        <v>64.509999999999991</v>
      </c>
      <c r="CQ26" s="913">
        <v>64.655000000000001</v>
      </c>
      <c r="CR26" s="913">
        <v>64.795000000000002</v>
      </c>
      <c r="CS26" s="913">
        <v>64.935000000000002</v>
      </c>
      <c r="CT26" s="913">
        <v>65.075000000000003</v>
      </c>
      <c r="CU26" s="913">
        <v>65.215000000000003</v>
      </c>
      <c r="CV26" s="913">
        <v>65.349999999999994</v>
      </c>
      <c r="CW26" s="913">
        <v>65.484999999999999</v>
      </c>
      <c r="CX26" s="913">
        <v>65.62</v>
      </c>
      <c r="CY26" s="913">
        <v>65.754999999999995</v>
      </c>
      <c r="CZ26" s="913">
        <v>65.884999999999991</v>
      </c>
      <c r="DA26" s="913">
        <v>66.015000000000001</v>
      </c>
      <c r="DB26" s="913">
        <v>66.144999999999996</v>
      </c>
      <c r="DC26" s="913">
        <v>66.275000000000006</v>
      </c>
      <c r="DD26" s="913">
        <v>66.400000000000006</v>
      </c>
      <c r="DE26" s="913">
        <v>66.525000000000006</v>
      </c>
      <c r="DF26" s="913">
        <v>66.650000000000006</v>
      </c>
      <c r="DG26" s="913">
        <v>66.78</v>
      </c>
      <c r="DH26" s="913">
        <v>66.89500000000001</v>
      </c>
      <c r="DI26" s="913">
        <v>67.02000000000001</v>
      </c>
      <c r="DJ26" s="913">
        <v>67.14</v>
      </c>
      <c r="DK26" s="913">
        <v>67.265000000000001</v>
      </c>
      <c r="DL26" s="913">
        <v>67.38</v>
      </c>
      <c r="DM26" s="913">
        <v>67.495000000000005</v>
      </c>
      <c r="DN26" s="913">
        <v>67.62</v>
      </c>
      <c r="DO26" s="913">
        <v>67.734999999999999</v>
      </c>
      <c r="DP26" s="913">
        <v>67.844999999999999</v>
      </c>
      <c r="DQ26" s="913">
        <v>67.960000000000008</v>
      </c>
      <c r="DR26" s="913">
        <v>68.069999999999993</v>
      </c>
    </row>
    <row r="27" spans="1:122" s="127" customFormat="1" ht="12.75">
      <c r="A27" s="917">
        <v>25</v>
      </c>
      <c r="B27" s="913">
        <v>46.333655613064103</v>
      </c>
      <c r="C27" s="913">
        <v>46.463659146427062</v>
      </c>
      <c r="D27" s="913">
        <v>46.68972358058484</v>
      </c>
      <c r="E27" s="913">
        <v>46.885243325193159</v>
      </c>
      <c r="F27" s="913">
        <v>47.1548904623521</v>
      </c>
      <c r="G27" s="913">
        <v>47.383788842873244</v>
      </c>
      <c r="H27" s="913">
        <v>47.569258140553167</v>
      </c>
      <c r="I27" s="913">
        <v>47.830369516207035</v>
      </c>
      <c r="J27" s="913">
        <v>48.030890753254752</v>
      </c>
      <c r="K27" s="913">
        <v>48.290094247111732</v>
      </c>
      <c r="L27" s="913">
        <v>48.564627272619454</v>
      </c>
      <c r="M27" s="913">
        <v>48.794760084921478</v>
      </c>
      <c r="N27" s="913">
        <v>49.04995206037313</v>
      </c>
      <c r="O27" s="913">
        <v>49.246348059360429</v>
      </c>
      <c r="P27" s="913">
        <v>49.538199654147903</v>
      </c>
      <c r="Q27" s="913">
        <v>49.667767298224291</v>
      </c>
      <c r="R27" s="913">
        <v>49.854785236461119</v>
      </c>
      <c r="S27" s="913">
        <v>49.988712632996624</v>
      </c>
      <c r="T27" s="913">
        <v>49.979840937332007</v>
      </c>
      <c r="U27" s="913">
        <v>50.249060990155755</v>
      </c>
      <c r="V27" s="913">
        <v>50.564999999999998</v>
      </c>
      <c r="W27" s="913">
        <v>50.954999999999998</v>
      </c>
      <c r="X27" s="913">
        <v>51.28</v>
      </c>
      <c r="Y27" s="913">
        <v>51.515000000000001</v>
      </c>
      <c r="Z27" s="913">
        <v>51.814999999999998</v>
      </c>
      <c r="AA27" s="913">
        <v>52.015000000000001</v>
      </c>
      <c r="AB27" s="913">
        <v>52.22</v>
      </c>
      <c r="AC27" s="913">
        <v>52.365000000000002</v>
      </c>
      <c r="AD27" s="913">
        <v>52.405000000000001</v>
      </c>
      <c r="AE27" s="913">
        <v>52.56</v>
      </c>
      <c r="AF27" s="913">
        <v>52.78</v>
      </c>
      <c r="AG27" s="913">
        <v>53</v>
      </c>
      <c r="AH27" s="913">
        <v>53.260000000000005</v>
      </c>
      <c r="AI27" s="913">
        <v>53.5</v>
      </c>
      <c r="AJ27" s="913">
        <v>53.81</v>
      </c>
      <c r="AK27" s="913">
        <v>54.099999999999994</v>
      </c>
      <c r="AL27" s="913">
        <v>54.44</v>
      </c>
      <c r="AM27" s="913">
        <v>54.755000000000003</v>
      </c>
      <c r="AN27" s="913">
        <v>54.97</v>
      </c>
      <c r="AO27" s="913">
        <v>55.134999999999998</v>
      </c>
      <c r="AP27" s="913">
        <v>55.314999999999998</v>
      </c>
      <c r="AQ27" s="913">
        <v>55.445</v>
      </c>
      <c r="AR27" s="913">
        <v>55.62</v>
      </c>
      <c r="AS27" s="913">
        <v>55.674999999999997</v>
      </c>
      <c r="AT27" s="913">
        <v>55.74</v>
      </c>
      <c r="AU27" s="913">
        <v>55.83</v>
      </c>
      <c r="AV27" s="913">
        <v>55.935000000000002</v>
      </c>
      <c r="AW27" s="913">
        <v>56.215000000000003</v>
      </c>
      <c r="AX27" s="913">
        <v>56.35</v>
      </c>
      <c r="AY27" s="913">
        <v>56.474999999999994</v>
      </c>
      <c r="AZ27" s="913">
        <v>56.57</v>
      </c>
      <c r="BA27" s="913">
        <v>56.685000000000002</v>
      </c>
      <c r="BB27" s="913">
        <v>56.82</v>
      </c>
      <c r="BC27" s="913">
        <v>56.954999999999998</v>
      </c>
      <c r="BD27" s="913">
        <v>57.105000000000004</v>
      </c>
      <c r="BE27" s="913">
        <v>57.269999999999996</v>
      </c>
      <c r="BF27" s="913">
        <v>57.465000000000003</v>
      </c>
      <c r="BG27" s="913">
        <v>57.63</v>
      </c>
      <c r="BH27" s="913">
        <v>57.870000000000005</v>
      </c>
      <c r="BI27" s="913">
        <v>58.03</v>
      </c>
      <c r="BJ27" s="913">
        <v>58.244999999999997</v>
      </c>
      <c r="BK27" s="913">
        <v>58.43</v>
      </c>
      <c r="BL27" s="913">
        <v>58.66</v>
      </c>
      <c r="BM27" s="913">
        <v>58.885000000000005</v>
      </c>
      <c r="BN27" s="913">
        <v>59.085000000000001</v>
      </c>
      <c r="BO27" s="913">
        <v>59.269999999999996</v>
      </c>
      <c r="BP27" s="913">
        <v>59.47</v>
      </c>
      <c r="BQ27" s="913">
        <v>59.655000000000001</v>
      </c>
      <c r="BR27" s="913">
        <v>59.835000000000001</v>
      </c>
      <c r="BS27" s="913">
        <v>60.015000000000001</v>
      </c>
      <c r="BT27" s="914">
        <v>60.195</v>
      </c>
      <c r="BU27" s="913">
        <v>60.34</v>
      </c>
      <c r="BV27" s="913">
        <v>60.51</v>
      </c>
      <c r="BW27" s="913">
        <v>60.68</v>
      </c>
      <c r="BX27" s="913">
        <v>60.844999999999999</v>
      </c>
      <c r="BY27" s="913">
        <v>60.989999999999995</v>
      </c>
      <c r="BZ27" s="913">
        <v>61.144999999999996</v>
      </c>
      <c r="CA27" s="913">
        <v>61.295000000000002</v>
      </c>
      <c r="CB27" s="913">
        <v>61.44</v>
      </c>
      <c r="CC27" s="913">
        <v>61.605000000000004</v>
      </c>
      <c r="CD27" s="913">
        <v>61.75</v>
      </c>
      <c r="CE27" s="913">
        <v>61.900000000000006</v>
      </c>
      <c r="CF27" s="913">
        <v>62.045000000000002</v>
      </c>
      <c r="CG27" s="913">
        <v>62.195000000000007</v>
      </c>
      <c r="CH27" s="913">
        <v>62.35</v>
      </c>
      <c r="CI27" s="913">
        <v>62.510000000000005</v>
      </c>
      <c r="CJ27" s="913">
        <v>62.650000000000006</v>
      </c>
      <c r="CK27" s="913">
        <v>62.805000000000007</v>
      </c>
      <c r="CL27" s="913">
        <v>62.954999999999998</v>
      </c>
      <c r="CM27" s="913">
        <v>63.1</v>
      </c>
      <c r="CN27" s="913">
        <v>63.245000000000005</v>
      </c>
      <c r="CO27" s="913">
        <v>63.39</v>
      </c>
      <c r="CP27" s="913">
        <v>63.53</v>
      </c>
      <c r="CQ27" s="913">
        <v>63.67</v>
      </c>
      <c r="CR27" s="913">
        <v>63.814999999999998</v>
      </c>
      <c r="CS27" s="913">
        <v>63.954999999999998</v>
      </c>
      <c r="CT27" s="913">
        <v>64.094999999999999</v>
      </c>
      <c r="CU27" s="913">
        <v>64.23</v>
      </c>
      <c r="CV27" s="913">
        <v>64.365000000000009</v>
      </c>
      <c r="CW27" s="913">
        <v>64.504999999999995</v>
      </c>
      <c r="CX27" s="913">
        <v>64.634999999999991</v>
      </c>
      <c r="CY27" s="913">
        <v>64.77</v>
      </c>
      <c r="CZ27" s="913">
        <v>64.900000000000006</v>
      </c>
      <c r="DA27" s="913">
        <v>65.03</v>
      </c>
      <c r="DB27" s="913">
        <v>65.16</v>
      </c>
      <c r="DC27" s="913">
        <v>65.290000000000006</v>
      </c>
      <c r="DD27" s="913">
        <v>65.415000000000006</v>
      </c>
      <c r="DE27" s="913">
        <v>65.539999999999992</v>
      </c>
      <c r="DF27" s="913">
        <v>65.664999999999992</v>
      </c>
      <c r="DG27" s="913">
        <v>65.784999999999997</v>
      </c>
      <c r="DH27" s="913">
        <v>65.91</v>
      </c>
      <c r="DI27" s="913">
        <v>66.034999999999997</v>
      </c>
      <c r="DJ27" s="913">
        <v>66.155000000000001</v>
      </c>
      <c r="DK27" s="913">
        <v>66.275000000000006</v>
      </c>
      <c r="DL27" s="913">
        <v>66.394999999999996</v>
      </c>
      <c r="DM27" s="913">
        <v>66.510000000000005</v>
      </c>
      <c r="DN27" s="913">
        <v>66.625</v>
      </c>
      <c r="DO27" s="913">
        <v>66.739999999999995</v>
      </c>
      <c r="DP27" s="913">
        <v>66.855000000000004</v>
      </c>
      <c r="DQ27" s="913">
        <v>66.97</v>
      </c>
      <c r="DR27" s="913">
        <v>67.085000000000008</v>
      </c>
    </row>
    <row r="28" spans="1:122" s="127" customFormat="1" ht="12.75">
      <c r="A28" s="917">
        <v>26</v>
      </c>
      <c r="B28" s="913">
        <v>45.524758544735953</v>
      </c>
      <c r="C28" s="913">
        <v>45.655301602920673</v>
      </c>
      <c r="D28" s="913">
        <v>45.86189543227583</v>
      </c>
      <c r="E28" s="913">
        <v>46.056218203030056</v>
      </c>
      <c r="F28" s="913">
        <v>46.329550975136982</v>
      </c>
      <c r="G28" s="913">
        <v>46.538804492448541</v>
      </c>
      <c r="H28" s="913">
        <v>46.713263871791838</v>
      </c>
      <c r="I28" s="913">
        <v>46.96454560271394</v>
      </c>
      <c r="J28" s="913">
        <v>47.165630163971002</v>
      </c>
      <c r="K28" s="913">
        <v>47.425568569681182</v>
      </c>
      <c r="L28" s="913">
        <v>47.707601567033471</v>
      </c>
      <c r="M28" s="913">
        <v>47.936186536808819</v>
      </c>
      <c r="N28" s="913">
        <v>48.192401980059145</v>
      </c>
      <c r="O28" s="913">
        <v>48.386581468239719</v>
      </c>
      <c r="P28" s="913">
        <v>48.669509590885156</v>
      </c>
      <c r="Q28" s="913">
        <v>48.799429005190746</v>
      </c>
      <c r="R28" s="913">
        <v>48.986945521973233</v>
      </c>
      <c r="S28" s="913">
        <v>49.121223970198812</v>
      </c>
      <c r="T28" s="913">
        <v>49.125619425668006</v>
      </c>
      <c r="U28" s="913">
        <v>49.41568736980831</v>
      </c>
      <c r="V28" s="913">
        <v>49.81</v>
      </c>
      <c r="W28" s="913">
        <v>50.135000000000005</v>
      </c>
      <c r="X28" s="913">
        <v>50.454999999999998</v>
      </c>
      <c r="Y28" s="913">
        <v>50.644999999999996</v>
      </c>
      <c r="Z28" s="913">
        <v>50.905000000000001</v>
      </c>
      <c r="AA28" s="913">
        <v>51.104999999999997</v>
      </c>
      <c r="AB28" s="913">
        <v>51.31</v>
      </c>
      <c r="AC28" s="913">
        <v>51.44</v>
      </c>
      <c r="AD28" s="913">
        <v>51.475000000000001</v>
      </c>
      <c r="AE28" s="913">
        <v>51.625</v>
      </c>
      <c r="AF28" s="913">
        <v>51.849999999999994</v>
      </c>
      <c r="AG28" s="913">
        <v>52.07</v>
      </c>
      <c r="AH28" s="913">
        <v>52.325000000000003</v>
      </c>
      <c r="AI28" s="913">
        <v>52.564999999999998</v>
      </c>
      <c r="AJ28" s="913">
        <v>52.875</v>
      </c>
      <c r="AK28" s="913">
        <v>53.16</v>
      </c>
      <c r="AL28" s="913">
        <v>53.504999999999995</v>
      </c>
      <c r="AM28" s="913">
        <v>53.814999999999998</v>
      </c>
      <c r="AN28" s="913">
        <v>54.03</v>
      </c>
      <c r="AO28" s="913">
        <v>54.19</v>
      </c>
      <c r="AP28" s="913">
        <v>54.375</v>
      </c>
      <c r="AQ28" s="913">
        <v>54.5</v>
      </c>
      <c r="AR28" s="913">
        <v>54.68</v>
      </c>
      <c r="AS28" s="913">
        <v>54.730000000000004</v>
      </c>
      <c r="AT28" s="913">
        <v>54.79</v>
      </c>
      <c r="AU28" s="913">
        <v>54.885000000000005</v>
      </c>
      <c r="AV28" s="913">
        <v>54.989999999999995</v>
      </c>
      <c r="AW28" s="913">
        <v>55.274999999999999</v>
      </c>
      <c r="AX28" s="913">
        <v>55.405000000000001</v>
      </c>
      <c r="AY28" s="913">
        <v>55.53</v>
      </c>
      <c r="AZ28" s="913">
        <v>55.614999999999995</v>
      </c>
      <c r="BA28" s="913">
        <v>55.739999999999995</v>
      </c>
      <c r="BB28" s="913">
        <v>55.875</v>
      </c>
      <c r="BC28" s="913">
        <v>56.01</v>
      </c>
      <c r="BD28" s="913">
        <v>56.16</v>
      </c>
      <c r="BE28" s="913">
        <v>56.32</v>
      </c>
      <c r="BF28" s="913">
        <v>56.510000000000005</v>
      </c>
      <c r="BG28" s="913">
        <v>56.68</v>
      </c>
      <c r="BH28" s="913">
        <v>56.914999999999999</v>
      </c>
      <c r="BI28" s="913">
        <v>57.075000000000003</v>
      </c>
      <c r="BJ28" s="913">
        <v>57.29</v>
      </c>
      <c r="BK28" s="913">
        <v>57.47</v>
      </c>
      <c r="BL28" s="913">
        <v>57.704999999999998</v>
      </c>
      <c r="BM28" s="913">
        <v>57.924999999999997</v>
      </c>
      <c r="BN28" s="913">
        <v>58.129999999999995</v>
      </c>
      <c r="BO28" s="913">
        <v>58.314999999999998</v>
      </c>
      <c r="BP28" s="913">
        <v>58.515000000000001</v>
      </c>
      <c r="BQ28" s="913">
        <v>58.7</v>
      </c>
      <c r="BR28" s="913">
        <v>58.879999999999995</v>
      </c>
      <c r="BS28" s="913">
        <v>59.055</v>
      </c>
      <c r="BT28" s="914">
        <v>59.230000000000004</v>
      </c>
      <c r="BU28" s="913">
        <v>59.375</v>
      </c>
      <c r="BV28" s="913">
        <v>59.545000000000002</v>
      </c>
      <c r="BW28" s="913">
        <v>59.72</v>
      </c>
      <c r="BX28" s="913">
        <v>59.875</v>
      </c>
      <c r="BY28" s="913">
        <v>60.025000000000006</v>
      </c>
      <c r="BZ28" s="913">
        <v>60.18</v>
      </c>
      <c r="CA28" s="913">
        <v>60.33</v>
      </c>
      <c r="CB28" s="913">
        <v>60.475000000000001</v>
      </c>
      <c r="CC28" s="913">
        <v>60.625</v>
      </c>
      <c r="CD28" s="913">
        <v>60.774999999999999</v>
      </c>
      <c r="CE28" s="913">
        <v>60.93</v>
      </c>
      <c r="CF28" s="913">
        <v>61.075000000000003</v>
      </c>
      <c r="CG28" s="913">
        <v>61.22</v>
      </c>
      <c r="CH28" s="913">
        <v>61.375</v>
      </c>
      <c r="CI28" s="913">
        <v>61.53</v>
      </c>
      <c r="CJ28" s="913">
        <v>61.674999999999997</v>
      </c>
      <c r="CK28" s="913">
        <v>61.825000000000003</v>
      </c>
      <c r="CL28" s="913">
        <v>61.975000000000001</v>
      </c>
      <c r="CM28" s="913">
        <v>62.125</v>
      </c>
      <c r="CN28" s="913">
        <v>62.265000000000001</v>
      </c>
      <c r="CO28" s="913">
        <v>62.41</v>
      </c>
      <c r="CP28" s="913">
        <v>62.555</v>
      </c>
      <c r="CQ28" s="913">
        <v>62.695</v>
      </c>
      <c r="CR28" s="913">
        <v>62.835000000000008</v>
      </c>
      <c r="CS28" s="913">
        <v>62.97</v>
      </c>
      <c r="CT28" s="913">
        <v>63.11</v>
      </c>
      <c r="CU28" s="913">
        <v>63.245000000000005</v>
      </c>
      <c r="CV28" s="913">
        <v>63.384999999999998</v>
      </c>
      <c r="CW28" s="913">
        <v>63.519999999999996</v>
      </c>
      <c r="CX28" s="913">
        <v>63.65</v>
      </c>
      <c r="CY28" s="913">
        <v>63.785000000000004</v>
      </c>
      <c r="CZ28" s="913">
        <v>63.915000000000006</v>
      </c>
      <c r="DA28" s="913">
        <v>64.040000000000006</v>
      </c>
      <c r="DB28" s="913">
        <v>64.174999999999997</v>
      </c>
      <c r="DC28" s="913">
        <v>64.3</v>
      </c>
      <c r="DD28" s="913">
        <v>64.429999999999993</v>
      </c>
      <c r="DE28" s="913">
        <v>64.555000000000007</v>
      </c>
      <c r="DF28" s="913">
        <v>64.680000000000007</v>
      </c>
      <c r="DG28" s="913">
        <v>64.8</v>
      </c>
      <c r="DH28" s="913">
        <v>64.924999999999997</v>
      </c>
      <c r="DI28" s="913">
        <v>65.045000000000002</v>
      </c>
      <c r="DJ28" s="913">
        <v>65.164999999999992</v>
      </c>
      <c r="DK28" s="913">
        <v>65.284999999999997</v>
      </c>
      <c r="DL28" s="913">
        <v>65.405000000000001</v>
      </c>
      <c r="DM28" s="913">
        <v>65.52</v>
      </c>
      <c r="DN28" s="913">
        <v>65.64</v>
      </c>
      <c r="DO28" s="913">
        <v>65.754999999999995</v>
      </c>
      <c r="DP28" s="913">
        <v>65.87</v>
      </c>
      <c r="DQ28" s="913">
        <v>65.974999999999994</v>
      </c>
      <c r="DR28" s="913">
        <v>66.09</v>
      </c>
    </row>
    <row r="29" spans="1:122" s="127" customFormat="1" ht="12.75">
      <c r="A29" s="917">
        <v>27</v>
      </c>
      <c r="B29" s="913">
        <v>44.711915346673109</v>
      </c>
      <c r="C29" s="913">
        <v>44.823151915587061</v>
      </c>
      <c r="D29" s="913">
        <v>45.03133495520197</v>
      </c>
      <c r="E29" s="913">
        <v>45.229070411629067</v>
      </c>
      <c r="F29" s="913">
        <v>45.485652437280365</v>
      </c>
      <c r="G29" s="913">
        <v>45.683948719250637</v>
      </c>
      <c r="H29" s="913">
        <v>45.848262275172019</v>
      </c>
      <c r="I29" s="913">
        <v>46.100275051847319</v>
      </c>
      <c r="J29" s="913">
        <v>46.301942466832131</v>
      </c>
      <c r="K29" s="913">
        <v>46.565705208177611</v>
      </c>
      <c r="L29" s="913">
        <v>46.84733827649611</v>
      </c>
      <c r="M29" s="913">
        <v>47.079523530770508</v>
      </c>
      <c r="N29" s="913">
        <v>47.333670758934133</v>
      </c>
      <c r="O29" s="913">
        <v>47.518634069171121</v>
      </c>
      <c r="P29" s="913">
        <v>47.802348335200747</v>
      </c>
      <c r="Q29" s="913">
        <v>47.932630792116882</v>
      </c>
      <c r="R29" s="913">
        <v>48.120662354470092</v>
      </c>
      <c r="S29" s="913">
        <v>48.26875294882548</v>
      </c>
      <c r="T29" s="913">
        <v>48.293354879518532</v>
      </c>
      <c r="U29" s="913">
        <v>48.645458469308267</v>
      </c>
      <c r="V29" s="913">
        <v>48.980000000000004</v>
      </c>
      <c r="W29" s="913">
        <v>49.3</v>
      </c>
      <c r="X29" s="913">
        <v>49.58</v>
      </c>
      <c r="Y29" s="913">
        <v>49.734999999999999</v>
      </c>
      <c r="Z29" s="913">
        <v>49.99</v>
      </c>
      <c r="AA29" s="913">
        <v>50.194999999999993</v>
      </c>
      <c r="AB29" s="913">
        <v>50.385000000000005</v>
      </c>
      <c r="AC29" s="913">
        <v>50.515000000000001</v>
      </c>
      <c r="AD29" s="913">
        <v>50.55</v>
      </c>
      <c r="AE29" s="913">
        <v>50.7</v>
      </c>
      <c r="AF29" s="913">
        <v>50.92</v>
      </c>
      <c r="AG29" s="913">
        <v>51.14</v>
      </c>
      <c r="AH29" s="913">
        <v>51.384999999999998</v>
      </c>
      <c r="AI29" s="913">
        <v>51.629999999999995</v>
      </c>
      <c r="AJ29" s="913">
        <v>51.935000000000002</v>
      </c>
      <c r="AK29" s="913">
        <v>52.225000000000001</v>
      </c>
      <c r="AL29" s="913">
        <v>52.56</v>
      </c>
      <c r="AM29" s="913">
        <v>52.870000000000005</v>
      </c>
      <c r="AN29" s="913">
        <v>53.09</v>
      </c>
      <c r="AO29" s="913">
        <v>53.25</v>
      </c>
      <c r="AP29" s="913">
        <v>53.435000000000002</v>
      </c>
      <c r="AQ29" s="913">
        <v>53.555</v>
      </c>
      <c r="AR29" s="913">
        <v>53.734999999999999</v>
      </c>
      <c r="AS29" s="913">
        <v>53.79</v>
      </c>
      <c r="AT29" s="913">
        <v>53.85</v>
      </c>
      <c r="AU29" s="913">
        <v>53.95</v>
      </c>
      <c r="AV29" s="913">
        <v>54.05</v>
      </c>
      <c r="AW29" s="913">
        <v>54.325000000000003</v>
      </c>
      <c r="AX29" s="913">
        <v>54.454999999999998</v>
      </c>
      <c r="AY29" s="913">
        <v>54.575000000000003</v>
      </c>
      <c r="AZ29" s="913">
        <v>54.674999999999997</v>
      </c>
      <c r="BA29" s="913">
        <v>54.79</v>
      </c>
      <c r="BB29" s="913">
        <v>54.924999999999997</v>
      </c>
      <c r="BC29" s="913">
        <v>55.055</v>
      </c>
      <c r="BD29" s="913">
        <v>55.215000000000003</v>
      </c>
      <c r="BE29" s="913">
        <v>55.37</v>
      </c>
      <c r="BF29" s="913">
        <v>55.56</v>
      </c>
      <c r="BG29" s="913">
        <v>55.72</v>
      </c>
      <c r="BH29" s="913">
        <v>55.96</v>
      </c>
      <c r="BI29" s="913">
        <v>56.114999999999995</v>
      </c>
      <c r="BJ29" s="913">
        <v>56.33</v>
      </c>
      <c r="BK29" s="913">
        <v>56.51</v>
      </c>
      <c r="BL29" s="913">
        <v>56.74</v>
      </c>
      <c r="BM29" s="913">
        <v>56.96</v>
      </c>
      <c r="BN29" s="913">
        <v>57.17</v>
      </c>
      <c r="BO29" s="913">
        <v>57.355000000000004</v>
      </c>
      <c r="BP29" s="913">
        <v>57.55</v>
      </c>
      <c r="BQ29" s="913">
        <v>57.739999999999995</v>
      </c>
      <c r="BR29" s="913">
        <v>57.914999999999999</v>
      </c>
      <c r="BS29" s="913">
        <v>58.09</v>
      </c>
      <c r="BT29" s="914">
        <v>58.265000000000001</v>
      </c>
      <c r="BU29" s="913">
        <v>58.41</v>
      </c>
      <c r="BV29" s="913">
        <v>58.58</v>
      </c>
      <c r="BW29" s="913">
        <v>58.744999999999997</v>
      </c>
      <c r="BX29" s="913">
        <v>58.905000000000001</v>
      </c>
      <c r="BY29" s="913">
        <v>59.05</v>
      </c>
      <c r="BZ29" s="913">
        <v>59.21</v>
      </c>
      <c r="CA29" s="913">
        <v>59.36</v>
      </c>
      <c r="CB29" s="913">
        <v>59.5</v>
      </c>
      <c r="CC29" s="913">
        <v>59.655000000000001</v>
      </c>
      <c r="CD29" s="913">
        <v>59.805</v>
      </c>
      <c r="CE29" s="913">
        <v>59.954999999999998</v>
      </c>
      <c r="CF29" s="913">
        <v>60.1</v>
      </c>
      <c r="CG29" s="913">
        <v>60.245000000000005</v>
      </c>
      <c r="CH29" s="913">
        <v>60.394999999999996</v>
      </c>
      <c r="CI29" s="913">
        <v>60.555</v>
      </c>
      <c r="CJ29" s="913">
        <v>60.695</v>
      </c>
      <c r="CK29" s="913">
        <v>60.844999999999999</v>
      </c>
      <c r="CL29" s="913">
        <v>60.994999999999997</v>
      </c>
      <c r="CM29" s="913">
        <v>61.14</v>
      </c>
      <c r="CN29" s="913">
        <v>61.284999999999997</v>
      </c>
      <c r="CO29" s="913">
        <v>61.43</v>
      </c>
      <c r="CP29" s="913">
        <v>61.575000000000003</v>
      </c>
      <c r="CQ29" s="913">
        <v>61.71</v>
      </c>
      <c r="CR29" s="913">
        <v>61.849999999999994</v>
      </c>
      <c r="CS29" s="913">
        <v>61.99</v>
      </c>
      <c r="CT29" s="913">
        <v>62.125</v>
      </c>
      <c r="CU29" s="913">
        <v>62.265000000000001</v>
      </c>
      <c r="CV29" s="913">
        <v>62.400000000000006</v>
      </c>
      <c r="CW29" s="913">
        <v>62.535000000000004</v>
      </c>
      <c r="CX29" s="913">
        <v>62.665000000000006</v>
      </c>
      <c r="CY29" s="913">
        <v>62.8</v>
      </c>
      <c r="CZ29" s="913">
        <v>62.929999999999993</v>
      </c>
      <c r="DA29" s="913">
        <v>63.054999999999993</v>
      </c>
      <c r="DB29" s="913">
        <v>63.185000000000002</v>
      </c>
      <c r="DC29" s="913">
        <v>63.314999999999998</v>
      </c>
      <c r="DD29" s="913">
        <v>63.445</v>
      </c>
      <c r="DE29" s="913">
        <v>63.565000000000005</v>
      </c>
      <c r="DF29" s="913">
        <v>63.690000000000005</v>
      </c>
      <c r="DG29" s="913">
        <v>63.814999999999998</v>
      </c>
      <c r="DH29" s="913">
        <v>63.94</v>
      </c>
      <c r="DI29" s="913">
        <v>64.055000000000007</v>
      </c>
      <c r="DJ29" s="913">
        <v>64.180000000000007</v>
      </c>
      <c r="DK29" s="913">
        <v>64.295000000000002</v>
      </c>
      <c r="DL29" s="913">
        <v>64.414999999999992</v>
      </c>
      <c r="DM29" s="913">
        <v>64.53</v>
      </c>
      <c r="DN29" s="913">
        <v>64.64500000000001</v>
      </c>
      <c r="DO29" s="913">
        <v>64.759999999999991</v>
      </c>
      <c r="DP29" s="913">
        <v>64.875</v>
      </c>
      <c r="DQ29" s="913">
        <v>64.990000000000009</v>
      </c>
      <c r="DR29" s="913">
        <v>65.099999999999994</v>
      </c>
    </row>
    <row r="30" spans="1:122" s="127" customFormat="1" ht="12.75">
      <c r="A30" s="917">
        <v>28</v>
      </c>
      <c r="B30" s="913">
        <v>43.879714167586414</v>
      </c>
      <c r="C30" s="913">
        <v>43.986920837761673</v>
      </c>
      <c r="D30" s="913">
        <v>44.202710064308633</v>
      </c>
      <c r="E30" s="913">
        <v>44.380867212443633</v>
      </c>
      <c r="F30" s="913">
        <v>44.629564031975733</v>
      </c>
      <c r="G30" s="913">
        <v>44.818693305190408</v>
      </c>
      <c r="H30" s="913">
        <v>44.983492394751082</v>
      </c>
      <c r="I30" s="913">
        <v>45.236253961800941</v>
      </c>
      <c r="J30" s="913">
        <v>45.439262926300231</v>
      </c>
      <c r="K30" s="913">
        <v>45.703523881754116</v>
      </c>
      <c r="L30" s="913">
        <v>45.985999676009442</v>
      </c>
      <c r="M30" s="913">
        <v>46.216105771148449</v>
      </c>
      <c r="N30" s="913">
        <v>46.466599189299849</v>
      </c>
      <c r="O30" s="913">
        <v>46.652092042645272</v>
      </c>
      <c r="P30" s="913">
        <v>46.936616523984682</v>
      </c>
      <c r="Q30" s="913">
        <v>47.067272699630742</v>
      </c>
      <c r="R30" s="913">
        <v>47.269396313472114</v>
      </c>
      <c r="S30" s="913">
        <v>47.4383602789447</v>
      </c>
      <c r="T30" s="913">
        <v>47.510786445524374</v>
      </c>
      <c r="U30" s="913">
        <v>47.810841492411157</v>
      </c>
      <c r="V30" s="913">
        <v>48.144999999999996</v>
      </c>
      <c r="W30" s="913">
        <v>48.43</v>
      </c>
      <c r="X30" s="913">
        <v>48.67</v>
      </c>
      <c r="Y30" s="913">
        <v>48.825000000000003</v>
      </c>
      <c r="Z30" s="913">
        <v>49.085000000000001</v>
      </c>
      <c r="AA30" s="913">
        <v>49.269999999999996</v>
      </c>
      <c r="AB30" s="913">
        <v>49.454999999999998</v>
      </c>
      <c r="AC30" s="913">
        <v>49.58</v>
      </c>
      <c r="AD30" s="913">
        <v>49.615000000000002</v>
      </c>
      <c r="AE30" s="913">
        <v>49.769999999999996</v>
      </c>
      <c r="AF30" s="913">
        <v>49.984999999999999</v>
      </c>
      <c r="AG30" s="913">
        <v>50.204999999999998</v>
      </c>
      <c r="AH30" s="913">
        <v>50.454999999999998</v>
      </c>
      <c r="AI30" s="913">
        <v>50.69</v>
      </c>
      <c r="AJ30" s="913">
        <v>51</v>
      </c>
      <c r="AK30" s="913">
        <v>51.284999999999997</v>
      </c>
      <c r="AL30" s="913">
        <v>51.62</v>
      </c>
      <c r="AM30" s="913">
        <v>51.93</v>
      </c>
      <c r="AN30" s="913">
        <v>52.144999999999996</v>
      </c>
      <c r="AO30" s="913">
        <v>52.31</v>
      </c>
      <c r="AP30" s="913">
        <v>52.49</v>
      </c>
      <c r="AQ30" s="913">
        <v>52.614999999999995</v>
      </c>
      <c r="AR30" s="913">
        <v>52.795000000000002</v>
      </c>
      <c r="AS30" s="913">
        <v>52.85</v>
      </c>
      <c r="AT30" s="913">
        <v>52.91</v>
      </c>
      <c r="AU30" s="913">
        <v>53</v>
      </c>
      <c r="AV30" s="913">
        <v>53.105000000000004</v>
      </c>
      <c r="AW30" s="913">
        <v>53.375</v>
      </c>
      <c r="AX30" s="913">
        <v>53.5</v>
      </c>
      <c r="AY30" s="913">
        <v>53.629999999999995</v>
      </c>
      <c r="AZ30" s="913">
        <v>53.730000000000004</v>
      </c>
      <c r="BA30" s="913">
        <v>53.844999999999999</v>
      </c>
      <c r="BB30" s="913">
        <v>53.975000000000001</v>
      </c>
      <c r="BC30" s="913">
        <v>54.105000000000004</v>
      </c>
      <c r="BD30" s="913">
        <v>54.260000000000005</v>
      </c>
      <c r="BE30" s="913">
        <v>54.42</v>
      </c>
      <c r="BF30" s="913">
        <v>54.604999999999997</v>
      </c>
      <c r="BG30" s="913">
        <v>54.765000000000001</v>
      </c>
      <c r="BH30" s="913">
        <v>54.995000000000005</v>
      </c>
      <c r="BI30" s="913">
        <v>55.16</v>
      </c>
      <c r="BJ30" s="913">
        <v>55.370000000000005</v>
      </c>
      <c r="BK30" s="913">
        <v>55.55</v>
      </c>
      <c r="BL30" s="913">
        <v>55.784999999999997</v>
      </c>
      <c r="BM30" s="913">
        <v>56.010000000000005</v>
      </c>
      <c r="BN30" s="913">
        <v>56.21</v>
      </c>
      <c r="BO30" s="913">
        <v>56.400000000000006</v>
      </c>
      <c r="BP30" s="913">
        <v>56.59</v>
      </c>
      <c r="BQ30" s="913">
        <v>56.775000000000006</v>
      </c>
      <c r="BR30" s="913">
        <v>56.95</v>
      </c>
      <c r="BS30" s="913">
        <v>57.125</v>
      </c>
      <c r="BT30" s="914">
        <v>57.3</v>
      </c>
      <c r="BU30" s="913">
        <v>57.44</v>
      </c>
      <c r="BV30" s="913">
        <v>57.615000000000002</v>
      </c>
      <c r="BW30" s="913">
        <v>57.78</v>
      </c>
      <c r="BX30" s="913">
        <v>57.935000000000002</v>
      </c>
      <c r="BY30" s="913">
        <v>58.08</v>
      </c>
      <c r="BZ30" s="913">
        <v>58.234999999999999</v>
      </c>
      <c r="CA30" s="913">
        <v>58.385000000000005</v>
      </c>
      <c r="CB30" s="913">
        <v>58.525000000000006</v>
      </c>
      <c r="CC30" s="913">
        <v>58.68</v>
      </c>
      <c r="CD30" s="913">
        <v>58.825000000000003</v>
      </c>
      <c r="CE30" s="913">
        <v>58.980000000000004</v>
      </c>
      <c r="CF30" s="913">
        <v>59.125</v>
      </c>
      <c r="CG30" s="913">
        <v>59.275000000000006</v>
      </c>
      <c r="CH30" s="913">
        <v>59.424999999999997</v>
      </c>
      <c r="CI30" s="913">
        <v>59.575000000000003</v>
      </c>
      <c r="CJ30" s="913">
        <v>59.715000000000003</v>
      </c>
      <c r="CK30" s="913">
        <v>59.87</v>
      </c>
      <c r="CL30" s="913">
        <v>60.019999999999996</v>
      </c>
      <c r="CM30" s="913">
        <v>60.16</v>
      </c>
      <c r="CN30" s="913">
        <v>60.305</v>
      </c>
      <c r="CO30" s="913">
        <v>60.445</v>
      </c>
      <c r="CP30" s="913">
        <v>60.59</v>
      </c>
      <c r="CQ30" s="913">
        <v>60.730000000000004</v>
      </c>
      <c r="CR30" s="913">
        <v>60.870000000000005</v>
      </c>
      <c r="CS30" s="913">
        <v>61.004999999999995</v>
      </c>
      <c r="CT30" s="913">
        <v>61.144999999999996</v>
      </c>
      <c r="CU30" s="913">
        <v>61.28</v>
      </c>
      <c r="CV30" s="913">
        <v>61.414999999999999</v>
      </c>
      <c r="CW30" s="913">
        <v>61.55</v>
      </c>
      <c r="CX30" s="913">
        <v>61.68</v>
      </c>
      <c r="CY30" s="913">
        <v>61.814999999999998</v>
      </c>
      <c r="CZ30" s="913">
        <v>61.945</v>
      </c>
      <c r="DA30" s="913">
        <v>62.07</v>
      </c>
      <c r="DB30" s="913">
        <v>62.2</v>
      </c>
      <c r="DC30" s="913">
        <v>62.325000000000003</v>
      </c>
      <c r="DD30" s="913">
        <v>62.45</v>
      </c>
      <c r="DE30" s="913">
        <v>62.58</v>
      </c>
      <c r="DF30" s="913">
        <v>62.704999999999998</v>
      </c>
      <c r="DG30" s="913">
        <v>62.825000000000003</v>
      </c>
      <c r="DH30" s="913">
        <v>62.945000000000007</v>
      </c>
      <c r="DI30" s="913">
        <v>63.070000000000007</v>
      </c>
      <c r="DJ30" s="913">
        <v>63.185000000000002</v>
      </c>
      <c r="DK30" s="913">
        <v>63.31</v>
      </c>
      <c r="DL30" s="913">
        <v>63.425000000000004</v>
      </c>
      <c r="DM30" s="913">
        <v>63.54</v>
      </c>
      <c r="DN30" s="913">
        <v>63.655000000000001</v>
      </c>
      <c r="DO30" s="913">
        <v>63.77</v>
      </c>
      <c r="DP30" s="913">
        <v>63.884999999999998</v>
      </c>
      <c r="DQ30" s="913">
        <v>64</v>
      </c>
      <c r="DR30" s="913">
        <v>64.11</v>
      </c>
    </row>
    <row r="31" spans="1:122" s="127" customFormat="1" ht="12.75">
      <c r="A31" s="917">
        <v>29</v>
      </c>
      <c r="B31" s="913">
        <v>43.040341423059019</v>
      </c>
      <c r="C31" s="913">
        <v>43.154662557117177</v>
      </c>
      <c r="D31" s="913">
        <v>43.353017548440995</v>
      </c>
      <c r="E31" s="913">
        <v>43.523135321109123</v>
      </c>
      <c r="F31" s="913">
        <v>43.762937471768204</v>
      </c>
      <c r="G31" s="913">
        <v>43.952634757299961</v>
      </c>
      <c r="H31" s="913">
        <v>44.117927448280682</v>
      </c>
      <c r="I31" s="913">
        <v>44.373443194006981</v>
      </c>
      <c r="J31" s="913">
        <v>44.5759016442681</v>
      </c>
      <c r="K31" s="913">
        <v>44.84057520384286</v>
      </c>
      <c r="L31" s="913">
        <v>45.121145514279725</v>
      </c>
      <c r="M31" s="913">
        <v>45.347595418484417</v>
      </c>
      <c r="N31" s="913">
        <v>45.598810718024119</v>
      </c>
      <c r="O31" s="913">
        <v>45.784841768627018</v>
      </c>
      <c r="P31" s="913">
        <v>46.070189711928911</v>
      </c>
      <c r="Q31" s="913">
        <v>46.214663736819887</v>
      </c>
      <c r="R31" s="913">
        <v>46.43768469038752</v>
      </c>
      <c r="S31" s="913">
        <v>46.654759140914308</v>
      </c>
      <c r="T31" s="913">
        <v>46.674430170583804</v>
      </c>
      <c r="U31" s="913">
        <v>46.975555652718199</v>
      </c>
      <c r="V31" s="913">
        <v>47.274999999999999</v>
      </c>
      <c r="W31" s="913">
        <v>47.519999999999996</v>
      </c>
      <c r="X31" s="913">
        <v>47.76</v>
      </c>
      <c r="Y31" s="913">
        <v>47.915000000000006</v>
      </c>
      <c r="Z31" s="913">
        <v>48.155000000000001</v>
      </c>
      <c r="AA31" s="913">
        <v>48.34</v>
      </c>
      <c r="AB31" s="913">
        <v>48.524999999999999</v>
      </c>
      <c r="AC31" s="913">
        <v>48.65</v>
      </c>
      <c r="AD31" s="913">
        <v>48.685000000000002</v>
      </c>
      <c r="AE31" s="913">
        <v>48.84</v>
      </c>
      <c r="AF31" s="913">
        <v>49.05</v>
      </c>
      <c r="AG31" s="913">
        <v>49.274999999999999</v>
      </c>
      <c r="AH31" s="913">
        <v>49.525000000000006</v>
      </c>
      <c r="AI31" s="913">
        <v>49.755000000000003</v>
      </c>
      <c r="AJ31" s="913">
        <v>50.055</v>
      </c>
      <c r="AK31" s="913">
        <v>50.34</v>
      </c>
      <c r="AL31" s="913">
        <v>50.674999999999997</v>
      </c>
      <c r="AM31" s="913">
        <v>50.984999999999999</v>
      </c>
      <c r="AN31" s="913">
        <v>51.204999999999998</v>
      </c>
      <c r="AO31" s="913">
        <v>51.370000000000005</v>
      </c>
      <c r="AP31" s="913">
        <v>51.540000000000006</v>
      </c>
      <c r="AQ31" s="913">
        <v>51.67</v>
      </c>
      <c r="AR31" s="913">
        <v>51.849999999999994</v>
      </c>
      <c r="AS31" s="913">
        <v>51.900000000000006</v>
      </c>
      <c r="AT31" s="913">
        <v>51.965000000000003</v>
      </c>
      <c r="AU31" s="913">
        <v>52.06</v>
      </c>
      <c r="AV31" s="913">
        <v>52.155000000000001</v>
      </c>
      <c r="AW31" s="913">
        <v>52.43</v>
      </c>
      <c r="AX31" s="913">
        <v>52.55</v>
      </c>
      <c r="AY31" s="913">
        <v>52.68</v>
      </c>
      <c r="AZ31" s="913">
        <v>52.78</v>
      </c>
      <c r="BA31" s="913">
        <v>52.894999999999996</v>
      </c>
      <c r="BB31" s="913">
        <v>53.03</v>
      </c>
      <c r="BC31" s="913">
        <v>53.155000000000001</v>
      </c>
      <c r="BD31" s="913">
        <v>53.31</v>
      </c>
      <c r="BE31" s="913">
        <v>53.465000000000003</v>
      </c>
      <c r="BF31" s="913">
        <v>53.65</v>
      </c>
      <c r="BG31" s="913">
        <v>53.81</v>
      </c>
      <c r="BH31" s="913">
        <v>54.04</v>
      </c>
      <c r="BI31" s="913">
        <v>54.2</v>
      </c>
      <c r="BJ31" s="913">
        <v>54.41</v>
      </c>
      <c r="BK31" s="913">
        <v>54.59</v>
      </c>
      <c r="BL31" s="913">
        <v>54.825000000000003</v>
      </c>
      <c r="BM31" s="913">
        <v>55.055000000000007</v>
      </c>
      <c r="BN31" s="913">
        <v>55.254999999999995</v>
      </c>
      <c r="BO31" s="913">
        <v>55.435000000000002</v>
      </c>
      <c r="BP31" s="913">
        <v>55.635000000000005</v>
      </c>
      <c r="BQ31" s="913">
        <v>55.814999999999998</v>
      </c>
      <c r="BR31" s="913">
        <v>55.989999999999995</v>
      </c>
      <c r="BS31" s="913">
        <v>56.164999999999999</v>
      </c>
      <c r="BT31" s="914">
        <v>56.335000000000001</v>
      </c>
      <c r="BU31" s="913">
        <v>56.475000000000001</v>
      </c>
      <c r="BV31" s="913">
        <v>56.644999999999996</v>
      </c>
      <c r="BW31" s="913">
        <v>56.81</v>
      </c>
      <c r="BX31" s="913">
        <v>56.965000000000003</v>
      </c>
      <c r="BY31" s="913">
        <v>57.114999999999995</v>
      </c>
      <c r="BZ31" s="913">
        <v>57.265000000000001</v>
      </c>
      <c r="CA31" s="913">
        <v>57.41</v>
      </c>
      <c r="CB31" s="913">
        <v>57.55</v>
      </c>
      <c r="CC31" s="913">
        <v>57.704999999999998</v>
      </c>
      <c r="CD31" s="913">
        <v>57.855000000000004</v>
      </c>
      <c r="CE31" s="913">
        <v>58.004999999999995</v>
      </c>
      <c r="CF31" s="913">
        <v>58.155000000000001</v>
      </c>
      <c r="CG31" s="913">
        <v>58.3</v>
      </c>
      <c r="CH31" s="913">
        <v>58.445</v>
      </c>
      <c r="CI31" s="913">
        <v>58.6</v>
      </c>
      <c r="CJ31" s="913">
        <v>58.74</v>
      </c>
      <c r="CK31" s="913">
        <v>58.89</v>
      </c>
      <c r="CL31" s="913">
        <v>59.034999999999997</v>
      </c>
      <c r="CM31" s="913">
        <v>59.185000000000002</v>
      </c>
      <c r="CN31" s="913">
        <v>59.325000000000003</v>
      </c>
      <c r="CO31" s="913">
        <v>59.47</v>
      </c>
      <c r="CP31" s="913">
        <v>59.61</v>
      </c>
      <c r="CQ31" s="913">
        <v>59.745000000000005</v>
      </c>
      <c r="CR31" s="913">
        <v>59.89</v>
      </c>
      <c r="CS31" s="913">
        <v>60.03</v>
      </c>
      <c r="CT31" s="913">
        <v>60.164999999999999</v>
      </c>
      <c r="CU31" s="913">
        <v>60.295000000000002</v>
      </c>
      <c r="CV31" s="913">
        <v>60.43</v>
      </c>
      <c r="CW31" s="913">
        <v>60.564999999999998</v>
      </c>
      <c r="CX31" s="913">
        <v>60.695</v>
      </c>
      <c r="CY31" s="913">
        <v>60.83</v>
      </c>
      <c r="CZ31" s="913">
        <v>60.96</v>
      </c>
      <c r="DA31" s="913">
        <v>61.084999999999994</v>
      </c>
      <c r="DB31" s="913">
        <v>61.215000000000003</v>
      </c>
      <c r="DC31" s="913">
        <v>61.34</v>
      </c>
      <c r="DD31" s="913">
        <v>61.465000000000003</v>
      </c>
      <c r="DE31" s="913">
        <v>61.59</v>
      </c>
      <c r="DF31" s="913">
        <v>61.715000000000003</v>
      </c>
      <c r="DG31" s="913">
        <v>61.84</v>
      </c>
      <c r="DH31" s="913">
        <v>61.96</v>
      </c>
      <c r="DI31" s="913">
        <v>62.08</v>
      </c>
      <c r="DJ31" s="913">
        <v>62.2</v>
      </c>
      <c r="DK31" s="913">
        <v>62.314999999999998</v>
      </c>
      <c r="DL31" s="913">
        <v>62.44</v>
      </c>
      <c r="DM31" s="913">
        <v>62.555000000000007</v>
      </c>
      <c r="DN31" s="913">
        <v>62.67</v>
      </c>
      <c r="DO31" s="913">
        <v>62.784999999999997</v>
      </c>
      <c r="DP31" s="913">
        <v>62.900000000000006</v>
      </c>
      <c r="DQ31" s="913">
        <v>63.005000000000003</v>
      </c>
      <c r="DR31" s="913">
        <v>63.120000000000005</v>
      </c>
    </row>
    <row r="32" spans="1:122" s="127" customFormat="1" ht="12.75">
      <c r="A32" s="917">
        <v>30</v>
      </c>
      <c r="B32" s="913">
        <v>42.20551382191784</v>
      </c>
      <c r="C32" s="913">
        <v>42.303562429824133</v>
      </c>
      <c r="D32" s="913">
        <v>42.494047621010537</v>
      </c>
      <c r="E32" s="913">
        <v>42.655121351656703</v>
      </c>
      <c r="F32" s="913">
        <v>42.895657794249885</v>
      </c>
      <c r="G32" s="913">
        <v>43.085933610998936</v>
      </c>
      <c r="H32" s="913">
        <v>43.254907145034807</v>
      </c>
      <c r="I32" s="913">
        <v>43.509215884414758</v>
      </c>
      <c r="J32" s="913">
        <v>43.711529402657355</v>
      </c>
      <c r="K32" s="913">
        <v>43.974261615010775</v>
      </c>
      <c r="L32" s="913">
        <v>44.25138989599526</v>
      </c>
      <c r="M32" s="913">
        <v>44.478505241569593</v>
      </c>
      <c r="N32" s="913">
        <v>44.730455322976269</v>
      </c>
      <c r="O32" s="913">
        <v>44.91703410774231</v>
      </c>
      <c r="P32" s="913">
        <v>45.216566237803477</v>
      </c>
      <c r="Q32" s="913">
        <v>45.381607101722523</v>
      </c>
      <c r="R32" s="913">
        <v>45.65263486006765</v>
      </c>
      <c r="S32" s="913">
        <v>45.816767988676844</v>
      </c>
      <c r="T32" s="913">
        <v>45.836537289569634</v>
      </c>
      <c r="U32" s="913">
        <v>46.100061527783232</v>
      </c>
      <c r="V32" s="913">
        <v>46.36</v>
      </c>
      <c r="W32" s="913">
        <v>46.61</v>
      </c>
      <c r="X32" s="913">
        <v>46.844999999999999</v>
      </c>
      <c r="Y32" s="913">
        <v>46.984999999999999</v>
      </c>
      <c r="Z32" s="913">
        <v>47.224999999999994</v>
      </c>
      <c r="AA32" s="913">
        <v>47.41</v>
      </c>
      <c r="AB32" s="913">
        <v>47.6</v>
      </c>
      <c r="AC32" s="913">
        <v>47.715000000000003</v>
      </c>
      <c r="AD32" s="913">
        <v>47.75</v>
      </c>
      <c r="AE32" s="913">
        <v>47.905000000000001</v>
      </c>
      <c r="AF32" s="913">
        <v>48.114999999999995</v>
      </c>
      <c r="AG32" s="913">
        <v>48.34</v>
      </c>
      <c r="AH32" s="913">
        <v>48.59</v>
      </c>
      <c r="AI32" s="913">
        <v>48.814999999999998</v>
      </c>
      <c r="AJ32" s="913">
        <v>49.115000000000002</v>
      </c>
      <c r="AK32" s="913">
        <v>49.4</v>
      </c>
      <c r="AL32" s="913">
        <v>49.734999999999999</v>
      </c>
      <c r="AM32" s="913">
        <v>50.04</v>
      </c>
      <c r="AN32" s="913">
        <v>50.265000000000001</v>
      </c>
      <c r="AO32" s="913">
        <v>50.424999999999997</v>
      </c>
      <c r="AP32" s="913">
        <v>50.6</v>
      </c>
      <c r="AQ32" s="913">
        <v>50.730000000000004</v>
      </c>
      <c r="AR32" s="913">
        <v>50.91</v>
      </c>
      <c r="AS32" s="913">
        <v>50.954999999999998</v>
      </c>
      <c r="AT32" s="913">
        <v>51.015000000000001</v>
      </c>
      <c r="AU32" s="913">
        <v>51.115000000000002</v>
      </c>
      <c r="AV32" s="913">
        <v>51.21</v>
      </c>
      <c r="AW32" s="913">
        <v>51.475000000000001</v>
      </c>
      <c r="AX32" s="913">
        <v>51.605000000000004</v>
      </c>
      <c r="AY32" s="913">
        <v>51.74</v>
      </c>
      <c r="AZ32" s="913">
        <v>51.835000000000001</v>
      </c>
      <c r="BA32" s="913">
        <v>51.945</v>
      </c>
      <c r="BB32" s="913">
        <v>52.075000000000003</v>
      </c>
      <c r="BC32" s="913">
        <v>52.204999999999998</v>
      </c>
      <c r="BD32" s="913">
        <v>52.355000000000004</v>
      </c>
      <c r="BE32" s="913">
        <v>52.515000000000001</v>
      </c>
      <c r="BF32" s="913">
        <v>52.695</v>
      </c>
      <c r="BG32" s="913">
        <v>52.85</v>
      </c>
      <c r="BH32" s="913">
        <v>53.085000000000001</v>
      </c>
      <c r="BI32" s="913">
        <v>53.245000000000005</v>
      </c>
      <c r="BJ32" s="913">
        <v>53.454999999999998</v>
      </c>
      <c r="BK32" s="913">
        <v>53.64</v>
      </c>
      <c r="BL32" s="913">
        <v>53.870000000000005</v>
      </c>
      <c r="BM32" s="913">
        <v>54.094999999999999</v>
      </c>
      <c r="BN32" s="913">
        <v>54.3</v>
      </c>
      <c r="BO32" s="913">
        <v>54.475000000000001</v>
      </c>
      <c r="BP32" s="913">
        <v>54.67</v>
      </c>
      <c r="BQ32" s="913">
        <v>54.85</v>
      </c>
      <c r="BR32" s="913">
        <v>55.025000000000006</v>
      </c>
      <c r="BS32" s="913">
        <v>55.194999999999993</v>
      </c>
      <c r="BT32" s="914">
        <v>55.364999999999995</v>
      </c>
      <c r="BU32" s="913">
        <v>55.504999999999995</v>
      </c>
      <c r="BV32" s="913">
        <v>55.674999999999997</v>
      </c>
      <c r="BW32" s="913">
        <v>55.84</v>
      </c>
      <c r="BX32" s="913">
        <v>55.995000000000005</v>
      </c>
      <c r="BY32" s="913">
        <v>56.134999999999998</v>
      </c>
      <c r="BZ32" s="913">
        <v>56.284999999999997</v>
      </c>
      <c r="CA32" s="913">
        <v>56.435000000000002</v>
      </c>
      <c r="CB32" s="913">
        <v>56.58</v>
      </c>
      <c r="CC32" s="913">
        <v>56.724999999999994</v>
      </c>
      <c r="CD32" s="913">
        <v>56.884999999999998</v>
      </c>
      <c r="CE32" s="913">
        <v>57.03</v>
      </c>
      <c r="CF32" s="913">
        <v>57.174999999999997</v>
      </c>
      <c r="CG32" s="913">
        <v>57.325000000000003</v>
      </c>
      <c r="CH32" s="913">
        <v>57.47</v>
      </c>
      <c r="CI32" s="913">
        <v>57.625</v>
      </c>
      <c r="CJ32" s="913">
        <v>57.769999999999996</v>
      </c>
      <c r="CK32" s="913">
        <v>57.914999999999999</v>
      </c>
      <c r="CL32" s="913">
        <v>58.06</v>
      </c>
      <c r="CM32" s="913">
        <v>58.204999999999998</v>
      </c>
      <c r="CN32" s="913">
        <v>58.35</v>
      </c>
      <c r="CO32" s="913">
        <v>58.484999999999999</v>
      </c>
      <c r="CP32" s="913">
        <v>58.63</v>
      </c>
      <c r="CQ32" s="913">
        <v>58.769999999999996</v>
      </c>
      <c r="CR32" s="913">
        <v>58.91</v>
      </c>
      <c r="CS32" s="913">
        <v>59.045000000000002</v>
      </c>
      <c r="CT32" s="913">
        <v>59.18</v>
      </c>
      <c r="CU32" s="913">
        <v>59.32</v>
      </c>
      <c r="CV32" s="913">
        <v>59.45</v>
      </c>
      <c r="CW32" s="913">
        <v>59.585000000000001</v>
      </c>
      <c r="CX32" s="913">
        <v>59.71</v>
      </c>
      <c r="CY32" s="913">
        <v>59.844999999999999</v>
      </c>
      <c r="CZ32" s="913">
        <v>59.974999999999994</v>
      </c>
      <c r="DA32" s="913">
        <v>60.1</v>
      </c>
      <c r="DB32" s="913">
        <v>60.230000000000004</v>
      </c>
      <c r="DC32" s="913">
        <v>60.355000000000004</v>
      </c>
      <c r="DD32" s="913">
        <v>60.480000000000004</v>
      </c>
      <c r="DE32" s="913">
        <v>60.605000000000004</v>
      </c>
      <c r="DF32" s="913">
        <v>60.730000000000004</v>
      </c>
      <c r="DG32" s="913">
        <v>60.855000000000004</v>
      </c>
      <c r="DH32" s="913">
        <v>60.97</v>
      </c>
      <c r="DI32" s="913">
        <v>61.094999999999999</v>
      </c>
      <c r="DJ32" s="913">
        <v>61.21</v>
      </c>
      <c r="DK32" s="913">
        <v>61.33</v>
      </c>
      <c r="DL32" s="913">
        <v>61.445</v>
      </c>
      <c r="DM32" s="913">
        <v>61.564999999999998</v>
      </c>
      <c r="DN32" s="913">
        <v>61.68</v>
      </c>
      <c r="DO32" s="913">
        <v>61.795000000000002</v>
      </c>
      <c r="DP32" s="913">
        <v>61.905000000000001</v>
      </c>
      <c r="DQ32" s="913">
        <v>62.019999999999996</v>
      </c>
      <c r="DR32" s="913">
        <v>62.129999999999995</v>
      </c>
    </row>
    <row r="33" spans="1:122" s="127" customFormat="1" ht="12.75">
      <c r="A33" s="917">
        <v>31</v>
      </c>
      <c r="B33" s="913">
        <v>41.353936741150449</v>
      </c>
      <c r="C33" s="913">
        <v>41.443811479919589</v>
      </c>
      <c r="D33" s="913">
        <v>41.625381236454004</v>
      </c>
      <c r="E33" s="913">
        <v>41.786956170516156</v>
      </c>
      <c r="F33" s="913">
        <v>42.028243395321439</v>
      </c>
      <c r="G33" s="913">
        <v>42.222817490521692</v>
      </c>
      <c r="H33" s="913">
        <v>42.389529186651501</v>
      </c>
      <c r="I33" s="913">
        <v>42.644143030398439</v>
      </c>
      <c r="J33" s="913">
        <v>42.844352092785201</v>
      </c>
      <c r="K33" s="913">
        <v>43.10362975773603</v>
      </c>
      <c r="L33" s="913">
        <v>43.381583827137263</v>
      </c>
      <c r="M33" s="913">
        <v>43.609379799941109</v>
      </c>
      <c r="N33" s="913">
        <v>43.862081316727227</v>
      </c>
      <c r="O33" s="913">
        <v>44.062482618958597</v>
      </c>
      <c r="P33" s="913">
        <v>44.383045439937391</v>
      </c>
      <c r="Q33" s="913">
        <v>44.595720018766905</v>
      </c>
      <c r="R33" s="913">
        <v>44.810646449561546</v>
      </c>
      <c r="S33" s="913">
        <v>44.975357178870198</v>
      </c>
      <c r="T33" s="913">
        <v>44.957610503051221</v>
      </c>
      <c r="U33" s="913">
        <v>45.188926392065255</v>
      </c>
      <c r="V33" s="913">
        <v>45.45</v>
      </c>
      <c r="W33" s="913">
        <v>45.7</v>
      </c>
      <c r="X33" s="913">
        <v>45.92</v>
      </c>
      <c r="Y33" s="913">
        <v>46.06</v>
      </c>
      <c r="Z33" s="913">
        <v>46.3</v>
      </c>
      <c r="AA33" s="913">
        <v>46.474999999999994</v>
      </c>
      <c r="AB33" s="913">
        <v>46.67</v>
      </c>
      <c r="AC33" s="913">
        <v>46.79</v>
      </c>
      <c r="AD33" s="913">
        <v>46.814999999999998</v>
      </c>
      <c r="AE33" s="913">
        <v>46.97</v>
      </c>
      <c r="AF33" s="913">
        <v>47.18</v>
      </c>
      <c r="AG33" s="913">
        <v>47.405000000000001</v>
      </c>
      <c r="AH33" s="913">
        <v>47.644999999999996</v>
      </c>
      <c r="AI33" s="913">
        <v>47.879999999999995</v>
      </c>
      <c r="AJ33" s="913">
        <v>48.174999999999997</v>
      </c>
      <c r="AK33" s="913">
        <v>48.465000000000003</v>
      </c>
      <c r="AL33" s="913">
        <v>48.79</v>
      </c>
      <c r="AM33" s="913">
        <v>49.104999999999997</v>
      </c>
      <c r="AN33" s="913">
        <v>49.325000000000003</v>
      </c>
      <c r="AO33" s="913">
        <v>49.489999999999995</v>
      </c>
      <c r="AP33" s="913">
        <v>49.664999999999999</v>
      </c>
      <c r="AQ33" s="913">
        <v>49.790000000000006</v>
      </c>
      <c r="AR33" s="913">
        <v>49.965000000000003</v>
      </c>
      <c r="AS33" s="913">
        <v>50.01</v>
      </c>
      <c r="AT33" s="913">
        <v>50.075000000000003</v>
      </c>
      <c r="AU33" s="913">
        <v>50.17</v>
      </c>
      <c r="AV33" s="913">
        <v>50.265000000000001</v>
      </c>
      <c r="AW33" s="913">
        <v>50.534999999999997</v>
      </c>
      <c r="AX33" s="913">
        <v>50.655000000000001</v>
      </c>
      <c r="AY33" s="913">
        <v>50.784999999999997</v>
      </c>
      <c r="AZ33" s="913">
        <v>50.879999999999995</v>
      </c>
      <c r="BA33" s="913">
        <v>50.995000000000005</v>
      </c>
      <c r="BB33" s="913">
        <v>51.125</v>
      </c>
      <c r="BC33" s="913">
        <v>51.25</v>
      </c>
      <c r="BD33" s="913">
        <v>51.4</v>
      </c>
      <c r="BE33" s="913">
        <v>51.56</v>
      </c>
      <c r="BF33" s="913">
        <v>51.74</v>
      </c>
      <c r="BG33" s="913">
        <v>51.894999999999996</v>
      </c>
      <c r="BH33" s="913">
        <v>52.13</v>
      </c>
      <c r="BI33" s="913">
        <v>52.295000000000002</v>
      </c>
      <c r="BJ33" s="913">
        <v>52.504999999999995</v>
      </c>
      <c r="BK33" s="913">
        <v>52.69</v>
      </c>
      <c r="BL33" s="913">
        <v>52.92</v>
      </c>
      <c r="BM33" s="913">
        <v>53.14</v>
      </c>
      <c r="BN33" s="913">
        <v>53.34</v>
      </c>
      <c r="BO33" s="913">
        <v>53.519999999999996</v>
      </c>
      <c r="BP33" s="913">
        <v>53.715000000000003</v>
      </c>
      <c r="BQ33" s="913">
        <v>53.89</v>
      </c>
      <c r="BR33" s="913">
        <v>54.055</v>
      </c>
      <c r="BS33" s="913">
        <v>54.230000000000004</v>
      </c>
      <c r="BT33" s="914">
        <v>54.4</v>
      </c>
      <c r="BU33" s="913">
        <v>54.54</v>
      </c>
      <c r="BV33" s="913">
        <v>54.704999999999998</v>
      </c>
      <c r="BW33" s="913">
        <v>54.865000000000002</v>
      </c>
      <c r="BX33" s="913">
        <v>55.019999999999996</v>
      </c>
      <c r="BY33" s="913">
        <v>55.164999999999999</v>
      </c>
      <c r="BZ33" s="913">
        <v>55.314999999999998</v>
      </c>
      <c r="CA33" s="913">
        <v>55.46</v>
      </c>
      <c r="CB33" s="913">
        <v>55.605000000000004</v>
      </c>
      <c r="CC33" s="913">
        <v>55.754999999999995</v>
      </c>
      <c r="CD33" s="913">
        <v>55.905000000000001</v>
      </c>
      <c r="CE33" s="913">
        <v>56.06</v>
      </c>
      <c r="CF33" s="913">
        <v>56.204999999999998</v>
      </c>
      <c r="CG33" s="913">
        <v>56.344999999999999</v>
      </c>
      <c r="CH33" s="913">
        <v>56.495000000000005</v>
      </c>
      <c r="CI33" s="913">
        <v>56.644999999999996</v>
      </c>
      <c r="CJ33" s="913">
        <v>56.795000000000002</v>
      </c>
      <c r="CK33" s="913">
        <v>56.94</v>
      </c>
      <c r="CL33" s="913">
        <v>57.08</v>
      </c>
      <c r="CM33" s="913">
        <v>57.225000000000001</v>
      </c>
      <c r="CN33" s="913">
        <v>57.364999999999995</v>
      </c>
      <c r="CO33" s="913">
        <v>57.510000000000005</v>
      </c>
      <c r="CP33" s="913">
        <v>57.65</v>
      </c>
      <c r="CQ33" s="913">
        <v>57.79</v>
      </c>
      <c r="CR33" s="913">
        <v>57.924999999999997</v>
      </c>
      <c r="CS33" s="913">
        <v>58.06</v>
      </c>
      <c r="CT33" s="913">
        <v>58.2</v>
      </c>
      <c r="CU33" s="913">
        <v>58.335000000000001</v>
      </c>
      <c r="CV33" s="913">
        <v>58.47</v>
      </c>
      <c r="CW33" s="913">
        <v>58.599999999999994</v>
      </c>
      <c r="CX33" s="913">
        <v>58.734999999999999</v>
      </c>
      <c r="CY33" s="913">
        <v>58.86</v>
      </c>
      <c r="CZ33" s="913">
        <v>58.99</v>
      </c>
      <c r="DA33" s="913">
        <v>59.115000000000002</v>
      </c>
      <c r="DB33" s="913">
        <v>59.25</v>
      </c>
      <c r="DC33" s="913">
        <v>59.375</v>
      </c>
      <c r="DD33" s="913">
        <v>59.495000000000005</v>
      </c>
      <c r="DE33" s="913">
        <v>59.620000000000005</v>
      </c>
      <c r="DF33" s="913">
        <v>59.744999999999997</v>
      </c>
      <c r="DG33" s="913">
        <v>59.87</v>
      </c>
      <c r="DH33" s="913">
        <v>59.984999999999999</v>
      </c>
      <c r="DI33" s="913">
        <v>60.11</v>
      </c>
      <c r="DJ33" s="913">
        <v>60.225000000000001</v>
      </c>
      <c r="DK33" s="913">
        <v>60.34</v>
      </c>
      <c r="DL33" s="913">
        <v>60.46</v>
      </c>
      <c r="DM33" s="913">
        <v>60.575000000000003</v>
      </c>
      <c r="DN33" s="913">
        <v>60.69</v>
      </c>
      <c r="DO33" s="913">
        <v>60.805</v>
      </c>
      <c r="DP33" s="913">
        <v>60.914999999999999</v>
      </c>
      <c r="DQ33" s="913">
        <v>61.03</v>
      </c>
      <c r="DR33" s="913">
        <v>61.134999999999998</v>
      </c>
    </row>
    <row r="34" spans="1:122" s="127" customFormat="1" ht="12.75">
      <c r="A34" s="917">
        <v>32</v>
      </c>
      <c r="B34" s="913">
        <v>40.495376980617458</v>
      </c>
      <c r="C34" s="913">
        <v>40.575948508998025</v>
      </c>
      <c r="D34" s="913">
        <v>40.758103181082404</v>
      </c>
      <c r="E34" s="913">
        <v>40.920196814999265</v>
      </c>
      <c r="F34" s="913">
        <v>41.165691192592121</v>
      </c>
      <c r="G34" s="913">
        <v>41.357320302778362</v>
      </c>
      <c r="H34" s="913">
        <v>41.525144575010245</v>
      </c>
      <c r="I34" s="913">
        <v>41.777838264191288</v>
      </c>
      <c r="J34" s="913">
        <v>41.974380359592445</v>
      </c>
      <c r="K34" s="913">
        <v>42.234457034998449</v>
      </c>
      <c r="L34" s="913">
        <v>42.5132659592905</v>
      </c>
      <c r="M34" s="913">
        <v>42.741766618173415</v>
      </c>
      <c r="N34" s="913">
        <v>43.008607872687918</v>
      </c>
      <c r="O34" s="913">
        <v>43.22984451229749</v>
      </c>
      <c r="P34" s="913">
        <v>43.599090249288238</v>
      </c>
      <c r="Q34" s="913">
        <v>43.749757275871822</v>
      </c>
      <c r="R34" s="913">
        <v>43.965451006478787</v>
      </c>
      <c r="S34" s="913">
        <v>44.093907532092345</v>
      </c>
      <c r="T34" s="913">
        <v>44.047354848753685</v>
      </c>
      <c r="U34" s="913">
        <v>44.279140655962266</v>
      </c>
      <c r="V34" s="913">
        <v>44.54</v>
      </c>
      <c r="W34" s="913">
        <v>44.774999999999999</v>
      </c>
      <c r="X34" s="913">
        <v>44.989999999999995</v>
      </c>
      <c r="Y34" s="913">
        <v>45.129999999999995</v>
      </c>
      <c r="Z34" s="913">
        <v>45.370000000000005</v>
      </c>
      <c r="AA34" s="913">
        <v>45.545000000000002</v>
      </c>
      <c r="AB34" s="913">
        <v>45.734999999999999</v>
      </c>
      <c r="AC34" s="913">
        <v>45.855000000000004</v>
      </c>
      <c r="AD34" s="913">
        <v>45.884999999999998</v>
      </c>
      <c r="AE34" s="913">
        <v>46.040000000000006</v>
      </c>
      <c r="AF34" s="913">
        <v>46.239999999999995</v>
      </c>
      <c r="AG34" s="913">
        <v>46.47</v>
      </c>
      <c r="AH34" s="913">
        <v>46.709999999999994</v>
      </c>
      <c r="AI34" s="913">
        <v>46.94</v>
      </c>
      <c r="AJ34" s="913">
        <v>47.24</v>
      </c>
      <c r="AK34" s="913">
        <v>47.519999999999996</v>
      </c>
      <c r="AL34" s="913">
        <v>47.85</v>
      </c>
      <c r="AM34" s="913">
        <v>48.16</v>
      </c>
      <c r="AN34" s="913">
        <v>48.379999999999995</v>
      </c>
      <c r="AO34" s="913">
        <v>48.545000000000002</v>
      </c>
      <c r="AP34" s="913">
        <v>48.724999999999994</v>
      </c>
      <c r="AQ34" s="913">
        <v>48.85</v>
      </c>
      <c r="AR34" s="913">
        <v>49.025000000000006</v>
      </c>
      <c r="AS34" s="913">
        <v>49.075000000000003</v>
      </c>
      <c r="AT34" s="913">
        <v>49.129999999999995</v>
      </c>
      <c r="AU34" s="913">
        <v>49.23</v>
      </c>
      <c r="AV34" s="913">
        <v>49.325000000000003</v>
      </c>
      <c r="AW34" s="913">
        <v>49.59</v>
      </c>
      <c r="AX34" s="913">
        <v>49.704999999999998</v>
      </c>
      <c r="AY34" s="913">
        <v>49.835000000000001</v>
      </c>
      <c r="AZ34" s="913">
        <v>49.935000000000002</v>
      </c>
      <c r="BA34" s="913">
        <v>50.05</v>
      </c>
      <c r="BB34" s="913">
        <v>50.18</v>
      </c>
      <c r="BC34" s="913">
        <v>50.3</v>
      </c>
      <c r="BD34" s="913">
        <v>50.445</v>
      </c>
      <c r="BE34" s="913">
        <v>50.605000000000004</v>
      </c>
      <c r="BF34" s="913">
        <v>50.784999999999997</v>
      </c>
      <c r="BG34" s="913">
        <v>50.94</v>
      </c>
      <c r="BH34" s="913">
        <v>51.174999999999997</v>
      </c>
      <c r="BI34" s="913">
        <v>51.344999999999999</v>
      </c>
      <c r="BJ34" s="913">
        <v>51.555</v>
      </c>
      <c r="BK34" s="913">
        <v>51.734999999999999</v>
      </c>
      <c r="BL34" s="913">
        <v>51.96</v>
      </c>
      <c r="BM34" s="913">
        <v>52.185000000000002</v>
      </c>
      <c r="BN34" s="913">
        <v>52.384999999999998</v>
      </c>
      <c r="BO34" s="913">
        <v>52.555</v>
      </c>
      <c r="BP34" s="913">
        <v>52.75</v>
      </c>
      <c r="BQ34" s="913">
        <v>52.924999999999997</v>
      </c>
      <c r="BR34" s="913">
        <v>53.094999999999999</v>
      </c>
      <c r="BS34" s="913">
        <v>53.265000000000001</v>
      </c>
      <c r="BT34" s="914">
        <v>53.43</v>
      </c>
      <c r="BU34" s="913">
        <v>53.57</v>
      </c>
      <c r="BV34" s="913">
        <v>53.734999999999999</v>
      </c>
      <c r="BW34" s="913">
        <v>53.9</v>
      </c>
      <c r="BX34" s="913">
        <v>54.045000000000002</v>
      </c>
      <c r="BY34" s="913">
        <v>54.195</v>
      </c>
      <c r="BZ34" s="913">
        <v>54.34</v>
      </c>
      <c r="CA34" s="913">
        <v>54.49</v>
      </c>
      <c r="CB34" s="913">
        <v>54.635000000000005</v>
      </c>
      <c r="CC34" s="913">
        <v>54.784999999999997</v>
      </c>
      <c r="CD34" s="913">
        <v>54.935000000000002</v>
      </c>
      <c r="CE34" s="913">
        <v>55.085000000000001</v>
      </c>
      <c r="CF34" s="913">
        <v>55.225000000000001</v>
      </c>
      <c r="CG34" s="913">
        <v>55.375</v>
      </c>
      <c r="CH34" s="913">
        <v>55.524999999999999</v>
      </c>
      <c r="CI34" s="913">
        <v>55.674999999999997</v>
      </c>
      <c r="CJ34" s="913">
        <v>55.82</v>
      </c>
      <c r="CK34" s="913">
        <v>55.965000000000003</v>
      </c>
      <c r="CL34" s="913">
        <v>56.105000000000004</v>
      </c>
      <c r="CM34" s="913">
        <v>56.25</v>
      </c>
      <c r="CN34" s="913">
        <v>56.39</v>
      </c>
      <c r="CO34" s="913">
        <v>56.53</v>
      </c>
      <c r="CP34" s="913">
        <v>56.674999999999997</v>
      </c>
      <c r="CQ34" s="913">
        <v>56.81</v>
      </c>
      <c r="CR34" s="913">
        <v>56.95</v>
      </c>
      <c r="CS34" s="913">
        <v>57.085000000000001</v>
      </c>
      <c r="CT34" s="913">
        <v>57.22</v>
      </c>
      <c r="CU34" s="913">
        <v>57.35</v>
      </c>
      <c r="CV34" s="913">
        <v>57.484999999999999</v>
      </c>
      <c r="CW34" s="913">
        <v>57.620000000000005</v>
      </c>
      <c r="CX34" s="913">
        <v>57.75</v>
      </c>
      <c r="CY34" s="913">
        <v>57.879999999999995</v>
      </c>
      <c r="CZ34" s="913">
        <v>58.01</v>
      </c>
      <c r="DA34" s="913">
        <v>58.134999999999998</v>
      </c>
      <c r="DB34" s="913">
        <v>58.265000000000001</v>
      </c>
      <c r="DC34" s="913">
        <v>58.39</v>
      </c>
      <c r="DD34" s="913">
        <v>58.515000000000001</v>
      </c>
      <c r="DE34" s="913">
        <v>58.634999999999998</v>
      </c>
      <c r="DF34" s="913">
        <v>58.760000000000005</v>
      </c>
      <c r="DG34" s="913">
        <v>58.88</v>
      </c>
      <c r="DH34" s="913">
        <v>59</v>
      </c>
      <c r="DI34" s="913">
        <v>59.12</v>
      </c>
      <c r="DJ34" s="913">
        <v>59.239999999999995</v>
      </c>
      <c r="DK34" s="913">
        <v>59.355000000000004</v>
      </c>
      <c r="DL34" s="913">
        <v>59.47</v>
      </c>
      <c r="DM34" s="913">
        <v>59.585000000000001</v>
      </c>
      <c r="DN34" s="913">
        <v>59.7</v>
      </c>
      <c r="DO34" s="913">
        <v>59.814999999999998</v>
      </c>
      <c r="DP34" s="913">
        <v>59.93</v>
      </c>
      <c r="DQ34" s="913">
        <v>60.04</v>
      </c>
      <c r="DR34" s="913">
        <v>60.15</v>
      </c>
    </row>
    <row r="35" spans="1:122" s="127" customFormat="1" ht="12.75">
      <c r="A35" s="917">
        <v>33</v>
      </c>
      <c r="B35" s="913">
        <v>39.629440350411265</v>
      </c>
      <c r="C35" s="913">
        <v>39.710279629824385</v>
      </c>
      <c r="D35" s="913">
        <v>39.893043718403348</v>
      </c>
      <c r="E35" s="913">
        <v>40.061643169465839</v>
      </c>
      <c r="F35" s="913">
        <v>40.301737609091091</v>
      </c>
      <c r="G35" s="913">
        <v>40.489626013696267</v>
      </c>
      <c r="H35" s="913">
        <v>40.655785699012696</v>
      </c>
      <c r="I35" s="913">
        <v>40.909280115547404</v>
      </c>
      <c r="J35" s="913">
        <v>41.106438452262694</v>
      </c>
      <c r="K35" s="913">
        <v>41.367346454646793</v>
      </c>
      <c r="L35" s="913">
        <v>41.647044720142432</v>
      </c>
      <c r="M35" s="913">
        <v>41.889777466145702</v>
      </c>
      <c r="N35" s="913">
        <v>42.177949293342273</v>
      </c>
      <c r="O35" s="913">
        <v>42.447986204004671</v>
      </c>
      <c r="P35" s="913">
        <v>42.752279507607454</v>
      </c>
      <c r="Q35" s="913">
        <v>42.90351806184934</v>
      </c>
      <c r="R35" s="913">
        <v>43.094314400667031</v>
      </c>
      <c r="S35" s="913">
        <v>43.185156735274887</v>
      </c>
      <c r="T35" s="913">
        <v>43.13851067236773</v>
      </c>
      <c r="U35" s="913">
        <v>43.37078480408249</v>
      </c>
      <c r="V35" s="913">
        <v>43.614999999999995</v>
      </c>
      <c r="W35" s="913">
        <v>43.844999999999999</v>
      </c>
      <c r="X35" s="913">
        <v>44.064999999999998</v>
      </c>
      <c r="Y35" s="913">
        <v>44.204999999999998</v>
      </c>
      <c r="Z35" s="913">
        <v>44.44</v>
      </c>
      <c r="AA35" s="913">
        <v>44.615000000000002</v>
      </c>
      <c r="AB35" s="913">
        <v>44.8</v>
      </c>
      <c r="AC35" s="913">
        <v>44.92</v>
      </c>
      <c r="AD35" s="913">
        <v>44.944999999999993</v>
      </c>
      <c r="AE35" s="913">
        <v>45.105000000000004</v>
      </c>
      <c r="AF35" s="913">
        <v>45.305000000000007</v>
      </c>
      <c r="AG35" s="913">
        <v>45.534999999999997</v>
      </c>
      <c r="AH35" s="913">
        <v>45.775000000000006</v>
      </c>
      <c r="AI35" s="913">
        <v>46.004999999999995</v>
      </c>
      <c r="AJ35" s="913">
        <v>46.305</v>
      </c>
      <c r="AK35" s="913">
        <v>46.58</v>
      </c>
      <c r="AL35" s="913">
        <v>46.91</v>
      </c>
      <c r="AM35" s="913">
        <v>47.22</v>
      </c>
      <c r="AN35" s="913">
        <v>47.445</v>
      </c>
      <c r="AO35" s="913">
        <v>47.605000000000004</v>
      </c>
      <c r="AP35" s="913">
        <v>47.784999999999997</v>
      </c>
      <c r="AQ35" s="913">
        <v>47.914999999999999</v>
      </c>
      <c r="AR35" s="913">
        <v>48.085000000000001</v>
      </c>
      <c r="AS35" s="913">
        <v>48.135000000000005</v>
      </c>
      <c r="AT35" s="913">
        <v>48.19</v>
      </c>
      <c r="AU35" s="913">
        <v>48.290000000000006</v>
      </c>
      <c r="AV35" s="913">
        <v>48.38</v>
      </c>
      <c r="AW35" s="913">
        <v>48.644999999999996</v>
      </c>
      <c r="AX35" s="913">
        <v>48.765000000000001</v>
      </c>
      <c r="AY35" s="913">
        <v>48.89</v>
      </c>
      <c r="AZ35" s="913">
        <v>48.989999999999995</v>
      </c>
      <c r="BA35" s="913">
        <v>49.1</v>
      </c>
      <c r="BB35" s="913">
        <v>49.225000000000001</v>
      </c>
      <c r="BC35" s="913">
        <v>49.344999999999999</v>
      </c>
      <c r="BD35" s="913">
        <v>49.489999999999995</v>
      </c>
      <c r="BE35" s="913">
        <v>49.655000000000001</v>
      </c>
      <c r="BF35" s="913">
        <v>49.84</v>
      </c>
      <c r="BG35" s="913">
        <v>49.994999999999997</v>
      </c>
      <c r="BH35" s="913">
        <v>50.224999999999994</v>
      </c>
      <c r="BI35" s="913">
        <v>50.394999999999996</v>
      </c>
      <c r="BJ35" s="913">
        <v>50.6</v>
      </c>
      <c r="BK35" s="913">
        <v>50.79</v>
      </c>
      <c r="BL35" s="913">
        <v>51.004999999999995</v>
      </c>
      <c r="BM35" s="913">
        <v>51.230000000000004</v>
      </c>
      <c r="BN35" s="913">
        <v>51.43</v>
      </c>
      <c r="BO35" s="913">
        <v>51.6</v>
      </c>
      <c r="BP35" s="913">
        <v>51.784999999999997</v>
      </c>
      <c r="BQ35" s="913">
        <v>51.954999999999998</v>
      </c>
      <c r="BR35" s="913">
        <v>52.125</v>
      </c>
      <c r="BS35" s="913">
        <v>52.295000000000002</v>
      </c>
      <c r="BT35" s="914">
        <v>52.46</v>
      </c>
      <c r="BU35" s="913">
        <v>52.6</v>
      </c>
      <c r="BV35" s="913">
        <v>52.765000000000001</v>
      </c>
      <c r="BW35" s="913">
        <v>52.924999999999997</v>
      </c>
      <c r="BX35" s="913">
        <v>53.075000000000003</v>
      </c>
      <c r="BY35" s="913">
        <v>53.225000000000001</v>
      </c>
      <c r="BZ35" s="913">
        <v>53.370000000000005</v>
      </c>
      <c r="CA35" s="913">
        <v>53.515000000000001</v>
      </c>
      <c r="CB35" s="913">
        <v>53.664999999999999</v>
      </c>
      <c r="CC35" s="913">
        <v>53.814999999999998</v>
      </c>
      <c r="CD35" s="913">
        <v>53.96</v>
      </c>
      <c r="CE35" s="913">
        <v>54.114999999999995</v>
      </c>
      <c r="CF35" s="913">
        <v>54.255000000000003</v>
      </c>
      <c r="CG35" s="913">
        <v>54.405000000000001</v>
      </c>
      <c r="CH35" s="913">
        <v>54.55</v>
      </c>
      <c r="CI35" s="913">
        <v>54.7</v>
      </c>
      <c r="CJ35" s="913">
        <v>54.844999999999999</v>
      </c>
      <c r="CK35" s="913">
        <v>54.984999999999999</v>
      </c>
      <c r="CL35" s="913">
        <v>55.129999999999995</v>
      </c>
      <c r="CM35" s="913">
        <v>55.269999999999996</v>
      </c>
      <c r="CN35" s="913">
        <v>55.414999999999999</v>
      </c>
      <c r="CO35" s="913">
        <v>55.555</v>
      </c>
      <c r="CP35" s="913">
        <v>55.695</v>
      </c>
      <c r="CQ35" s="913">
        <v>55.83</v>
      </c>
      <c r="CR35" s="913">
        <v>55.965000000000003</v>
      </c>
      <c r="CS35" s="913">
        <v>56.105000000000004</v>
      </c>
      <c r="CT35" s="913">
        <v>56.239999999999995</v>
      </c>
      <c r="CU35" s="913">
        <v>56.375</v>
      </c>
      <c r="CV35" s="913">
        <v>56.505000000000003</v>
      </c>
      <c r="CW35" s="913">
        <v>56.64</v>
      </c>
      <c r="CX35" s="913">
        <v>56.765000000000001</v>
      </c>
      <c r="CY35" s="913">
        <v>56.900000000000006</v>
      </c>
      <c r="CZ35" s="913">
        <v>57.025000000000006</v>
      </c>
      <c r="DA35" s="913">
        <v>57.155000000000001</v>
      </c>
      <c r="DB35" s="913">
        <v>57.28</v>
      </c>
      <c r="DC35" s="913">
        <v>57.405000000000001</v>
      </c>
      <c r="DD35" s="913">
        <v>57.53</v>
      </c>
      <c r="DE35" s="913">
        <v>57.655000000000001</v>
      </c>
      <c r="DF35" s="913">
        <v>57.775000000000006</v>
      </c>
      <c r="DG35" s="913">
        <v>57.894999999999996</v>
      </c>
      <c r="DH35" s="913">
        <v>58.015000000000001</v>
      </c>
      <c r="DI35" s="913">
        <v>58.135000000000005</v>
      </c>
      <c r="DJ35" s="913">
        <v>58.255000000000003</v>
      </c>
      <c r="DK35" s="913">
        <v>58.37</v>
      </c>
      <c r="DL35" s="913">
        <v>58.484999999999999</v>
      </c>
      <c r="DM35" s="913">
        <v>58.6</v>
      </c>
      <c r="DN35" s="913">
        <v>58.715000000000003</v>
      </c>
      <c r="DO35" s="913">
        <v>58.83</v>
      </c>
      <c r="DP35" s="913">
        <v>58.94</v>
      </c>
      <c r="DQ35" s="913">
        <v>59.055</v>
      </c>
      <c r="DR35" s="913">
        <v>59.16</v>
      </c>
    </row>
    <row r="36" spans="1:122" s="127" customFormat="1" ht="12.75">
      <c r="A36" s="917">
        <v>34</v>
      </c>
      <c r="B36" s="913">
        <v>38.765975779072008</v>
      </c>
      <c r="C36" s="913">
        <v>38.847093995845142</v>
      </c>
      <c r="D36" s="913">
        <v>39.036524963519938</v>
      </c>
      <c r="E36" s="913">
        <v>39.199423020732098</v>
      </c>
      <c r="F36" s="913">
        <v>39.435963866042115</v>
      </c>
      <c r="G36" s="913">
        <v>39.622273293893677</v>
      </c>
      <c r="H36" s="913">
        <v>39.788972402856047</v>
      </c>
      <c r="I36" s="913">
        <v>40.043303059654875</v>
      </c>
      <c r="J36" s="913">
        <v>40.24110401551637</v>
      </c>
      <c r="K36" s="913">
        <v>40.502881262370174</v>
      </c>
      <c r="L36" s="913">
        <v>40.797205980491484</v>
      </c>
      <c r="M36" s="913">
        <v>41.061517592245906</v>
      </c>
      <c r="N36" s="913">
        <v>41.385652450888095</v>
      </c>
      <c r="O36" s="913">
        <v>41.601266954894683</v>
      </c>
      <c r="P36" s="913">
        <v>41.906716390273601</v>
      </c>
      <c r="Q36" s="913">
        <v>42.032724246521738</v>
      </c>
      <c r="R36" s="913">
        <v>42.186826117008565</v>
      </c>
      <c r="S36" s="913">
        <v>42.27785865880832</v>
      </c>
      <c r="T36" s="913">
        <v>42.231115593785802</v>
      </c>
      <c r="U36" s="913">
        <v>42.443578360997648</v>
      </c>
      <c r="V36" s="913">
        <v>42.69</v>
      </c>
      <c r="W36" s="913">
        <v>42.914999999999999</v>
      </c>
      <c r="X36" s="913">
        <v>43.14</v>
      </c>
      <c r="Y36" s="913">
        <v>43.275000000000006</v>
      </c>
      <c r="Z36" s="913">
        <v>43.51</v>
      </c>
      <c r="AA36" s="913">
        <v>43.685000000000002</v>
      </c>
      <c r="AB36" s="913">
        <v>43.87</v>
      </c>
      <c r="AC36" s="913">
        <v>43.99</v>
      </c>
      <c r="AD36" s="913">
        <v>44.015000000000001</v>
      </c>
      <c r="AE36" s="913">
        <v>44.17</v>
      </c>
      <c r="AF36" s="913">
        <v>44.370000000000005</v>
      </c>
      <c r="AG36" s="913">
        <v>44.594999999999999</v>
      </c>
      <c r="AH36" s="913">
        <v>44.834999999999994</v>
      </c>
      <c r="AI36" s="913">
        <v>45.075000000000003</v>
      </c>
      <c r="AJ36" s="913">
        <v>45.364999999999995</v>
      </c>
      <c r="AK36" s="913">
        <v>45.644999999999996</v>
      </c>
      <c r="AL36" s="913">
        <v>45.975000000000001</v>
      </c>
      <c r="AM36" s="913">
        <v>46.29</v>
      </c>
      <c r="AN36" s="913">
        <v>46.504999999999995</v>
      </c>
      <c r="AO36" s="913">
        <v>46.674999999999997</v>
      </c>
      <c r="AP36" s="913">
        <v>46.844999999999999</v>
      </c>
      <c r="AQ36" s="913">
        <v>46.974999999999994</v>
      </c>
      <c r="AR36" s="913">
        <v>47.144999999999996</v>
      </c>
      <c r="AS36" s="913">
        <v>47.195</v>
      </c>
      <c r="AT36" s="913">
        <v>47.255000000000003</v>
      </c>
      <c r="AU36" s="913">
        <v>47.355000000000004</v>
      </c>
      <c r="AV36" s="913">
        <v>47.445</v>
      </c>
      <c r="AW36" s="913">
        <v>47.7</v>
      </c>
      <c r="AX36" s="913">
        <v>47.814999999999998</v>
      </c>
      <c r="AY36" s="913">
        <v>47.94</v>
      </c>
      <c r="AZ36" s="913">
        <v>48.045000000000002</v>
      </c>
      <c r="BA36" s="913">
        <v>48.15</v>
      </c>
      <c r="BB36" s="913">
        <v>48.28</v>
      </c>
      <c r="BC36" s="913">
        <v>48.394999999999996</v>
      </c>
      <c r="BD36" s="913">
        <v>48.545000000000002</v>
      </c>
      <c r="BE36" s="913">
        <v>48.71</v>
      </c>
      <c r="BF36" s="913">
        <v>48.89</v>
      </c>
      <c r="BG36" s="913">
        <v>49.055</v>
      </c>
      <c r="BH36" s="913">
        <v>49.28</v>
      </c>
      <c r="BI36" s="913">
        <v>49.45</v>
      </c>
      <c r="BJ36" s="913">
        <v>49.66</v>
      </c>
      <c r="BK36" s="913">
        <v>49.835000000000001</v>
      </c>
      <c r="BL36" s="913">
        <v>50.055</v>
      </c>
      <c r="BM36" s="913">
        <v>50.269999999999996</v>
      </c>
      <c r="BN36" s="913">
        <v>50.47</v>
      </c>
      <c r="BO36" s="913">
        <v>50.63</v>
      </c>
      <c r="BP36" s="913">
        <v>50.825000000000003</v>
      </c>
      <c r="BQ36" s="913">
        <v>50.995000000000005</v>
      </c>
      <c r="BR36" s="913">
        <v>51.16</v>
      </c>
      <c r="BS36" s="913">
        <v>51.33</v>
      </c>
      <c r="BT36" s="914">
        <v>51.49</v>
      </c>
      <c r="BU36" s="913">
        <v>51.63</v>
      </c>
      <c r="BV36" s="913">
        <v>51.8</v>
      </c>
      <c r="BW36" s="913">
        <v>51.954999999999998</v>
      </c>
      <c r="BX36" s="913">
        <v>52.105000000000004</v>
      </c>
      <c r="BY36" s="913">
        <v>52.255000000000003</v>
      </c>
      <c r="BZ36" s="913">
        <v>52.4</v>
      </c>
      <c r="CA36" s="913">
        <v>52.55</v>
      </c>
      <c r="CB36" s="913">
        <v>52.695</v>
      </c>
      <c r="CC36" s="913">
        <v>52.84</v>
      </c>
      <c r="CD36" s="913">
        <v>52.989999999999995</v>
      </c>
      <c r="CE36" s="913">
        <v>53.14</v>
      </c>
      <c r="CF36" s="913">
        <v>53.284999999999997</v>
      </c>
      <c r="CG36" s="913">
        <v>53.435000000000002</v>
      </c>
      <c r="CH36" s="913">
        <v>53.58</v>
      </c>
      <c r="CI36" s="913">
        <v>53.725000000000001</v>
      </c>
      <c r="CJ36" s="913">
        <v>53.875</v>
      </c>
      <c r="CK36" s="913">
        <v>54.015000000000001</v>
      </c>
      <c r="CL36" s="913">
        <v>54.16</v>
      </c>
      <c r="CM36" s="913">
        <v>54.3</v>
      </c>
      <c r="CN36" s="913">
        <v>54.44</v>
      </c>
      <c r="CO36" s="913">
        <v>54.58</v>
      </c>
      <c r="CP36" s="913">
        <v>54.72</v>
      </c>
      <c r="CQ36" s="913">
        <v>54.855000000000004</v>
      </c>
      <c r="CR36" s="913">
        <v>54.989999999999995</v>
      </c>
      <c r="CS36" s="913">
        <v>55.129999999999995</v>
      </c>
      <c r="CT36" s="913">
        <v>55.265000000000001</v>
      </c>
      <c r="CU36" s="913">
        <v>55.394999999999996</v>
      </c>
      <c r="CV36" s="913">
        <v>55.524999999999999</v>
      </c>
      <c r="CW36" s="913">
        <v>55.655000000000001</v>
      </c>
      <c r="CX36" s="913">
        <v>55.790000000000006</v>
      </c>
      <c r="CY36" s="913">
        <v>55.914999999999999</v>
      </c>
      <c r="CZ36" s="913">
        <v>56.045000000000002</v>
      </c>
      <c r="DA36" s="913">
        <v>56.17</v>
      </c>
      <c r="DB36" s="913">
        <v>56.295000000000002</v>
      </c>
      <c r="DC36" s="913">
        <v>56.42</v>
      </c>
      <c r="DD36" s="913">
        <v>56.545000000000002</v>
      </c>
      <c r="DE36" s="913">
        <v>56.67</v>
      </c>
      <c r="DF36" s="913">
        <v>56.79</v>
      </c>
      <c r="DG36" s="913">
        <v>56.91</v>
      </c>
      <c r="DH36" s="913">
        <v>57.03</v>
      </c>
      <c r="DI36" s="913">
        <v>57.15</v>
      </c>
      <c r="DJ36" s="913">
        <v>57.269999999999996</v>
      </c>
      <c r="DK36" s="913">
        <v>57.385000000000005</v>
      </c>
      <c r="DL36" s="913">
        <v>57.5</v>
      </c>
      <c r="DM36" s="913">
        <v>57.614999999999995</v>
      </c>
      <c r="DN36" s="913">
        <v>57.730000000000004</v>
      </c>
      <c r="DO36" s="913">
        <v>57.84</v>
      </c>
      <c r="DP36" s="913">
        <v>57.954999999999998</v>
      </c>
      <c r="DQ36" s="913">
        <v>58.069999999999993</v>
      </c>
      <c r="DR36" s="913">
        <v>58.174999999999997</v>
      </c>
    </row>
    <row r="37" spans="1:122" s="127" customFormat="1" ht="12.75">
      <c r="A37" s="917">
        <v>35</v>
      </c>
      <c r="B37" s="913">
        <v>37.904184862158388</v>
      </c>
      <c r="C37" s="913">
        <v>37.991651702665578</v>
      </c>
      <c r="D37" s="913">
        <v>38.175452360728812</v>
      </c>
      <c r="E37" s="913">
        <v>38.334555932143502</v>
      </c>
      <c r="F37" s="913">
        <v>38.569720354547222</v>
      </c>
      <c r="G37" s="913">
        <v>38.756661134930731</v>
      </c>
      <c r="H37" s="913">
        <v>38.923919576912425</v>
      </c>
      <c r="I37" s="913">
        <v>39.179118790672675</v>
      </c>
      <c r="J37" s="913">
        <v>39.377586363662999</v>
      </c>
      <c r="K37" s="913">
        <v>39.654058616764274</v>
      </c>
      <c r="L37" s="913">
        <v>39.970356785577323</v>
      </c>
      <c r="M37" s="913">
        <v>40.270858170427815</v>
      </c>
      <c r="N37" s="913">
        <v>40.537557246887644</v>
      </c>
      <c r="O37" s="913">
        <v>40.754017266326926</v>
      </c>
      <c r="P37" s="913">
        <v>41.034986836017303</v>
      </c>
      <c r="Q37" s="913">
        <v>41.126611645767753</v>
      </c>
      <c r="R37" s="913">
        <v>41.281060374141695</v>
      </c>
      <c r="S37" s="913">
        <v>41.372291219420092</v>
      </c>
      <c r="T37" s="913">
        <v>41.310922602494294</v>
      </c>
      <c r="U37" s="913">
        <v>41.520008418897781</v>
      </c>
      <c r="V37" s="913">
        <v>41.765000000000001</v>
      </c>
      <c r="W37" s="913">
        <v>41.994999999999997</v>
      </c>
      <c r="X37" s="913">
        <v>42.215000000000003</v>
      </c>
      <c r="Y37" s="913">
        <v>42.35</v>
      </c>
      <c r="Z37" s="913">
        <v>42.585000000000001</v>
      </c>
      <c r="AA37" s="913">
        <v>42.754999999999995</v>
      </c>
      <c r="AB37" s="913">
        <v>42.945</v>
      </c>
      <c r="AC37" s="913">
        <v>43.06</v>
      </c>
      <c r="AD37" s="913">
        <v>43.08</v>
      </c>
      <c r="AE37" s="913">
        <v>43.239999999999995</v>
      </c>
      <c r="AF37" s="913">
        <v>43.44</v>
      </c>
      <c r="AG37" s="913">
        <v>43.664999999999999</v>
      </c>
      <c r="AH37" s="913">
        <v>43.91</v>
      </c>
      <c r="AI37" s="913">
        <v>44.14</v>
      </c>
      <c r="AJ37" s="913">
        <v>44.424999999999997</v>
      </c>
      <c r="AK37" s="913">
        <v>44.715000000000003</v>
      </c>
      <c r="AL37" s="913">
        <v>45.04</v>
      </c>
      <c r="AM37" s="913">
        <v>45.355000000000004</v>
      </c>
      <c r="AN37" s="913">
        <v>45.57</v>
      </c>
      <c r="AO37" s="913">
        <v>45.739999999999995</v>
      </c>
      <c r="AP37" s="913">
        <v>45.914999999999999</v>
      </c>
      <c r="AQ37" s="913">
        <v>46.04</v>
      </c>
      <c r="AR37" s="913">
        <v>46.21</v>
      </c>
      <c r="AS37" s="913">
        <v>46.26</v>
      </c>
      <c r="AT37" s="913">
        <v>46.32</v>
      </c>
      <c r="AU37" s="913">
        <v>46.41</v>
      </c>
      <c r="AV37" s="913">
        <v>46.504999999999995</v>
      </c>
      <c r="AW37" s="913">
        <v>46.754999999999995</v>
      </c>
      <c r="AX37" s="913">
        <v>46.864999999999995</v>
      </c>
      <c r="AY37" s="913">
        <v>46.995000000000005</v>
      </c>
      <c r="AZ37" s="913">
        <v>47.09</v>
      </c>
      <c r="BA37" s="913">
        <v>47.204999999999998</v>
      </c>
      <c r="BB37" s="913">
        <v>47.325000000000003</v>
      </c>
      <c r="BC37" s="913">
        <v>47.45</v>
      </c>
      <c r="BD37" s="913">
        <v>47.594999999999999</v>
      </c>
      <c r="BE37" s="913">
        <v>47.765000000000001</v>
      </c>
      <c r="BF37" s="913">
        <v>47.95</v>
      </c>
      <c r="BG37" s="913">
        <v>48.11</v>
      </c>
      <c r="BH37" s="913">
        <v>48.34</v>
      </c>
      <c r="BI37" s="913">
        <v>48.504999999999995</v>
      </c>
      <c r="BJ37" s="913">
        <v>48.715000000000003</v>
      </c>
      <c r="BK37" s="913">
        <v>48.885000000000005</v>
      </c>
      <c r="BL37" s="913">
        <v>49.105000000000004</v>
      </c>
      <c r="BM37" s="913">
        <v>49.314999999999998</v>
      </c>
      <c r="BN37" s="913">
        <v>49.505000000000003</v>
      </c>
      <c r="BO37" s="913">
        <v>49.674999999999997</v>
      </c>
      <c r="BP37" s="913">
        <v>49.86</v>
      </c>
      <c r="BQ37" s="913">
        <v>50.03</v>
      </c>
      <c r="BR37" s="913">
        <v>50.195</v>
      </c>
      <c r="BS37" s="913">
        <v>50.365000000000002</v>
      </c>
      <c r="BT37" s="914">
        <v>50.519999999999996</v>
      </c>
      <c r="BU37" s="913">
        <v>50.66</v>
      </c>
      <c r="BV37" s="913">
        <v>50.83</v>
      </c>
      <c r="BW37" s="913">
        <v>50.984999999999999</v>
      </c>
      <c r="BX37" s="913">
        <v>51.135000000000005</v>
      </c>
      <c r="BY37" s="913">
        <v>51.284999999999997</v>
      </c>
      <c r="BZ37" s="913">
        <v>51.43</v>
      </c>
      <c r="CA37" s="913">
        <v>51.58</v>
      </c>
      <c r="CB37" s="913">
        <v>51.724999999999994</v>
      </c>
      <c r="CC37" s="913">
        <v>51.870000000000005</v>
      </c>
      <c r="CD37" s="913">
        <v>52.019999999999996</v>
      </c>
      <c r="CE37" s="913">
        <v>52.174999999999997</v>
      </c>
      <c r="CF37" s="913">
        <v>52.314999999999998</v>
      </c>
      <c r="CG37" s="913">
        <v>52.465000000000003</v>
      </c>
      <c r="CH37" s="913">
        <v>52.61</v>
      </c>
      <c r="CI37" s="913">
        <v>52.755000000000003</v>
      </c>
      <c r="CJ37" s="913">
        <v>52.9</v>
      </c>
      <c r="CK37" s="913">
        <v>53.040000000000006</v>
      </c>
      <c r="CL37" s="913">
        <v>53.185000000000002</v>
      </c>
      <c r="CM37" s="913">
        <v>53.325000000000003</v>
      </c>
      <c r="CN37" s="913">
        <v>53.47</v>
      </c>
      <c r="CO37" s="913">
        <v>53.605000000000004</v>
      </c>
      <c r="CP37" s="913">
        <v>53.745000000000005</v>
      </c>
      <c r="CQ37" s="913">
        <v>53.879999999999995</v>
      </c>
      <c r="CR37" s="913">
        <v>54.015000000000001</v>
      </c>
      <c r="CS37" s="913">
        <v>54.15</v>
      </c>
      <c r="CT37" s="913">
        <v>54.28</v>
      </c>
      <c r="CU37" s="913">
        <v>54.414999999999999</v>
      </c>
      <c r="CV37" s="913">
        <v>54.55</v>
      </c>
      <c r="CW37" s="913">
        <v>54.68</v>
      </c>
      <c r="CX37" s="913">
        <v>54.805</v>
      </c>
      <c r="CY37" s="913">
        <v>54.94</v>
      </c>
      <c r="CZ37" s="913">
        <v>55.064999999999998</v>
      </c>
      <c r="DA37" s="913">
        <v>55.19</v>
      </c>
      <c r="DB37" s="913">
        <v>55.32</v>
      </c>
      <c r="DC37" s="913">
        <v>55.445</v>
      </c>
      <c r="DD37" s="913">
        <v>55.564999999999998</v>
      </c>
      <c r="DE37" s="913">
        <v>55.685000000000002</v>
      </c>
      <c r="DF37" s="913">
        <v>55.81</v>
      </c>
      <c r="DG37" s="913">
        <v>55.93</v>
      </c>
      <c r="DH37" s="913">
        <v>56.05</v>
      </c>
      <c r="DI37" s="913">
        <v>56.164999999999999</v>
      </c>
      <c r="DJ37" s="913">
        <v>56.284999999999997</v>
      </c>
      <c r="DK37" s="913">
        <v>56.4</v>
      </c>
      <c r="DL37" s="913">
        <v>56.519999999999996</v>
      </c>
      <c r="DM37" s="913">
        <v>56.63</v>
      </c>
      <c r="DN37" s="913">
        <v>56.744999999999997</v>
      </c>
      <c r="DO37" s="913">
        <v>56.855000000000004</v>
      </c>
      <c r="DP37" s="913">
        <v>56.97</v>
      </c>
      <c r="DQ37" s="913">
        <v>57.08</v>
      </c>
      <c r="DR37" s="913">
        <v>57.19</v>
      </c>
    </row>
    <row r="38" spans="1:122" s="127" customFormat="1" ht="12.75">
      <c r="A38" s="917">
        <v>36</v>
      </c>
      <c r="B38" s="913">
        <v>37.048935774490694</v>
      </c>
      <c r="C38" s="913">
        <v>37.130392491302104</v>
      </c>
      <c r="D38" s="913">
        <v>37.310479580024868</v>
      </c>
      <c r="E38" s="913">
        <v>37.467941740311637</v>
      </c>
      <c r="F38" s="913">
        <v>37.703935156932175</v>
      </c>
      <c r="G38" s="913">
        <v>37.891526430631899</v>
      </c>
      <c r="H38" s="913">
        <v>38.059361292424406</v>
      </c>
      <c r="I38" s="913">
        <v>38.315455239494611</v>
      </c>
      <c r="J38" s="913">
        <v>38.528365902513364</v>
      </c>
      <c r="K38" s="913">
        <v>38.82671701465302</v>
      </c>
      <c r="L38" s="913">
        <v>39.17941398346376</v>
      </c>
      <c r="M38" s="913">
        <v>39.419762577837176</v>
      </c>
      <c r="N38" s="913">
        <v>39.687490164832496</v>
      </c>
      <c r="O38" s="913">
        <v>39.879689748012879</v>
      </c>
      <c r="P38" s="913">
        <v>40.130391286392822</v>
      </c>
      <c r="Q38" s="913">
        <v>40.22223821460463</v>
      </c>
      <c r="R38" s="913">
        <v>40.377048975839649</v>
      </c>
      <c r="S38" s="913">
        <v>40.453987608688237</v>
      </c>
      <c r="T38" s="913">
        <v>40.391602601224136</v>
      </c>
      <c r="U38" s="913">
        <v>40.595165734789902</v>
      </c>
      <c r="V38" s="913">
        <v>40.840000000000003</v>
      </c>
      <c r="W38" s="913">
        <v>41.07</v>
      </c>
      <c r="X38" s="913">
        <v>41.290000000000006</v>
      </c>
      <c r="Y38" s="913">
        <v>41.424999999999997</v>
      </c>
      <c r="Z38" s="913">
        <v>41.66</v>
      </c>
      <c r="AA38" s="913">
        <v>41.83</v>
      </c>
      <c r="AB38" s="913">
        <v>42.015000000000001</v>
      </c>
      <c r="AC38" s="913">
        <v>42.129999999999995</v>
      </c>
      <c r="AD38" s="913">
        <v>42.155000000000001</v>
      </c>
      <c r="AE38" s="913">
        <v>42.31</v>
      </c>
      <c r="AF38" s="913">
        <v>42.51</v>
      </c>
      <c r="AG38" s="913">
        <v>42.730000000000004</v>
      </c>
      <c r="AH38" s="913">
        <v>42.980000000000004</v>
      </c>
      <c r="AI38" s="913">
        <v>43.21</v>
      </c>
      <c r="AJ38" s="913">
        <v>43.5</v>
      </c>
      <c r="AK38" s="913">
        <v>43.784999999999997</v>
      </c>
      <c r="AL38" s="913">
        <v>44.105000000000004</v>
      </c>
      <c r="AM38" s="913">
        <v>44.42</v>
      </c>
      <c r="AN38" s="913">
        <v>44.635000000000005</v>
      </c>
      <c r="AO38" s="913">
        <v>44.805000000000007</v>
      </c>
      <c r="AP38" s="913">
        <v>44.98</v>
      </c>
      <c r="AQ38" s="913">
        <v>45.105000000000004</v>
      </c>
      <c r="AR38" s="913">
        <v>45.274999999999999</v>
      </c>
      <c r="AS38" s="913">
        <v>45.325000000000003</v>
      </c>
      <c r="AT38" s="913">
        <v>45.38</v>
      </c>
      <c r="AU38" s="913">
        <v>45.474999999999994</v>
      </c>
      <c r="AV38" s="913">
        <v>45.564999999999998</v>
      </c>
      <c r="AW38" s="913">
        <v>45.814999999999998</v>
      </c>
      <c r="AX38" s="913">
        <v>45.924999999999997</v>
      </c>
      <c r="AY38" s="913">
        <v>46.055</v>
      </c>
      <c r="AZ38" s="913">
        <v>46.144999999999996</v>
      </c>
      <c r="BA38" s="913">
        <v>46.26</v>
      </c>
      <c r="BB38" s="913">
        <v>46.385000000000005</v>
      </c>
      <c r="BC38" s="913">
        <v>46.504999999999995</v>
      </c>
      <c r="BD38" s="913">
        <v>46.65</v>
      </c>
      <c r="BE38" s="913">
        <v>46.825000000000003</v>
      </c>
      <c r="BF38" s="913">
        <v>47.010000000000005</v>
      </c>
      <c r="BG38" s="913">
        <v>47.17</v>
      </c>
      <c r="BH38" s="913">
        <v>47.394999999999996</v>
      </c>
      <c r="BI38" s="913">
        <v>47.56</v>
      </c>
      <c r="BJ38" s="913">
        <v>47.769999999999996</v>
      </c>
      <c r="BK38" s="913">
        <v>47.94</v>
      </c>
      <c r="BL38" s="913">
        <v>48.150000000000006</v>
      </c>
      <c r="BM38" s="913">
        <v>48.36</v>
      </c>
      <c r="BN38" s="913">
        <v>48.55</v>
      </c>
      <c r="BO38" s="913">
        <v>48.715000000000003</v>
      </c>
      <c r="BP38" s="913">
        <v>48.9</v>
      </c>
      <c r="BQ38" s="913">
        <v>49.07</v>
      </c>
      <c r="BR38" s="913">
        <v>49.230000000000004</v>
      </c>
      <c r="BS38" s="913">
        <v>49.4</v>
      </c>
      <c r="BT38" s="914">
        <v>49.555</v>
      </c>
      <c r="BU38" s="913">
        <v>49.695</v>
      </c>
      <c r="BV38" s="913">
        <v>49.86</v>
      </c>
      <c r="BW38" s="913">
        <v>50.015000000000001</v>
      </c>
      <c r="BX38" s="913">
        <v>50.17</v>
      </c>
      <c r="BY38" s="913">
        <v>50.314999999999998</v>
      </c>
      <c r="BZ38" s="913">
        <v>50.465000000000003</v>
      </c>
      <c r="CA38" s="913">
        <v>50.614999999999995</v>
      </c>
      <c r="CB38" s="913">
        <v>50.754999999999995</v>
      </c>
      <c r="CC38" s="913">
        <v>50.905000000000001</v>
      </c>
      <c r="CD38" s="913">
        <v>51.055</v>
      </c>
      <c r="CE38" s="913">
        <v>51.204999999999998</v>
      </c>
      <c r="CF38" s="913">
        <v>51.35</v>
      </c>
      <c r="CG38" s="913">
        <v>51.495000000000005</v>
      </c>
      <c r="CH38" s="913">
        <v>51.644999999999996</v>
      </c>
      <c r="CI38" s="913">
        <v>51.784999999999997</v>
      </c>
      <c r="CJ38" s="913">
        <v>51.93</v>
      </c>
      <c r="CK38" s="913">
        <v>52.075000000000003</v>
      </c>
      <c r="CL38" s="913">
        <v>52.215000000000003</v>
      </c>
      <c r="CM38" s="913">
        <v>52.349999999999994</v>
      </c>
      <c r="CN38" s="913">
        <v>52.495000000000005</v>
      </c>
      <c r="CO38" s="913">
        <v>52.634999999999998</v>
      </c>
      <c r="CP38" s="913">
        <v>52.77</v>
      </c>
      <c r="CQ38" s="913">
        <v>52.905000000000001</v>
      </c>
      <c r="CR38" s="913">
        <v>53.04</v>
      </c>
      <c r="CS38" s="913">
        <v>53.18</v>
      </c>
      <c r="CT38" s="913">
        <v>53.305</v>
      </c>
      <c r="CU38" s="913">
        <v>53.44</v>
      </c>
      <c r="CV38" s="913">
        <v>53.57</v>
      </c>
      <c r="CW38" s="913">
        <v>53.704999999999998</v>
      </c>
      <c r="CX38" s="913">
        <v>53.83</v>
      </c>
      <c r="CY38" s="913">
        <v>53.96</v>
      </c>
      <c r="CZ38" s="913">
        <v>54.085000000000001</v>
      </c>
      <c r="DA38" s="913">
        <v>54.21</v>
      </c>
      <c r="DB38" s="913">
        <v>54.335000000000001</v>
      </c>
      <c r="DC38" s="913">
        <v>54.46</v>
      </c>
      <c r="DD38" s="913">
        <v>54.585000000000001</v>
      </c>
      <c r="DE38" s="913">
        <v>54.71</v>
      </c>
      <c r="DF38" s="913">
        <v>54.825000000000003</v>
      </c>
      <c r="DG38" s="913">
        <v>54.95</v>
      </c>
      <c r="DH38" s="913">
        <v>55.064999999999998</v>
      </c>
      <c r="DI38" s="913">
        <v>55.185000000000002</v>
      </c>
      <c r="DJ38" s="913">
        <v>55.305</v>
      </c>
      <c r="DK38" s="913">
        <v>55.42</v>
      </c>
      <c r="DL38" s="913">
        <v>55.534999999999997</v>
      </c>
      <c r="DM38" s="913">
        <v>55.65</v>
      </c>
      <c r="DN38" s="913">
        <v>55.760000000000005</v>
      </c>
      <c r="DO38" s="913">
        <v>55.87</v>
      </c>
      <c r="DP38" s="913">
        <v>55.984999999999999</v>
      </c>
      <c r="DQ38" s="913">
        <v>56.094999999999999</v>
      </c>
      <c r="DR38" s="913">
        <v>56.2</v>
      </c>
    </row>
    <row r="39" spans="1:122" s="127" customFormat="1" ht="12.75">
      <c r="A39" s="917">
        <v>37</v>
      </c>
      <c r="B39" s="913">
        <v>36.188663043882229</v>
      </c>
      <c r="C39" s="913">
        <v>36.265965948286421</v>
      </c>
      <c r="D39" s="913">
        <v>36.444477111577243</v>
      </c>
      <c r="E39" s="913">
        <v>36.602507005138975</v>
      </c>
      <c r="F39" s="913">
        <v>36.839359550530929</v>
      </c>
      <c r="G39" s="913">
        <v>37.02762568874801</v>
      </c>
      <c r="H39" s="913">
        <v>37.196059048899784</v>
      </c>
      <c r="I39" s="913">
        <v>37.466898935917243</v>
      </c>
      <c r="J39" s="913">
        <v>37.701511497587575</v>
      </c>
      <c r="K39" s="913">
        <v>38.036324521432626</v>
      </c>
      <c r="L39" s="913">
        <v>38.326703760961962</v>
      </c>
      <c r="M39" s="913">
        <v>38.568009880854021</v>
      </c>
      <c r="N39" s="913">
        <v>38.81196160860889</v>
      </c>
      <c r="O39" s="913">
        <v>38.976456876435819</v>
      </c>
      <c r="P39" s="913">
        <v>39.227784438714622</v>
      </c>
      <c r="Q39" s="913">
        <v>39.319863886161073</v>
      </c>
      <c r="R39" s="913">
        <v>39.467849309234701</v>
      </c>
      <c r="S39" s="913">
        <v>39.531222775385459</v>
      </c>
      <c r="T39" s="913">
        <v>39.47433749438698</v>
      </c>
      <c r="U39" s="913">
        <v>39.672530015070407</v>
      </c>
      <c r="V39" s="913">
        <v>39.92</v>
      </c>
      <c r="W39" s="913">
        <v>40.15</v>
      </c>
      <c r="X39" s="913">
        <v>40.365000000000002</v>
      </c>
      <c r="Y39" s="913">
        <v>40.5</v>
      </c>
      <c r="Z39" s="913">
        <v>40.734999999999999</v>
      </c>
      <c r="AA39" s="913">
        <v>40.905000000000001</v>
      </c>
      <c r="AB39" s="913">
        <v>41.09</v>
      </c>
      <c r="AC39" s="913">
        <v>41.2</v>
      </c>
      <c r="AD39" s="913">
        <v>41.230000000000004</v>
      </c>
      <c r="AE39" s="913">
        <v>41.375</v>
      </c>
      <c r="AF39" s="913">
        <v>41.585000000000001</v>
      </c>
      <c r="AG39" s="913">
        <v>41.805</v>
      </c>
      <c r="AH39" s="913">
        <v>42.045000000000002</v>
      </c>
      <c r="AI39" s="913">
        <v>42.284999999999997</v>
      </c>
      <c r="AJ39" s="913">
        <v>42.57</v>
      </c>
      <c r="AK39" s="913">
        <v>42.855000000000004</v>
      </c>
      <c r="AL39" s="913">
        <v>43.185000000000002</v>
      </c>
      <c r="AM39" s="913">
        <v>43.49</v>
      </c>
      <c r="AN39" s="913">
        <v>43.709999999999994</v>
      </c>
      <c r="AO39" s="913">
        <v>43.879999999999995</v>
      </c>
      <c r="AP39" s="913">
        <v>44.05</v>
      </c>
      <c r="AQ39" s="913">
        <v>44.174999999999997</v>
      </c>
      <c r="AR39" s="913">
        <v>44.344999999999999</v>
      </c>
      <c r="AS39" s="913">
        <v>44.394999999999996</v>
      </c>
      <c r="AT39" s="913">
        <v>44.445</v>
      </c>
      <c r="AU39" s="913">
        <v>44.54</v>
      </c>
      <c r="AV39" s="913">
        <v>44.629999999999995</v>
      </c>
      <c r="AW39" s="913">
        <v>44.875</v>
      </c>
      <c r="AX39" s="913">
        <v>44.984999999999999</v>
      </c>
      <c r="AY39" s="913">
        <v>45.11</v>
      </c>
      <c r="AZ39" s="913">
        <v>45.2</v>
      </c>
      <c r="BA39" s="913">
        <v>45.314999999999998</v>
      </c>
      <c r="BB39" s="913">
        <v>45.445</v>
      </c>
      <c r="BC39" s="913">
        <v>45.564999999999998</v>
      </c>
      <c r="BD39" s="913">
        <v>45.715000000000003</v>
      </c>
      <c r="BE39" s="913">
        <v>45.894999999999996</v>
      </c>
      <c r="BF39" s="913">
        <v>46.07</v>
      </c>
      <c r="BG39" s="913">
        <v>46.234999999999999</v>
      </c>
      <c r="BH39" s="913">
        <v>46.454999999999998</v>
      </c>
      <c r="BI39" s="913">
        <v>46.620000000000005</v>
      </c>
      <c r="BJ39" s="913">
        <v>46.82</v>
      </c>
      <c r="BK39" s="913">
        <v>46.989999999999995</v>
      </c>
      <c r="BL39" s="913">
        <v>47.2</v>
      </c>
      <c r="BM39" s="913">
        <v>47.41</v>
      </c>
      <c r="BN39" s="913">
        <v>47.594999999999999</v>
      </c>
      <c r="BO39" s="913">
        <v>47.76</v>
      </c>
      <c r="BP39" s="913">
        <v>47.945</v>
      </c>
      <c r="BQ39" s="913">
        <v>48.11</v>
      </c>
      <c r="BR39" s="913">
        <v>48.269999999999996</v>
      </c>
      <c r="BS39" s="913">
        <v>48.435000000000002</v>
      </c>
      <c r="BT39" s="914">
        <v>48.59</v>
      </c>
      <c r="BU39" s="913">
        <v>48.73</v>
      </c>
      <c r="BV39" s="913">
        <v>48.894999999999996</v>
      </c>
      <c r="BW39" s="913">
        <v>49.055</v>
      </c>
      <c r="BX39" s="913">
        <v>49.2</v>
      </c>
      <c r="BY39" s="913">
        <v>49.344999999999999</v>
      </c>
      <c r="BZ39" s="913">
        <v>49.494999999999997</v>
      </c>
      <c r="CA39" s="913">
        <v>49.644999999999996</v>
      </c>
      <c r="CB39" s="913">
        <v>49.784999999999997</v>
      </c>
      <c r="CC39" s="913">
        <v>49.935000000000002</v>
      </c>
      <c r="CD39" s="913">
        <v>50.09</v>
      </c>
      <c r="CE39" s="913">
        <v>50.234999999999999</v>
      </c>
      <c r="CF39" s="913">
        <v>50.379999999999995</v>
      </c>
      <c r="CG39" s="913">
        <v>50.525000000000006</v>
      </c>
      <c r="CH39" s="913">
        <v>50.674999999999997</v>
      </c>
      <c r="CI39" s="913">
        <v>50.82</v>
      </c>
      <c r="CJ39" s="913">
        <v>50.959999999999994</v>
      </c>
      <c r="CK39" s="913">
        <v>51.105000000000004</v>
      </c>
      <c r="CL39" s="913">
        <v>51.239999999999995</v>
      </c>
      <c r="CM39" s="913">
        <v>51.385000000000005</v>
      </c>
      <c r="CN39" s="913">
        <v>51.524999999999999</v>
      </c>
      <c r="CO39" s="913">
        <v>51.66</v>
      </c>
      <c r="CP39" s="913">
        <v>51.795000000000002</v>
      </c>
      <c r="CQ39" s="913">
        <v>51.935000000000002</v>
      </c>
      <c r="CR39" s="913">
        <v>52.07</v>
      </c>
      <c r="CS39" s="913">
        <v>52.2</v>
      </c>
      <c r="CT39" s="913">
        <v>52.335000000000001</v>
      </c>
      <c r="CU39" s="913">
        <v>52.465000000000003</v>
      </c>
      <c r="CV39" s="913">
        <v>52.594999999999999</v>
      </c>
      <c r="CW39" s="913">
        <v>52.725000000000001</v>
      </c>
      <c r="CX39" s="913">
        <v>52.855000000000004</v>
      </c>
      <c r="CY39" s="913">
        <v>52.980000000000004</v>
      </c>
      <c r="CZ39" s="913">
        <v>53.11</v>
      </c>
      <c r="DA39" s="913">
        <v>53.234999999999999</v>
      </c>
      <c r="DB39" s="913">
        <v>53.36</v>
      </c>
      <c r="DC39" s="913">
        <v>53.484999999999999</v>
      </c>
      <c r="DD39" s="913">
        <v>53.599999999999994</v>
      </c>
      <c r="DE39" s="913">
        <v>53.724999999999994</v>
      </c>
      <c r="DF39" s="913">
        <v>53.849999999999994</v>
      </c>
      <c r="DG39" s="913">
        <v>53.965000000000003</v>
      </c>
      <c r="DH39" s="913">
        <v>54.085000000000001</v>
      </c>
      <c r="DI39" s="913">
        <v>54.204999999999998</v>
      </c>
      <c r="DJ39" s="913">
        <v>54.32</v>
      </c>
      <c r="DK39" s="913">
        <v>54.435000000000002</v>
      </c>
      <c r="DL39" s="913">
        <v>54.55</v>
      </c>
      <c r="DM39" s="913">
        <v>54.664999999999999</v>
      </c>
      <c r="DN39" s="913">
        <v>54.78</v>
      </c>
      <c r="DO39" s="913">
        <v>54.885000000000005</v>
      </c>
      <c r="DP39" s="913">
        <v>55</v>
      </c>
      <c r="DQ39" s="913">
        <v>55.11</v>
      </c>
      <c r="DR39" s="913">
        <v>55.215000000000003</v>
      </c>
    </row>
    <row r="40" spans="1:122" s="127" customFormat="1" ht="12.75">
      <c r="A40" s="917">
        <v>38</v>
      </c>
      <c r="B40" s="913">
        <v>35.332565439256044</v>
      </c>
      <c r="C40" s="913">
        <v>35.404390122959214</v>
      </c>
      <c r="D40" s="913">
        <v>35.58746845516157</v>
      </c>
      <c r="E40" s="913">
        <v>35.746121386745898</v>
      </c>
      <c r="F40" s="913">
        <v>35.983916420396177</v>
      </c>
      <c r="G40" s="913">
        <v>36.172923224073941</v>
      </c>
      <c r="H40" s="913">
        <v>36.356673641108458</v>
      </c>
      <c r="I40" s="913">
        <v>36.650868743270863</v>
      </c>
      <c r="J40" s="913">
        <v>36.923883736607081</v>
      </c>
      <c r="K40" s="913">
        <v>37.183417405452687</v>
      </c>
      <c r="L40" s="913">
        <v>37.474966556533332</v>
      </c>
      <c r="M40" s="913">
        <v>37.688030482932248</v>
      </c>
      <c r="N40" s="913">
        <v>37.9104865363024</v>
      </c>
      <c r="O40" s="913">
        <v>38.075414767320353</v>
      </c>
      <c r="P40" s="913">
        <v>38.327399043118447</v>
      </c>
      <c r="Q40" s="913">
        <v>38.407883211200037</v>
      </c>
      <c r="R40" s="913">
        <v>38.552598017361973</v>
      </c>
      <c r="S40" s="913">
        <v>38.613502344992142</v>
      </c>
      <c r="T40" s="913">
        <v>38.560030319027938</v>
      </c>
      <c r="U40" s="913">
        <v>38.753072982432542</v>
      </c>
      <c r="V40" s="913">
        <v>39</v>
      </c>
      <c r="W40" s="913">
        <v>39.234999999999999</v>
      </c>
      <c r="X40" s="913">
        <v>39.445</v>
      </c>
      <c r="Y40" s="913">
        <v>39.584999999999994</v>
      </c>
      <c r="Z40" s="913">
        <v>39.81</v>
      </c>
      <c r="AA40" s="913">
        <v>39.984999999999999</v>
      </c>
      <c r="AB40" s="913">
        <v>40.164999999999999</v>
      </c>
      <c r="AC40" s="913">
        <v>40.28</v>
      </c>
      <c r="AD40" s="913">
        <v>40.31</v>
      </c>
      <c r="AE40" s="913">
        <v>40.454999999999998</v>
      </c>
      <c r="AF40" s="913">
        <v>40.659999999999997</v>
      </c>
      <c r="AG40" s="913">
        <v>40.885000000000005</v>
      </c>
      <c r="AH40" s="913">
        <v>41.129999999999995</v>
      </c>
      <c r="AI40" s="913">
        <v>41.364999999999995</v>
      </c>
      <c r="AJ40" s="913">
        <v>41.650000000000006</v>
      </c>
      <c r="AK40" s="913">
        <v>41.935000000000002</v>
      </c>
      <c r="AL40" s="913">
        <v>42.260000000000005</v>
      </c>
      <c r="AM40" s="913">
        <v>42.56</v>
      </c>
      <c r="AN40" s="913">
        <v>42.78</v>
      </c>
      <c r="AO40" s="913">
        <v>42.954999999999998</v>
      </c>
      <c r="AP40" s="913">
        <v>43.12</v>
      </c>
      <c r="AQ40" s="913">
        <v>43.245000000000005</v>
      </c>
      <c r="AR40" s="913">
        <v>43.42</v>
      </c>
      <c r="AS40" s="913">
        <v>43.465000000000003</v>
      </c>
      <c r="AT40" s="913">
        <v>43.515000000000001</v>
      </c>
      <c r="AU40" s="913">
        <v>43.605000000000004</v>
      </c>
      <c r="AV40" s="913">
        <v>43.695</v>
      </c>
      <c r="AW40" s="913">
        <v>43.94</v>
      </c>
      <c r="AX40" s="913">
        <v>44.04</v>
      </c>
      <c r="AY40" s="913">
        <v>44.174999999999997</v>
      </c>
      <c r="AZ40" s="913">
        <v>44.265000000000001</v>
      </c>
      <c r="BA40" s="913">
        <v>44.379999999999995</v>
      </c>
      <c r="BB40" s="913">
        <v>44.51</v>
      </c>
      <c r="BC40" s="913">
        <v>44.635000000000005</v>
      </c>
      <c r="BD40" s="913">
        <v>44.784999999999997</v>
      </c>
      <c r="BE40" s="913">
        <v>44.954999999999998</v>
      </c>
      <c r="BF40" s="913">
        <v>45.134999999999998</v>
      </c>
      <c r="BG40" s="913">
        <v>45.3</v>
      </c>
      <c r="BH40" s="913">
        <v>45.515000000000001</v>
      </c>
      <c r="BI40" s="913">
        <v>45.68</v>
      </c>
      <c r="BJ40" s="913">
        <v>45.870000000000005</v>
      </c>
      <c r="BK40" s="913">
        <v>46.045000000000002</v>
      </c>
      <c r="BL40" s="913">
        <v>46.25</v>
      </c>
      <c r="BM40" s="913">
        <v>46.454999999999998</v>
      </c>
      <c r="BN40" s="913">
        <v>46.64</v>
      </c>
      <c r="BO40" s="913">
        <v>46.8</v>
      </c>
      <c r="BP40" s="913">
        <v>46.984999999999999</v>
      </c>
      <c r="BQ40" s="913">
        <v>47.150000000000006</v>
      </c>
      <c r="BR40" s="913">
        <v>47.31</v>
      </c>
      <c r="BS40" s="913">
        <v>47.475000000000001</v>
      </c>
      <c r="BT40" s="914">
        <v>47.625</v>
      </c>
      <c r="BU40" s="913">
        <v>47.765000000000001</v>
      </c>
      <c r="BV40" s="913">
        <v>47.924999999999997</v>
      </c>
      <c r="BW40" s="913">
        <v>48.085000000000001</v>
      </c>
      <c r="BX40" s="913">
        <v>48.234999999999999</v>
      </c>
      <c r="BY40" s="913">
        <v>48.379999999999995</v>
      </c>
      <c r="BZ40" s="913">
        <v>48.525000000000006</v>
      </c>
      <c r="CA40" s="913">
        <v>48.68</v>
      </c>
      <c r="CB40" s="913">
        <v>48.825000000000003</v>
      </c>
      <c r="CC40" s="913">
        <v>48.975000000000001</v>
      </c>
      <c r="CD40" s="913">
        <v>49.125</v>
      </c>
      <c r="CE40" s="913">
        <v>49.269999999999996</v>
      </c>
      <c r="CF40" s="913">
        <v>49.414999999999999</v>
      </c>
      <c r="CG40" s="913">
        <v>49.564999999999998</v>
      </c>
      <c r="CH40" s="913">
        <v>49.71</v>
      </c>
      <c r="CI40" s="913">
        <v>49.85</v>
      </c>
      <c r="CJ40" s="913">
        <v>49.995000000000005</v>
      </c>
      <c r="CK40" s="913">
        <v>50.135000000000005</v>
      </c>
      <c r="CL40" s="913">
        <v>50.274999999999999</v>
      </c>
      <c r="CM40" s="913">
        <v>50.415000000000006</v>
      </c>
      <c r="CN40" s="913">
        <v>50.55</v>
      </c>
      <c r="CO40" s="913">
        <v>50.69</v>
      </c>
      <c r="CP40" s="913">
        <v>50.825000000000003</v>
      </c>
      <c r="CQ40" s="913">
        <v>50.96</v>
      </c>
      <c r="CR40" s="913">
        <v>51.094999999999999</v>
      </c>
      <c r="CS40" s="913">
        <v>51.224999999999994</v>
      </c>
      <c r="CT40" s="913">
        <v>51.36</v>
      </c>
      <c r="CU40" s="913">
        <v>51.495000000000005</v>
      </c>
      <c r="CV40" s="913">
        <v>51.62</v>
      </c>
      <c r="CW40" s="913">
        <v>51.75</v>
      </c>
      <c r="CX40" s="913">
        <v>51.88</v>
      </c>
      <c r="CY40" s="913">
        <v>52.005000000000003</v>
      </c>
      <c r="CZ40" s="913">
        <v>52.135000000000005</v>
      </c>
      <c r="DA40" s="913">
        <v>52.260000000000005</v>
      </c>
      <c r="DB40" s="913">
        <v>52.385000000000005</v>
      </c>
      <c r="DC40" s="913">
        <v>52.5</v>
      </c>
      <c r="DD40" s="913">
        <v>52.625</v>
      </c>
      <c r="DE40" s="913">
        <v>52.75</v>
      </c>
      <c r="DF40" s="913">
        <v>52.865000000000002</v>
      </c>
      <c r="DG40" s="913">
        <v>52.99</v>
      </c>
      <c r="DH40" s="913">
        <v>53.105000000000004</v>
      </c>
      <c r="DI40" s="913">
        <v>53.22</v>
      </c>
      <c r="DJ40" s="913">
        <v>53.335000000000001</v>
      </c>
      <c r="DK40" s="913">
        <v>53.45</v>
      </c>
      <c r="DL40" s="913">
        <v>53.564999999999998</v>
      </c>
      <c r="DM40" s="913">
        <v>53.68</v>
      </c>
      <c r="DN40" s="913">
        <v>53.795000000000002</v>
      </c>
      <c r="DO40" s="913">
        <v>53.905000000000001</v>
      </c>
      <c r="DP40" s="913">
        <v>54.015000000000001</v>
      </c>
      <c r="DQ40" s="913">
        <v>54.125</v>
      </c>
      <c r="DR40" s="913">
        <v>54.230000000000004</v>
      </c>
    </row>
    <row r="41" spans="1:122" s="127" customFormat="1" ht="12.75">
      <c r="A41" s="917">
        <v>39</v>
      </c>
      <c r="B41" s="913"/>
      <c r="C41" s="913"/>
      <c r="D41" s="913"/>
      <c r="E41" s="913"/>
      <c r="F41" s="913"/>
      <c r="G41" s="913"/>
      <c r="H41" s="913"/>
      <c r="I41" s="913"/>
      <c r="J41" s="913"/>
      <c r="K41" s="913"/>
      <c r="L41" s="913"/>
      <c r="M41" s="913"/>
      <c r="N41" s="913"/>
      <c r="O41" s="913"/>
      <c r="P41" s="913"/>
      <c r="Q41" s="913"/>
      <c r="R41" s="913"/>
      <c r="S41" s="913"/>
      <c r="T41" s="913"/>
      <c r="U41" s="913"/>
      <c r="V41" s="913"/>
      <c r="W41" s="913">
        <v>38.314999999999998</v>
      </c>
      <c r="X41" s="913">
        <v>38.53</v>
      </c>
      <c r="Y41" s="913">
        <v>38.659999999999997</v>
      </c>
      <c r="Z41" s="913">
        <v>38.89</v>
      </c>
      <c r="AA41" s="913">
        <v>39.064999999999998</v>
      </c>
      <c r="AB41" s="913">
        <v>39.244999999999997</v>
      </c>
      <c r="AC41" s="913">
        <v>39.36</v>
      </c>
      <c r="AD41" s="913">
        <v>39.394999999999996</v>
      </c>
      <c r="AE41" s="913">
        <v>39.54</v>
      </c>
      <c r="AF41" s="913">
        <v>39.74</v>
      </c>
      <c r="AG41" s="913">
        <v>39.97</v>
      </c>
      <c r="AH41" s="913">
        <v>40.215000000000003</v>
      </c>
      <c r="AI41" s="913">
        <v>40.450000000000003</v>
      </c>
      <c r="AJ41" s="913">
        <v>40.734999999999999</v>
      </c>
      <c r="AK41" s="913">
        <v>41.015000000000001</v>
      </c>
      <c r="AL41" s="913">
        <v>41.34</v>
      </c>
      <c r="AM41" s="913">
        <v>41.644999999999996</v>
      </c>
      <c r="AN41" s="913">
        <v>41.86</v>
      </c>
      <c r="AO41" s="913">
        <v>42.03</v>
      </c>
      <c r="AP41" s="913">
        <v>42.195</v>
      </c>
      <c r="AQ41" s="913">
        <v>42.325000000000003</v>
      </c>
      <c r="AR41" s="913">
        <v>42.49</v>
      </c>
      <c r="AS41" s="913">
        <v>42.54</v>
      </c>
      <c r="AT41" s="913">
        <v>42.59</v>
      </c>
      <c r="AU41" s="913">
        <v>42.674999999999997</v>
      </c>
      <c r="AV41" s="913">
        <v>42.765000000000001</v>
      </c>
      <c r="AW41" s="913">
        <v>43.004999999999995</v>
      </c>
      <c r="AX41" s="913">
        <v>43.104999999999997</v>
      </c>
      <c r="AY41" s="913">
        <v>43.239999999999995</v>
      </c>
      <c r="AZ41" s="913">
        <v>43.33</v>
      </c>
      <c r="BA41" s="913">
        <v>43.445</v>
      </c>
      <c r="BB41" s="913">
        <v>43.58</v>
      </c>
      <c r="BC41" s="913">
        <v>43.71</v>
      </c>
      <c r="BD41" s="913">
        <v>43.86</v>
      </c>
      <c r="BE41" s="913">
        <v>44.024999999999999</v>
      </c>
      <c r="BF41" s="913">
        <v>44.2</v>
      </c>
      <c r="BG41" s="913">
        <v>44.37</v>
      </c>
      <c r="BH41" s="913">
        <v>44.58</v>
      </c>
      <c r="BI41" s="913">
        <v>44.734999999999999</v>
      </c>
      <c r="BJ41" s="913">
        <v>44.924999999999997</v>
      </c>
      <c r="BK41" s="913">
        <v>45.099999999999994</v>
      </c>
      <c r="BL41" s="913">
        <v>45.305</v>
      </c>
      <c r="BM41" s="913">
        <v>45.504999999999995</v>
      </c>
      <c r="BN41" s="913">
        <v>45.69</v>
      </c>
      <c r="BO41" s="913">
        <v>45.85</v>
      </c>
      <c r="BP41" s="913">
        <v>46.03</v>
      </c>
      <c r="BQ41" s="913">
        <v>46.19</v>
      </c>
      <c r="BR41" s="913">
        <v>46.349999999999994</v>
      </c>
      <c r="BS41" s="913">
        <v>46.515000000000001</v>
      </c>
      <c r="BT41" s="914">
        <v>46.664999999999999</v>
      </c>
      <c r="BU41" s="913">
        <v>46.805</v>
      </c>
      <c r="BV41" s="913">
        <v>46.965000000000003</v>
      </c>
      <c r="BW41" s="913">
        <v>47.125</v>
      </c>
      <c r="BX41" s="913">
        <v>47.274999999999999</v>
      </c>
      <c r="BY41" s="913">
        <v>47.42</v>
      </c>
      <c r="BZ41" s="913">
        <v>47.564999999999998</v>
      </c>
      <c r="CA41" s="913">
        <v>47.72</v>
      </c>
      <c r="CB41" s="913">
        <v>47.864999999999995</v>
      </c>
      <c r="CC41" s="913">
        <v>48.015000000000001</v>
      </c>
      <c r="CD41" s="913">
        <v>48.16</v>
      </c>
      <c r="CE41" s="913">
        <v>48.31</v>
      </c>
      <c r="CF41" s="913">
        <v>48.454999999999998</v>
      </c>
      <c r="CG41" s="913">
        <v>48.599999999999994</v>
      </c>
      <c r="CH41" s="913">
        <v>48.74</v>
      </c>
      <c r="CI41" s="913">
        <v>48.884999999999998</v>
      </c>
      <c r="CJ41" s="913">
        <v>49.025000000000006</v>
      </c>
      <c r="CK41" s="913">
        <v>49.17</v>
      </c>
      <c r="CL41" s="913">
        <v>49.305</v>
      </c>
      <c r="CM41" s="913">
        <v>49.445</v>
      </c>
      <c r="CN41" s="913">
        <v>49.58</v>
      </c>
      <c r="CO41" s="913">
        <v>49.72</v>
      </c>
      <c r="CP41" s="913">
        <v>49.855000000000004</v>
      </c>
      <c r="CQ41" s="913">
        <v>49.99</v>
      </c>
      <c r="CR41" s="913">
        <v>50.125</v>
      </c>
      <c r="CS41" s="913">
        <v>50.26</v>
      </c>
      <c r="CT41" s="913">
        <v>50.384999999999998</v>
      </c>
      <c r="CU41" s="913">
        <v>50.519999999999996</v>
      </c>
      <c r="CV41" s="913">
        <v>50.650000000000006</v>
      </c>
      <c r="CW41" s="913">
        <v>50.775000000000006</v>
      </c>
      <c r="CX41" s="913">
        <v>50.9</v>
      </c>
      <c r="CY41" s="913">
        <v>51.03</v>
      </c>
      <c r="CZ41" s="913">
        <v>51.155000000000001</v>
      </c>
      <c r="DA41" s="913">
        <v>51.28</v>
      </c>
      <c r="DB41" s="913">
        <v>51.405000000000001</v>
      </c>
      <c r="DC41" s="913">
        <v>51.524999999999999</v>
      </c>
      <c r="DD41" s="913">
        <v>51.65</v>
      </c>
      <c r="DE41" s="913">
        <v>51.769999999999996</v>
      </c>
      <c r="DF41" s="913">
        <v>51.89</v>
      </c>
      <c r="DG41" s="913">
        <v>52.004999999999995</v>
      </c>
      <c r="DH41" s="913">
        <v>52.125</v>
      </c>
      <c r="DI41" s="913">
        <v>52.245000000000005</v>
      </c>
      <c r="DJ41" s="913">
        <v>52.36</v>
      </c>
      <c r="DK41" s="913">
        <v>52.475000000000001</v>
      </c>
      <c r="DL41" s="913">
        <v>52.59</v>
      </c>
      <c r="DM41" s="913">
        <v>52.7</v>
      </c>
      <c r="DN41" s="913">
        <v>52.81</v>
      </c>
      <c r="DO41" s="913">
        <v>52.924999999999997</v>
      </c>
      <c r="DP41" s="913">
        <v>53.034999999999997</v>
      </c>
      <c r="DQ41" s="913">
        <v>53.14</v>
      </c>
      <c r="DR41" s="913">
        <v>53.255000000000003</v>
      </c>
    </row>
    <row r="42" spans="1:122" s="127" customFormat="1" ht="12.75">
      <c r="A42" s="917">
        <v>40</v>
      </c>
      <c r="B42" s="913"/>
      <c r="C42" s="913"/>
      <c r="D42" s="913"/>
      <c r="E42" s="913"/>
      <c r="F42" s="913"/>
      <c r="G42" s="913"/>
      <c r="H42" s="913"/>
      <c r="I42" s="913"/>
      <c r="J42" s="913"/>
      <c r="K42" s="913"/>
      <c r="L42" s="913"/>
      <c r="M42" s="913"/>
      <c r="N42" s="913"/>
      <c r="O42" s="913"/>
      <c r="P42" s="913"/>
      <c r="Q42" s="913"/>
      <c r="R42" s="913"/>
      <c r="S42" s="913"/>
      <c r="T42" s="913"/>
      <c r="U42" s="913"/>
      <c r="V42" s="913"/>
      <c r="W42" s="913">
        <v>37.405000000000001</v>
      </c>
      <c r="X42" s="913">
        <v>37.614999999999995</v>
      </c>
      <c r="Y42" s="913">
        <v>37.744999999999997</v>
      </c>
      <c r="Z42" s="913">
        <v>37.975000000000001</v>
      </c>
      <c r="AA42" s="913">
        <v>38.155000000000001</v>
      </c>
      <c r="AB42" s="913">
        <v>38.325000000000003</v>
      </c>
      <c r="AC42" s="913">
        <v>38.445</v>
      </c>
      <c r="AD42" s="913">
        <v>38.475000000000001</v>
      </c>
      <c r="AE42" s="913">
        <v>38.625</v>
      </c>
      <c r="AF42" s="913">
        <v>38.825000000000003</v>
      </c>
      <c r="AG42" s="913">
        <v>39.055</v>
      </c>
      <c r="AH42" s="913">
        <v>39.305</v>
      </c>
      <c r="AI42" s="913">
        <v>39.534999999999997</v>
      </c>
      <c r="AJ42" s="913">
        <v>39.82</v>
      </c>
      <c r="AK42" s="913">
        <v>40.1</v>
      </c>
      <c r="AL42" s="913">
        <v>40.42</v>
      </c>
      <c r="AM42" s="913">
        <v>40.730000000000004</v>
      </c>
      <c r="AN42" s="913">
        <v>40.94</v>
      </c>
      <c r="AO42" s="913">
        <v>41.114999999999995</v>
      </c>
      <c r="AP42" s="913">
        <v>41.28</v>
      </c>
      <c r="AQ42" s="913">
        <v>41.405000000000001</v>
      </c>
      <c r="AR42" s="913">
        <v>41.57</v>
      </c>
      <c r="AS42" s="913">
        <v>41.615000000000002</v>
      </c>
      <c r="AT42" s="913">
        <v>41.66</v>
      </c>
      <c r="AU42" s="913">
        <v>41.75</v>
      </c>
      <c r="AV42" s="913">
        <v>41.84</v>
      </c>
      <c r="AW42" s="913">
        <v>42.075000000000003</v>
      </c>
      <c r="AX42" s="913">
        <v>42.174999999999997</v>
      </c>
      <c r="AY42" s="913">
        <v>42.305</v>
      </c>
      <c r="AZ42" s="913">
        <v>42.405000000000001</v>
      </c>
      <c r="BA42" s="913">
        <v>42.519999999999996</v>
      </c>
      <c r="BB42" s="913">
        <v>42.66</v>
      </c>
      <c r="BC42" s="913">
        <v>42.784999999999997</v>
      </c>
      <c r="BD42" s="913">
        <v>42.93</v>
      </c>
      <c r="BE42" s="913">
        <v>43.099999999999994</v>
      </c>
      <c r="BF42" s="913">
        <v>43.265000000000001</v>
      </c>
      <c r="BG42" s="913">
        <v>43.43</v>
      </c>
      <c r="BH42" s="913">
        <v>43.64</v>
      </c>
      <c r="BI42" s="913">
        <v>43.8</v>
      </c>
      <c r="BJ42" s="913">
        <v>43.989999999999995</v>
      </c>
      <c r="BK42" s="913">
        <v>44.155000000000001</v>
      </c>
      <c r="BL42" s="913">
        <v>44.355000000000004</v>
      </c>
      <c r="BM42" s="913">
        <v>44.56</v>
      </c>
      <c r="BN42" s="913">
        <v>44.739999999999995</v>
      </c>
      <c r="BO42" s="913">
        <v>44.894999999999996</v>
      </c>
      <c r="BP42" s="913">
        <v>45.075000000000003</v>
      </c>
      <c r="BQ42" s="913">
        <v>45.234999999999999</v>
      </c>
      <c r="BR42" s="913">
        <v>45.39</v>
      </c>
      <c r="BS42" s="913">
        <v>45.555</v>
      </c>
      <c r="BT42" s="914">
        <v>45.704999999999998</v>
      </c>
      <c r="BU42" s="913">
        <v>45.844999999999999</v>
      </c>
      <c r="BV42" s="913">
        <v>46.004999999999995</v>
      </c>
      <c r="BW42" s="913">
        <v>46.165000000000006</v>
      </c>
      <c r="BX42" s="913">
        <v>46.314999999999998</v>
      </c>
      <c r="BY42" s="913">
        <v>46.46</v>
      </c>
      <c r="BZ42" s="913">
        <v>46.604999999999997</v>
      </c>
      <c r="CA42" s="913">
        <v>46.76</v>
      </c>
      <c r="CB42" s="913">
        <v>46.905000000000001</v>
      </c>
      <c r="CC42" s="913">
        <v>47.055</v>
      </c>
      <c r="CD42" s="913">
        <v>47.2</v>
      </c>
      <c r="CE42" s="913">
        <v>47.35</v>
      </c>
      <c r="CF42" s="913">
        <v>47.495000000000005</v>
      </c>
      <c r="CG42" s="913">
        <v>47.635000000000005</v>
      </c>
      <c r="CH42" s="913">
        <v>47.78</v>
      </c>
      <c r="CI42" s="913">
        <v>47.92</v>
      </c>
      <c r="CJ42" s="913">
        <v>48.06</v>
      </c>
      <c r="CK42" s="913">
        <v>48.2</v>
      </c>
      <c r="CL42" s="913">
        <v>48.344999999999999</v>
      </c>
      <c r="CM42" s="913">
        <v>48.480000000000004</v>
      </c>
      <c r="CN42" s="913">
        <v>48.614999999999995</v>
      </c>
      <c r="CO42" s="913">
        <v>48.755000000000003</v>
      </c>
      <c r="CP42" s="913">
        <v>48.89</v>
      </c>
      <c r="CQ42" s="913">
        <v>49.019999999999996</v>
      </c>
      <c r="CR42" s="913">
        <v>49.155000000000001</v>
      </c>
      <c r="CS42" s="913">
        <v>49.284999999999997</v>
      </c>
      <c r="CT42" s="913">
        <v>49.414999999999999</v>
      </c>
      <c r="CU42" s="913">
        <v>49.55</v>
      </c>
      <c r="CV42" s="913">
        <v>49.674999999999997</v>
      </c>
      <c r="CW42" s="913">
        <v>49.8</v>
      </c>
      <c r="CX42" s="913">
        <v>49.930000000000007</v>
      </c>
      <c r="CY42" s="913">
        <v>50.055</v>
      </c>
      <c r="CZ42" s="913">
        <v>50.18</v>
      </c>
      <c r="DA42" s="913">
        <v>50.305</v>
      </c>
      <c r="DB42" s="913">
        <v>50.43</v>
      </c>
      <c r="DC42" s="913">
        <v>50.55</v>
      </c>
      <c r="DD42" s="913">
        <v>50.67</v>
      </c>
      <c r="DE42" s="913">
        <v>50.795000000000002</v>
      </c>
      <c r="DF42" s="913">
        <v>50.91</v>
      </c>
      <c r="DG42" s="913">
        <v>51.03</v>
      </c>
      <c r="DH42" s="913">
        <v>51.144999999999996</v>
      </c>
      <c r="DI42" s="913">
        <v>51.265000000000001</v>
      </c>
      <c r="DJ42" s="913">
        <v>51.379999999999995</v>
      </c>
      <c r="DK42" s="913">
        <v>51.49</v>
      </c>
      <c r="DL42" s="913">
        <v>51.605000000000004</v>
      </c>
      <c r="DM42" s="913">
        <v>51.72</v>
      </c>
      <c r="DN42" s="913">
        <v>51.83</v>
      </c>
      <c r="DO42" s="913">
        <v>51.94</v>
      </c>
      <c r="DP42" s="913">
        <v>52.05</v>
      </c>
      <c r="DQ42" s="913">
        <v>52.164999999999999</v>
      </c>
      <c r="DR42" s="913">
        <v>52.269999999999996</v>
      </c>
    </row>
    <row r="43" spans="1:122" s="127" customFormat="1" ht="12.75">
      <c r="A43" s="917">
        <v>41</v>
      </c>
      <c r="B43" s="913"/>
      <c r="C43" s="913"/>
      <c r="D43" s="913"/>
      <c r="E43" s="913"/>
      <c r="F43" s="913"/>
      <c r="G43" s="913"/>
      <c r="H43" s="913"/>
      <c r="I43" s="913"/>
      <c r="J43" s="913"/>
      <c r="K43" s="913"/>
      <c r="L43" s="913"/>
      <c r="M43" s="913"/>
      <c r="N43" s="913"/>
      <c r="O43" s="913"/>
      <c r="P43" s="913"/>
      <c r="Q43" s="913"/>
      <c r="R43" s="913"/>
      <c r="S43" s="913"/>
      <c r="T43" s="913"/>
      <c r="U43" s="913"/>
      <c r="V43" s="913"/>
      <c r="W43" s="913">
        <v>36.49</v>
      </c>
      <c r="X43" s="913">
        <v>36.704999999999998</v>
      </c>
      <c r="Y43" s="913">
        <v>36.835000000000001</v>
      </c>
      <c r="Z43" s="913">
        <v>37.064999999999998</v>
      </c>
      <c r="AA43" s="913">
        <v>37.24</v>
      </c>
      <c r="AB43" s="913">
        <v>37.42</v>
      </c>
      <c r="AC43" s="913">
        <v>37.53</v>
      </c>
      <c r="AD43" s="913">
        <v>37.564999999999998</v>
      </c>
      <c r="AE43" s="913">
        <v>37.72</v>
      </c>
      <c r="AF43" s="913">
        <v>37.924999999999997</v>
      </c>
      <c r="AG43" s="913">
        <v>38.144999999999996</v>
      </c>
      <c r="AH43" s="913">
        <v>38.39</v>
      </c>
      <c r="AI43" s="913">
        <v>38.625</v>
      </c>
      <c r="AJ43" s="913">
        <v>38.905000000000001</v>
      </c>
      <c r="AK43" s="913">
        <v>39.195</v>
      </c>
      <c r="AL43" s="913">
        <v>39.515000000000001</v>
      </c>
      <c r="AM43" s="913">
        <v>39.81</v>
      </c>
      <c r="AN43" s="913">
        <v>40.03</v>
      </c>
      <c r="AO43" s="913">
        <v>40.200000000000003</v>
      </c>
      <c r="AP43" s="913">
        <v>40.364999999999995</v>
      </c>
      <c r="AQ43" s="913">
        <v>40.489999999999995</v>
      </c>
      <c r="AR43" s="913">
        <v>40.65</v>
      </c>
      <c r="AS43" s="913">
        <v>40.695</v>
      </c>
      <c r="AT43" s="913">
        <v>40.739999999999995</v>
      </c>
      <c r="AU43" s="913">
        <v>40.825000000000003</v>
      </c>
      <c r="AV43" s="913">
        <v>40.909999999999997</v>
      </c>
      <c r="AW43" s="913">
        <v>41.15</v>
      </c>
      <c r="AX43" s="913">
        <v>41.25</v>
      </c>
      <c r="AY43" s="913">
        <v>41.375</v>
      </c>
      <c r="AZ43" s="913">
        <v>41.484999999999999</v>
      </c>
      <c r="BA43" s="913">
        <v>41.594999999999999</v>
      </c>
      <c r="BB43" s="913">
        <v>41.734999999999999</v>
      </c>
      <c r="BC43" s="913">
        <v>41.864999999999995</v>
      </c>
      <c r="BD43" s="913">
        <v>42.004999999999995</v>
      </c>
      <c r="BE43" s="913">
        <v>42.17</v>
      </c>
      <c r="BF43" s="913">
        <v>42.34</v>
      </c>
      <c r="BG43" s="913">
        <v>42.5</v>
      </c>
      <c r="BH43" s="913">
        <v>42.704999999999998</v>
      </c>
      <c r="BI43" s="913">
        <v>42.86</v>
      </c>
      <c r="BJ43" s="913">
        <v>43.05</v>
      </c>
      <c r="BK43" s="913">
        <v>43.215000000000003</v>
      </c>
      <c r="BL43" s="913">
        <v>43.41</v>
      </c>
      <c r="BM43" s="913">
        <v>43.61</v>
      </c>
      <c r="BN43" s="913">
        <v>43.79</v>
      </c>
      <c r="BO43" s="913">
        <v>43.95</v>
      </c>
      <c r="BP43" s="913">
        <v>44.125</v>
      </c>
      <c r="BQ43" s="913">
        <v>44.274999999999999</v>
      </c>
      <c r="BR43" s="913">
        <v>44.435000000000002</v>
      </c>
      <c r="BS43" s="913">
        <v>44.599999999999994</v>
      </c>
      <c r="BT43" s="914">
        <v>44.75</v>
      </c>
      <c r="BU43" s="913">
        <v>44.894999999999996</v>
      </c>
      <c r="BV43" s="913">
        <v>45.05</v>
      </c>
      <c r="BW43" s="913">
        <v>45.204999999999998</v>
      </c>
      <c r="BX43" s="913">
        <v>45.355000000000004</v>
      </c>
      <c r="BY43" s="913">
        <v>45.5</v>
      </c>
      <c r="BZ43" s="913">
        <v>45.644999999999996</v>
      </c>
      <c r="CA43" s="913">
        <v>45.8</v>
      </c>
      <c r="CB43" s="913">
        <v>45.95</v>
      </c>
      <c r="CC43" s="913">
        <v>46.094999999999999</v>
      </c>
      <c r="CD43" s="913">
        <v>46.239999999999995</v>
      </c>
      <c r="CE43" s="913">
        <v>46.39</v>
      </c>
      <c r="CF43" s="913">
        <v>46.534999999999997</v>
      </c>
      <c r="CG43" s="913">
        <v>46.674999999999997</v>
      </c>
      <c r="CH43" s="913">
        <v>46.819999999999993</v>
      </c>
      <c r="CI43" s="913">
        <v>46.954999999999998</v>
      </c>
      <c r="CJ43" s="913">
        <v>47.099999999999994</v>
      </c>
      <c r="CK43" s="913">
        <v>47.24</v>
      </c>
      <c r="CL43" s="913">
        <v>47.375</v>
      </c>
      <c r="CM43" s="913">
        <v>47.510000000000005</v>
      </c>
      <c r="CN43" s="913">
        <v>47.650000000000006</v>
      </c>
      <c r="CO43" s="913">
        <v>47.784999999999997</v>
      </c>
      <c r="CP43" s="913">
        <v>47.92</v>
      </c>
      <c r="CQ43" s="913">
        <v>48.055</v>
      </c>
      <c r="CR43" s="913">
        <v>48.185000000000002</v>
      </c>
      <c r="CS43" s="913">
        <v>48.314999999999998</v>
      </c>
      <c r="CT43" s="913">
        <v>48.444999999999993</v>
      </c>
      <c r="CU43" s="913">
        <v>48.575000000000003</v>
      </c>
      <c r="CV43" s="913">
        <v>48.704999999999998</v>
      </c>
      <c r="CW43" s="913">
        <v>48.83</v>
      </c>
      <c r="CX43" s="913">
        <v>48.954999999999998</v>
      </c>
      <c r="CY43" s="913">
        <v>49.08</v>
      </c>
      <c r="CZ43" s="913">
        <v>49.204999999999998</v>
      </c>
      <c r="DA43" s="913">
        <v>49.33</v>
      </c>
      <c r="DB43" s="913">
        <v>49.454999999999998</v>
      </c>
      <c r="DC43" s="913">
        <v>49.58</v>
      </c>
      <c r="DD43" s="913">
        <v>49.695</v>
      </c>
      <c r="DE43" s="913">
        <v>49.82</v>
      </c>
      <c r="DF43" s="913">
        <v>49.935000000000002</v>
      </c>
      <c r="DG43" s="913">
        <v>50.05</v>
      </c>
      <c r="DH43" s="913">
        <v>50.17</v>
      </c>
      <c r="DI43" s="913">
        <v>50.284999999999997</v>
      </c>
      <c r="DJ43" s="913">
        <v>50.400000000000006</v>
      </c>
      <c r="DK43" s="913">
        <v>50.515000000000001</v>
      </c>
      <c r="DL43" s="913">
        <v>50.629999999999995</v>
      </c>
      <c r="DM43" s="913">
        <v>50.745000000000005</v>
      </c>
      <c r="DN43" s="913">
        <v>50.85</v>
      </c>
      <c r="DO43" s="913">
        <v>50.959999999999994</v>
      </c>
      <c r="DP43" s="913">
        <v>51.07</v>
      </c>
      <c r="DQ43" s="913">
        <v>51.18</v>
      </c>
      <c r="DR43" s="913">
        <v>51.284999999999997</v>
      </c>
    </row>
    <row r="44" spans="1:122" s="127" customFormat="1" ht="12.75">
      <c r="A44" s="917">
        <v>42</v>
      </c>
      <c r="B44" s="913"/>
      <c r="C44" s="913"/>
      <c r="D44" s="913"/>
      <c r="E44" s="913"/>
      <c r="F44" s="913"/>
      <c r="G44" s="913"/>
      <c r="H44" s="913"/>
      <c r="I44" s="913"/>
      <c r="J44" s="913"/>
      <c r="K44" s="913"/>
      <c r="L44" s="913"/>
      <c r="M44" s="913"/>
      <c r="N44" s="913"/>
      <c r="O44" s="913"/>
      <c r="P44" s="913"/>
      <c r="Q44" s="913"/>
      <c r="R44" s="913"/>
      <c r="S44" s="913"/>
      <c r="T44" s="913"/>
      <c r="U44" s="913"/>
      <c r="V44" s="913"/>
      <c r="W44" s="913">
        <v>35.585000000000001</v>
      </c>
      <c r="X44" s="913">
        <v>35.799999999999997</v>
      </c>
      <c r="Y44" s="913">
        <v>35.924999999999997</v>
      </c>
      <c r="Z44" s="913">
        <v>36.159999999999997</v>
      </c>
      <c r="AA44" s="913">
        <v>36.335000000000001</v>
      </c>
      <c r="AB44" s="913">
        <v>36.510000000000005</v>
      </c>
      <c r="AC44" s="913">
        <v>36.625</v>
      </c>
      <c r="AD44" s="913">
        <v>36.659999999999997</v>
      </c>
      <c r="AE44" s="913">
        <v>36.82</v>
      </c>
      <c r="AF44" s="913">
        <v>37.019999999999996</v>
      </c>
      <c r="AG44" s="913">
        <v>37.24</v>
      </c>
      <c r="AH44" s="913">
        <v>37.484999999999999</v>
      </c>
      <c r="AI44" s="913">
        <v>37.72</v>
      </c>
      <c r="AJ44" s="913">
        <v>38.010000000000005</v>
      </c>
      <c r="AK44" s="913">
        <v>38.290000000000006</v>
      </c>
      <c r="AL44" s="913">
        <v>38.61</v>
      </c>
      <c r="AM44" s="913">
        <v>38.905000000000001</v>
      </c>
      <c r="AN44" s="913">
        <v>39.125</v>
      </c>
      <c r="AO44" s="913">
        <v>39.284999999999997</v>
      </c>
      <c r="AP44" s="913">
        <v>39.454999999999998</v>
      </c>
      <c r="AQ44" s="913">
        <v>39.575000000000003</v>
      </c>
      <c r="AR44" s="913">
        <v>39.734999999999999</v>
      </c>
      <c r="AS44" s="913">
        <v>39.78</v>
      </c>
      <c r="AT44" s="913">
        <v>39.814999999999998</v>
      </c>
      <c r="AU44" s="913">
        <v>39.905000000000001</v>
      </c>
      <c r="AV44" s="913">
        <v>39.984999999999999</v>
      </c>
      <c r="AW44" s="913">
        <v>40.225000000000001</v>
      </c>
      <c r="AX44" s="913">
        <v>40.325000000000003</v>
      </c>
      <c r="AY44" s="913">
        <v>40.454999999999998</v>
      </c>
      <c r="AZ44" s="913">
        <v>40.575000000000003</v>
      </c>
      <c r="BA44" s="913">
        <v>40.68</v>
      </c>
      <c r="BB44" s="913">
        <v>40.814999999999998</v>
      </c>
      <c r="BC44" s="913">
        <v>40.950000000000003</v>
      </c>
      <c r="BD44" s="913">
        <v>41.09</v>
      </c>
      <c r="BE44" s="913">
        <v>41.25</v>
      </c>
      <c r="BF44" s="913">
        <v>41.41</v>
      </c>
      <c r="BG44" s="913">
        <v>41.57</v>
      </c>
      <c r="BH44" s="913">
        <v>41.774999999999999</v>
      </c>
      <c r="BI44" s="913">
        <v>41.93</v>
      </c>
      <c r="BJ44" s="913">
        <v>42.11</v>
      </c>
      <c r="BK44" s="913">
        <v>42.28</v>
      </c>
      <c r="BL44" s="913">
        <v>42.475000000000001</v>
      </c>
      <c r="BM44" s="913">
        <v>42.67</v>
      </c>
      <c r="BN44" s="913">
        <v>42.844999999999999</v>
      </c>
      <c r="BO44" s="913">
        <v>43</v>
      </c>
      <c r="BP44" s="913">
        <v>43.174999999999997</v>
      </c>
      <c r="BQ44" s="913">
        <v>43.325000000000003</v>
      </c>
      <c r="BR44" s="913">
        <v>43.484999999999999</v>
      </c>
      <c r="BS44" s="913">
        <v>43.644999999999996</v>
      </c>
      <c r="BT44" s="914">
        <v>43.795000000000002</v>
      </c>
      <c r="BU44" s="913">
        <v>43.94</v>
      </c>
      <c r="BV44" s="913">
        <v>44.094999999999999</v>
      </c>
      <c r="BW44" s="913">
        <v>44.255000000000003</v>
      </c>
      <c r="BX44" s="913">
        <v>44.400000000000006</v>
      </c>
      <c r="BY44" s="913">
        <v>44.55</v>
      </c>
      <c r="BZ44" s="913">
        <v>44.7</v>
      </c>
      <c r="CA44" s="913">
        <v>44.844999999999999</v>
      </c>
      <c r="CB44" s="913">
        <v>44.99</v>
      </c>
      <c r="CC44" s="913">
        <v>45.14</v>
      </c>
      <c r="CD44" s="913">
        <v>45.284999999999997</v>
      </c>
      <c r="CE44" s="913">
        <v>45.43</v>
      </c>
      <c r="CF44" s="913">
        <v>45.575000000000003</v>
      </c>
      <c r="CG44" s="913">
        <v>45.715000000000003</v>
      </c>
      <c r="CH44" s="913">
        <v>45.86</v>
      </c>
      <c r="CI44" s="913">
        <v>45.995000000000005</v>
      </c>
      <c r="CJ44" s="913">
        <v>46.135000000000005</v>
      </c>
      <c r="CK44" s="913">
        <v>46.275000000000006</v>
      </c>
      <c r="CL44" s="913">
        <v>46.414999999999999</v>
      </c>
      <c r="CM44" s="913">
        <v>46.55</v>
      </c>
      <c r="CN44" s="913">
        <v>46.685000000000002</v>
      </c>
      <c r="CO44" s="913">
        <v>46.82</v>
      </c>
      <c r="CP44" s="913">
        <v>46.954999999999998</v>
      </c>
      <c r="CQ44" s="913">
        <v>47.085000000000001</v>
      </c>
      <c r="CR44" s="913">
        <v>47.22</v>
      </c>
      <c r="CS44" s="913">
        <v>47.344999999999999</v>
      </c>
      <c r="CT44" s="913">
        <v>47.480000000000004</v>
      </c>
      <c r="CU44" s="913">
        <v>47.604999999999997</v>
      </c>
      <c r="CV44" s="913">
        <v>47.734999999999999</v>
      </c>
      <c r="CW44" s="913">
        <v>47.865000000000002</v>
      </c>
      <c r="CX44" s="913">
        <v>47.99</v>
      </c>
      <c r="CY44" s="913">
        <v>48.114999999999995</v>
      </c>
      <c r="CZ44" s="913">
        <v>48.234999999999999</v>
      </c>
      <c r="DA44" s="913">
        <v>48.36</v>
      </c>
      <c r="DB44" s="913">
        <v>48.480000000000004</v>
      </c>
      <c r="DC44" s="913">
        <v>48.605000000000004</v>
      </c>
      <c r="DD44" s="913">
        <v>48.72</v>
      </c>
      <c r="DE44" s="913">
        <v>48.844999999999999</v>
      </c>
      <c r="DF44" s="913">
        <v>48.96</v>
      </c>
      <c r="DG44" s="913">
        <v>49.075000000000003</v>
      </c>
      <c r="DH44" s="913">
        <v>49.19</v>
      </c>
      <c r="DI44" s="913">
        <v>49.31</v>
      </c>
      <c r="DJ44" s="913">
        <v>49.424999999999997</v>
      </c>
      <c r="DK44" s="913">
        <v>49.534999999999997</v>
      </c>
      <c r="DL44" s="913">
        <v>49.650000000000006</v>
      </c>
      <c r="DM44" s="913">
        <v>49.76</v>
      </c>
      <c r="DN44" s="913">
        <v>49.875</v>
      </c>
      <c r="DO44" s="913">
        <v>49.980000000000004</v>
      </c>
      <c r="DP44" s="913">
        <v>50.09</v>
      </c>
      <c r="DQ44" s="913">
        <v>50.2</v>
      </c>
      <c r="DR44" s="913">
        <v>50.31</v>
      </c>
    </row>
    <row r="45" spans="1:122" s="127" customFormat="1" ht="12.75">
      <c r="A45" s="917">
        <v>43</v>
      </c>
      <c r="B45" s="913"/>
      <c r="C45" s="913"/>
      <c r="D45" s="913"/>
      <c r="E45" s="913"/>
      <c r="F45" s="913"/>
      <c r="G45" s="913"/>
      <c r="H45" s="913"/>
      <c r="I45" s="913"/>
      <c r="J45" s="913"/>
      <c r="K45" s="913"/>
      <c r="L45" s="913"/>
      <c r="M45" s="913"/>
      <c r="N45" s="913"/>
      <c r="O45" s="913"/>
      <c r="P45" s="913"/>
      <c r="Q45" s="913"/>
      <c r="R45" s="913"/>
      <c r="S45" s="913"/>
      <c r="T45" s="913"/>
      <c r="U45" s="913"/>
      <c r="V45" s="913"/>
      <c r="W45" s="913">
        <v>34.685000000000002</v>
      </c>
      <c r="X45" s="913">
        <v>34.9</v>
      </c>
      <c r="Y45" s="913">
        <v>35.03</v>
      </c>
      <c r="Z45" s="913">
        <v>35.260000000000005</v>
      </c>
      <c r="AA45" s="913">
        <v>35.43</v>
      </c>
      <c r="AB45" s="913">
        <v>35.605000000000004</v>
      </c>
      <c r="AC45" s="913">
        <v>35.729999999999997</v>
      </c>
      <c r="AD45" s="913">
        <v>35.765000000000001</v>
      </c>
      <c r="AE45" s="913">
        <v>35.924999999999997</v>
      </c>
      <c r="AF45" s="913">
        <v>36.129999999999995</v>
      </c>
      <c r="AG45" s="913">
        <v>36.349999999999994</v>
      </c>
      <c r="AH45" s="913">
        <v>36.585000000000001</v>
      </c>
      <c r="AI45" s="913">
        <v>36.82</v>
      </c>
      <c r="AJ45" s="913">
        <v>37.11</v>
      </c>
      <c r="AK45" s="913">
        <v>37.385000000000005</v>
      </c>
      <c r="AL45" s="913">
        <v>37.704999999999998</v>
      </c>
      <c r="AM45" s="913">
        <v>38.005000000000003</v>
      </c>
      <c r="AN45" s="913">
        <v>38.215000000000003</v>
      </c>
      <c r="AO45" s="913">
        <v>38.385000000000005</v>
      </c>
      <c r="AP45" s="913">
        <v>38.549999999999997</v>
      </c>
      <c r="AQ45" s="913">
        <v>38.665000000000006</v>
      </c>
      <c r="AR45" s="913">
        <v>38.82</v>
      </c>
      <c r="AS45" s="913">
        <v>38.864999999999995</v>
      </c>
      <c r="AT45" s="913">
        <v>38.905000000000001</v>
      </c>
      <c r="AU45" s="913">
        <v>38.984999999999999</v>
      </c>
      <c r="AV45" s="913">
        <v>39.075000000000003</v>
      </c>
      <c r="AW45" s="913">
        <v>39.31</v>
      </c>
      <c r="AX45" s="913">
        <v>39.414999999999999</v>
      </c>
      <c r="AY45" s="913">
        <v>39.545000000000002</v>
      </c>
      <c r="AZ45" s="913">
        <v>39.655000000000001</v>
      </c>
      <c r="BA45" s="913">
        <v>39.769999999999996</v>
      </c>
      <c r="BB45" s="913">
        <v>39.9</v>
      </c>
      <c r="BC45" s="913">
        <v>40.034999999999997</v>
      </c>
      <c r="BD45" s="913">
        <v>40.17</v>
      </c>
      <c r="BE45" s="913">
        <v>40.325000000000003</v>
      </c>
      <c r="BF45" s="913">
        <v>40.49</v>
      </c>
      <c r="BG45" s="913">
        <v>40.65</v>
      </c>
      <c r="BH45" s="913">
        <v>40.85</v>
      </c>
      <c r="BI45" s="913">
        <v>41</v>
      </c>
      <c r="BJ45" s="913">
        <v>41.18</v>
      </c>
      <c r="BK45" s="913">
        <v>41.349999999999994</v>
      </c>
      <c r="BL45" s="913">
        <v>41.54</v>
      </c>
      <c r="BM45" s="913">
        <v>41.724999999999994</v>
      </c>
      <c r="BN45" s="913">
        <v>41.900000000000006</v>
      </c>
      <c r="BO45" s="913">
        <v>42.06</v>
      </c>
      <c r="BP45" s="913">
        <v>42.230000000000004</v>
      </c>
      <c r="BQ45" s="913">
        <v>42.379999999999995</v>
      </c>
      <c r="BR45" s="913">
        <v>42.534999999999997</v>
      </c>
      <c r="BS45" s="913">
        <v>42.7</v>
      </c>
      <c r="BT45" s="914">
        <v>42.849999999999994</v>
      </c>
      <c r="BU45" s="913">
        <v>42.99</v>
      </c>
      <c r="BV45" s="913">
        <v>43.144999999999996</v>
      </c>
      <c r="BW45" s="913">
        <v>43.305</v>
      </c>
      <c r="BX45" s="913">
        <v>43.45</v>
      </c>
      <c r="BY45" s="913">
        <v>43.594999999999999</v>
      </c>
      <c r="BZ45" s="913">
        <v>43.745000000000005</v>
      </c>
      <c r="CA45" s="913">
        <v>43.894999999999996</v>
      </c>
      <c r="CB45" s="913">
        <v>44.04</v>
      </c>
      <c r="CC45" s="913">
        <v>44.185000000000002</v>
      </c>
      <c r="CD45" s="913">
        <v>44.33</v>
      </c>
      <c r="CE45" s="913">
        <v>44.474999999999994</v>
      </c>
      <c r="CF45" s="913">
        <v>44.614999999999995</v>
      </c>
      <c r="CG45" s="913">
        <v>44.754999999999995</v>
      </c>
      <c r="CH45" s="913">
        <v>44.9</v>
      </c>
      <c r="CI45" s="913">
        <v>45.034999999999997</v>
      </c>
      <c r="CJ45" s="913">
        <v>45.174999999999997</v>
      </c>
      <c r="CK45" s="913">
        <v>45.314999999999998</v>
      </c>
      <c r="CL45" s="913">
        <v>45.454999999999998</v>
      </c>
      <c r="CM45" s="913">
        <v>45.59</v>
      </c>
      <c r="CN45" s="913">
        <v>45.725000000000001</v>
      </c>
      <c r="CO45" s="913">
        <v>45.86</v>
      </c>
      <c r="CP45" s="913">
        <v>45.989999999999995</v>
      </c>
      <c r="CQ45" s="913">
        <v>46.12</v>
      </c>
      <c r="CR45" s="913">
        <v>46.25</v>
      </c>
      <c r="CS45" s="913">
        <v>46.385000000000005</v>
      </c>
      <c r="CT45" s="913">
        <v>46.510000000000005</v>
      </c>
      <c r="CU45" s="913">
        <v>46.64</v>
      </c>
      <c r="CV45" s="913">
        <v>46.769999999999996</v>
      </c>
      <c r="CW45" s="913">
        <v>46.894999999999996</v>
      </c>
      <c r="CX45" s="913">
        <v>47.019999999999996</v>
      </c>
      <c r="CY45" s="913">
        <v>47.145000000000003</v>
      </c>
      <c r="CZ45" s="913">
        <v>47.269999999999996</v>
      </c>
      <c r="DA45" s="913">
        <v>47.384999999999998</v>
      </c>
      <c r="DB45" s="913">
        <v>47.510000000000005</v>
      </c>
      <c r="DC45" s="913">
        <v>47.635000000000005</v>
      </c>
      <c r="DD45" s="913">
        <v>47.75</v>
      </c>
      <c r="DE45" s="913">
        <v>47.87</v>
      </c>
      <c r="DF45" s="913">
        <v>47.989999999999995</v>
      </c>
      <c r="DG45" s="913">
        <v>48.105000000000004</v>
      </c>
      <c r="DH45" s="913">
        <v>48.22</v>
      </c>
      <c r="DI45" s="913">
        <v>48.335000000000001</v>
      </c>
      <c r="DJ45" s="913">
        <v>48.444999999999993</v>
      </c>
      <c r="DK45" s="913">
        <v>48.56</v>
      </c>
      <c r="DL45" s="913">
        <v>48.674999999999997</v>
      </c>
      <c r="DM45" s="913">
        <v>48.784999999999997</v>
      </c>
      <c r="DN45" s="913">
        <v>48.900000000000006</v>
      </c>
      <c r="DO45" s="913">
        <v>49.004999999999995</v>
      </c>
      <c r="DP45" s="913">
        <v>49.114999999999995</v>
      </c>
      <c r="DQ45" s="913">
        <v>49.22</v>
      </c>
      <c r="DR45" s="913">
        <v>49.325000000000003</v>
      </c>
    </row>
    <row r="46" spans="1:122" s="127" customFormat="1" ht="12.75">
      <c r="A46" s="917">
        <v>44</v>
      </c>
      <c r="B46" s="913"/>
      <c r="C46" s="913"/>
      <c r="D46" s="913"/>
      <c r="E46" s="913"/>
      <c r="F46" s="913"/>
      <c r="G46" s="913"/>
      <c r="H46" s="913"/>
      <c r="I46" s="913"/>
      <c r="J46" s="913"/>
      <c r="K46" s="913"/>
      <c r="L46" s="913"/>
      <c r="M46" s="913"/>
      <c r="N46" s="913"/>
      <c r="O46" s="913"/>
      <c r="P46" s="913"/>
      <c r="Q46" s="913"/>
      <c r="R46" s="913"/>
      <c r="S46" s="913"/>
      <c r="T46" s="913"/>
      <c r="U46" s="913"/>
      <c r="V46" s="913"/>
      <c r="W46" s="913">
        <v>33.784999999999997</v>
      </c>
      <c r="X46" s="913">
        <v>34</v>
      </c>
      <c r="Y46" s="913">
        <v>34.134999999999998</v>
      </c>
      <c r="Z46" s="913">
        <v>34.369999999999997</v>
      </c>
      <c r="AA46" s="913">
        <v>34.54</v>
      </c>
      <c r="AB46" s="913">
        <v>34.72</v>
      </c>
      <c r="AC46" s="913">
        <v>34.844999999999999</v>
      </c>
      <c r="AD46" s="913">
        <v>34.869999999999997</v>
      </c>
      <c r="AE46" s="913">
        <v>35.034999999999997</v>
      </c>
      <c r="AF46" s="913">
        <v>35.234999999999999</v>
      </c>
      <c r="AG46" s="913">
        <v>35.465000000000003</v>
      </c>
      <c r="AH46" s="913">
        <v>35.700000000000003</v>
      </c>
      <c r="AI46" s="913">
        <v>35.93</v>
      </c>
      <c r="AJ46" s="913">
        <v>36.22</v>
      </c>
      <c r="AK46" s="913">
        <v>36.495000000000005</v>
      </c>
      <c r="AL46" s="913">
        <v>36.81</v>
      </c>
      <c r="AM46" s="913">
        <v>37.104999999999997</v>
      </c>
      <c r="AN46" s="913">
        <v>37.32</v>
      </c>
      <c r="AO46" s="913">
        <v>37.484999999999999</v>
      </c>
      <c r="AP46" s="913">
        <v>37.64</v>
      </c>
      <c r="AQ46" s="913">
        <v>37.755000000000003</v>
      </c>
      <c r="AR46" s="913">
        <v>37.909999999999997</v>
      </c>
      <c r="AS46" s="913">
        <v>37.954999999999998</v>
      </c>
      <c r="AT46" s="913">
        <v>37.995000000000005</v>
      </c>
      <c r="AU46" s="913">
        <v>38.075000000000003</v>
      </c>
      <c r="AV46" s="913">
        <v>38.159999999999997</v>
      </c>
      <c r="AW46" s="913">
        <v>38.4</v>
      </c>
      <c r="AX46" s="913">
        <v>38.51</v>
      </c>
      <c r="AY46" s="913">
        <v>38.64</v>
      </c>
      <c r="AZ46" s="913">
        <v>38.745000000000005</v>
      </c>
      <c r="BA46" s="913">
        <v>38.86</v>
      </c>
      <c r="BB46" s="913">
        <v>38.99</v>
      </c>
      <c r="BC46" s="913">
        <v>39.125</v>
      </c>
      <c r="BD46" s="913">
        <v>39.26</v>
      </c>
      <c r="BE46" s="913">
        <v>39.414999999999999</v>
      </c>
      <c r="BF46" s="913">
        <v>39.575000000000003</v>
      </c>
      <c r="BG46" s="913">
        <v>39.730000000000004</v>
      </c>
      <c r="BH46" s="913">
        <v>39.924999999999997</v>
      </c>
      <c r="BI46" s="913">
        <v>40.075000000000003</v>
      </c>
      <c r="BJ46" s="913">
        <v>40.260000000000005</v>
      </c>
      <c r="BK46" s="913">
        <v>40.42</v>
      </c>
      <c r="BL46" s="913">
        <v>40.61</v>
      </c>
      <c r="BM46" s="913">
        <v>40.79</v>
      </c>
      <c r="BN46" s="913">
        <v>40.965000000000003</v>
      </c>
      <c r="BO46" s="913">
        <v>41.120000000000005</v>
      </c>
      <c r="BP46" s="913">
        <v>41.284999999999997</v>
      </c>
      <c r="BQ46" s="913">
        <v>41.435000000000002</v>
      </c>
      <c r="BR46" s="913">
        <v>41.594999999999999</v>
      </c>
      <c r="BS46" s="913">
        <v>41.75</v>
      </c>
      <c r="BT46" s="914">
        <v>41.9</v>
      </c>
      <c r="BU46" s="913">
        <v>42.045000000000002</v>
      </c>
      <c r="BV46" s="913">
        <v>42.2</v>
      </c>
      <c r="BW46" s="913">
        <v>42.349999999999994</v>
      </c>
      <c r="BX46" s="913">
        <v>42.5</v>
      </c>
      <c r="BY46" s="913">
        <v>42.644999999999996</v>
      </c>
      <c r="BZ46" s="913">
        <v>42.8</v>
      </c>
      <c r="CA46" s="913">
        <v>42.945</v>
      </c>
      <c r="CB46" s="913">
        <v>43.085000000000001</v>
      </c>
      <c r="CC46" s="913">
        <v>43.230000000000004</v>
      </c>
      <c r="CD46" s="913">
        <v>43.375</v>
      </c>
      <c r="CE46" s="913">
        <v>43.52</v>
      </c>
      <c r="CF46" s="913">
        <v>43.66</v>
      </c>
      <c r="CG46" s="913">
        <v>43.805</v>
      </c>
      <c r="CH46" s="913">
        <v>43.94</v>
      </c>
      <c r="CI46" s="913">
        <v>44.08</v>
      </c>
      <c r="CJ46" s="913">
        <v>44.22</v>
      </c>
      <c r="CK46" s="913">
        <v>44.36</v>
      </c>
      <c r="CL46" s="913">
        <v>44.495000000000005</v>
      </c>
      <c r="CM46" s="913">
        <v>44.629999999999995</v>
      </c>
      <c r="CN46" s="913">
        <v>44.765000000000001</v>
      </c>
      <c r="CO46" s="913">
        <v>44.894999999999996</v>
      </c>
      <c r="CP46" s="913">
        <v>45.025000000000006</v>
      </c>
      <c r="CQ46" s="913">
        <v>45.16</v>
      </c>
      <c r="CR46" s="913">
        <v>45.29</v>
      </c>
      <c r="CS46" s="913">
        <v>45.42</v>
      </c>
      <c r="CT46" s="913">
        <v>45.55</v>
      </c>
      <c r="CU46" s="913">
        <v>45.674999999999997</v>
      </c>
      <c r="CV46" s="913">
        <v>45.8</v>
      </c>
      <c r="CW46" s="913">
        <v>45.924999999999997</v>
      </c>
      <c r="CX46" s="913">
        <v>46.05</v>
      </c>
      <c r="CY46" s="913">
        <v>46.174999999999997</v>
      </c>
      <c r="CZ46" s="913">
        <v>46.3</v>
      </c>
      <c r="DA46" s="913">
        <v>46.42</v>
      </c>
      <c r="DB46" s="913">
        <v>46.54</v>
      </c>
      <c r="DC46" s="913">
        <v>46.66</v>
      </c>
      <c r="DD46" s="913">
        <v>46.78</v>
      </c>
      <c r="DE46" s="913">
        <v>46.9</v>
      </c>
      <c r="DF46" s="913">
        <v>47.015000000000001</v>
      </c>
      <c r="DG46" s="913">
        <v>47.13</v>
      </c>
      <c r="DH46" s="913">
        <v>47.244999999999997</v>
      </c>
      <c r="DI46" s="913">
        <v>47.36</v>
      </c>
      <c r="DJ46" s="913">
        <v>47.475000000000001</v>
      </c>
      <c r="DK46" s="913">
        <v>47.585000000000001</v>
      </c>
      <c r="DL46" s="913">
        <v>47.7</v>
      </c>
      <c r="DM46" s="913">
        <v>47.81</v>
      </c>
      <c r="DN46" s="913">
        <v>47.92</v>
      </c>
      <c r="DO46" s="913">
        <v>48.03</v>
      </c>
      <c r="DP46" s="913">
        <v>48.134999999999998</v>
      </c>
      <c r="DQ46" s="913">
        <v>48.245000000000005</v>
      </c>
      <c r="DR46" s="913">
        <v>48.35</v>
      </c>
    </row>
    <row r="47" spans="1:122" s="127" customFormat="1" ht="12.75">
      <c r="A47" s="917">
        <v>45</v>
      </c>
      <c r="B47" s="913"/>
      <c r="C47" s="913"/>
      <c r="D47" s="913"/>
      <c r="E47" s="913"/>
      <c r="F47" s="913"/>
      <c r="G47" s="913"/>
      <c r="H47" s="913"/>
      <c r="I47" s="913"/>
      <c r="J47" s="913"/>
      <c r="K47" s="913"/>
      <c r="L47" s="913"/>
      <c r="M47" s="913"/>
      <c r="N47" s="913"/>
      <c r="O47" s="913"/>
      <c r="P47" s="913"/>
      <c r="Q47" s="913"/>
      <c r="R47" s="913"/>
      <c r="S47" s="913"/>
      <c r="T47" s="913"/>
      <c r="U47" s="913"/>
      <c r="V47" s="913"/>
      <c r="W47" s="913">
        <v>32.9</v>
      </c>
      <c r="X47" s="913">
        <v>33.114999999999995</v>
      </c>
      <c r="Y47" s="913">
        <v>33.25</v>
      </c>
      <c r="Z47" s="913">
        <v>33.484999999999999</v>
      </c>
      <c r="AA47" s="913">
        <v>33.655000000000001</v>
      </c>
      <c r="AB47" s="913">
        <v>33.83</v>
      </c>
      <c r="AC47" s="913">
        <v>33.954999999999998</v>
      </c>
      <c r="AD47" s="913">
        <v>33.995000000000005</v>
      </c>
      <c r="AE47" s="913">
        <v>34.155000000000001</v>
      </c>
      <c r="AF47" s="913">
        <v>34.35</v>
      </c>
      <c r="AG47" s="913">
        <v>34.58</v>
      </c>
      <c r="AH47" s="913">
        <v>34.814999999999998</v>
      </c>
      <c r="AI47" s="913">
        <v>35.045000000000002</v>
      </c>
      <c r="AJ47" s="913">
        <v>35.335000000000001</v>
      </c>
      <c r="AK47" s="913">
        <v>35.604999999999997</v>
      </c>
      <c r="AL47" s="913">
        <v>35.92</v>
      </c>
      <c r="AM47" s="913">
        <v>36.21</v>
      </c>
      <c r="AN47" s="913">
        <v>36.424999999999997</v>
      </c>
      <c r="AO47" s="913">
        <v>36.585000000000001</v>
      </c>
      <c r="AP47" s="913">
        <v>36.745000000000005</v>
      </c>
      <c r="AQ47" s="913">
        <v>36.855000000000004</v>
      </c>
      <c r="AR47" s="913">
        <v>37.010000000000005</v>
      </c>
      <c r="AS47" s="913">
        <v>37.055</v>
      </c>
      <c r="AT47" s="913">
        <v>37.090000000000003</v>
      </c>
      <c r="AU47" s="913">
        <v>37.17</v>
      </c>
      <c r="AV47" s="913">
        <v>37.26</v>
      </c>
      <c r="AW47" s="913">
        <v>37.5</v>
      </c>
      <c r="AX47" s="913">
        <v>37.605000000000004</v>
      </c>
      <c r="AY47" s="913">
        <v>37.734999999999999</v>
      </c>
      <c r="AZ47" s="913">
        <v>37.844999999999999</v>
      </c>
      <c r="BA47" s="913">
        <v>37.96</v>
      </c>
      <c r="BB47" s="913">
        <v>38.08</v>
      </c>
      <c r="BC47" s="913">
        <v>38.22</v>
      </c>
      <c r="BD47" s="913">
        <v>38.344999999999999</v>
      </c>
      <c r="BE47" s="913">
        <v>38.5</v>
      </c>
      <c r="BF47" s="913">
        <v>38.655000000000001</v>
      </c>
      <c r="BG47" s="913">
        <v>38.81</v>
      </c>
      <c r="BH47" s="913">
        <v>39.01</v>
      </c>
      <c r="BI47" s="913">
        <v>39.155000000000001</v>
      </c>
      <c r="BJ47" s="913">
        <v>39.33</v>
      </c>
      <c r="BK47" s="913">
        <v>39.489999999999995</v>
      </c>
      <c r="BL47" s="913">
        <v>39.674999999999997</v>
      </c>
      <c r="BM47" s="913">
        <v>39.855000000000004</v>
      </c>
      <c r="BN47" s="913">
        <v>40.03</v>
      </c>
      <c r="BO47" s="913">
        <v>40.18</v>
      </c>
      <c r="BP47" s="913">
        <v>40.344999999999999</v>
      </c>
      <c r="BQ47" s="913">
        <v>40.495000000000005</v>
      </c>
      <c r="BR47" s="913">
        <v>40.650000000000006</v>
      </c>
      <c r="BS47" s="913">
        <v>40.81</v>
      </c>
      <c r="BT47" s="914">
        <v>40.96</v>
      </c>
      <c r="BU47" s="913">
        <v>41.105000000000004</v>
      </c>
      <c r="BV47" s="913">
        <v>41.260000000000005</v>
      </c>
      <c r="BW47" s="913">
        <v>41.41</v>
      </c>
      <c r="BX47" s="913">
        <v>41.555</v>
      </c>
      <c r="BY47" s="913">
        <v>41.704999999999998</v>
      </c>
      <c r="BZ47" s="913">
        <v>41.85</v>
      </c>
      <c r="CA47" s="913">
        <v>42</v>
      </c>
      <c r="CB47" s="913">
        <v>42.14</v>
      </c>
      <c r="CC47" s="913">
        <v>42.284999999999997</v>
      </c>
      <c r="CD47" s="913">
        <v>42.43</v>
      </c>
      <c r="CE47" s="913">
        <v>42.564999999999998</v>
      </c>
      <c r="CF47" s="913">
        <v>42.71</v>
      </c>
      <c r="CG47" s="913">
        <v>42.849999999999994</v>
      </c>
      <c r="CH47" s="913">
        <v>42.989999999999995</v>
      </c>
      <c r="CI47" s="913">
        <v>43.129999999999995</v>
      </c>
      <c r="CJ47" s="913">
        <v>43.265000000000001</v>
      </c>
      <c r="CK47" s="913">
        <v>43.4</v>
      </c>
      <c r="CL47" s="913">
        <v>43.534999999999997</v>
      </c>
      <c r="CM47" s="913">
        <v>43.67</v>
      </c>
      <c r="CN47" s="913">
        <v>43.805</v>
      </c>
      <c r="CO47" s="913">
        <v>43.94</v>
      </c>
      <c r="CP47" s="913">
        <v>44.064999999999998</v>
      </c>
      <c r="CQ47" s="913">
        <v>44.2</v>
      </c>
      <c r="CR47" s="913">
        <v>44.33</v>
      </c>
      <c r="CS47" s="913">
        <v>44.459999999999994</v>
      </c>
      <c r="CT47" s="913">
        <v>44.585000000000001</v>
      </c>
      <c r="CU47" s="913">
        <v>44.71</v>
      </c>
      <c r="CV47" s="913">
        <v>44.835000000000001</v>
      </c>
      <c r="CW47" s="913">
        <v>44.96</v>
      </c>
      <c r="CX47" s="913">
        <v>45.085000000000001</v>
      </c>
      <c r="CY47" s="913">
        <v>45.21</v>
      </c>
      <c r="CZ47" s="913">
        <v>45.335000000000001</v>
      </c>
      <c r="DA47" s="913">
        <v>45.45</v>
      </c>
      <c r="DB47" s="913">
        <v>45.575000000000003</v>
      </c>
      <c r="DC47" s="913">
        <v>45.69</v>
      </c>
      <c r="DD47" s="913">
        <v>45.814999999999998</v>
      </c>
      <c r="DE47" s="913">
        <v>45.93</v>
      </c>
      <c r="DF47" s="913">
        <v>46.045000000000002</v>
      </c>
      <c r="DG47" s="913">
        <v>46.16</v>
      </c>
      <c r="DH47" s="913">
        <v>46.28</v>
      </c>
      <c r="DI47" s="913">
        <v>46.394999999999996</v>
      </c>
      <c r="DJ47" s="913">
        <v>46.5</v>
      </c>
      <c r="DK47" s="913">
        <v>46.614999999999995</v>
      </c>
      <c r="DL47" s="913">
        <v>46.724999999999994</v>
      </c>
      <c r="DM47" s="913">
        <v>46.84</v>
      </c>
      <c r="DN47" s="913">
        <v>46.945</v>
      </c>
      <c r="DO47" s="913">
        <v>47.055</v>
      </c>
      <c r="DP47" s="913">
        <v>47.16</v>
      </c>
      <c r="DQ47" s="913">
        <v>47.269999999999996</v>
      </c>
      <c r="DR47" s="913">
        <v>47.375</v>
      </c>
    </row>
    <row r="48" spans="1:122" s="127" customFormat="1" ht="12.75">
      <c r="A48" s="917">
        <v>46</v>
      </c>
      <c r="B48" s="913"/>
      <c r="C48" s="913"/>
      <c r="D48" s="913"/>
      <c r="E48" s="913"/>
      <c r="F48" s="913"/>
      <c r="G48" s="913"/>
      <c r="H48" s="913"/>
      <c r="I48" s="913"/>
      <c r="J48" s="913"/>
      <c r="K48" s="913"/>
      <c r="L48" s="913"/>
      <c r="M48" s="913"/>
      <c r="N48" s="913"/>
      <c r="O48" s="913"/>
      <c r="P48" s="913"/>
      <c r="Q48" s="913"/>
      <c r="R48" s="913"/>
      <c r="S48" s="913"/>
      <c r="T48" s="913"/>
      <c r="U48" s="913"/>
      <c r="V48" s="913"/>
      <c r="W48" s="913">
        <v>32.015000000000001</v>
      </c>
      <c r="X48" s="913">
        <v>32.234999999999999</v>
      </c>
      <c r="Y48" s="913">
        <v>32.369999999999997</v>
      </c>
      <c r="Z48" s="913">
        <v>32.605000000000004</v>
      </c>
      <c r="AA48" s="913">
        <v>32.774999999999999</v>
      </c>
      <c r="AB48" s="913">
        <v>32.954999999999998</v>
      </c>
      <c r="AC48" s="913">
        <v>33.08</v>
      </c>
      <c r="AD48" s="913">
        <v>33.115000000000002</v>
      </c>
      <c r="AE48" s="913">
        <v>33.274999999999999</v>
      </c>
      <c r="AF48" s="913">
        <v>33.475000000000001</v>
      </c>
      <c r="AG48" s="913">
        <v>33.700000000000003</v>
      </c>
      <c r="AH48" s="913">
        <v>33.94</v>
      </c>
      <c r="AI48" s="913">
        <v>34.17</v>
      </c>
      <c r="AJ48" s="913">
        <v>34.454999999999998</v>
      </c>
      <c r="AK48" s="913">
        <v>34.725000000000001</v>
      </c>
      <c r="AL48" s="913">
        <v>35.04</v>
      </c>
      <c r="AM48" s="913">
        <v>35.325000000000003</v>
      </c>
      <c r="AN48" s="913">
        <v>35.534999999999997</v>
      </c>
      <c r="AO48" s="913">
        <v>35.695</v>
      </c>
      <c r="AP48" s="913">
        <v>35.844999999999999</v>
      </c>
      <c r="AQ48" s="913">
        <v>35.965000000000003</v>
      </c>
      <c r="AR48" s="913">
        <v>36.11</v>
      </c>
      <c r="AS48" s="913">
        <v>36.155000000000001</v>
      </c>
      <c r="AT48" s="913">
        <v>36.19</v>
      </c>
      <c r="AU48" s="913">
        <v>36.28</v>
      </c>
      <c r="AV48" s="913">
        <v>36.370000000000005</v>
      </c>
      <c r="AW48" s="913">
        <v>36.6</v>
      </c>
      <c r="AX48" s="913">
        <v>36.709999999999994</v>
      </c>
      <c r="AY48" s="913">
        <v>36.840000000000003</v>
      </c>
      <c r="AZ48" s="913">
        <v>36.945</v>
      </c>
      <c r="BA48" s="913">
        <v>37.06</v>
      </c>
      <c r="BB48" s="913">
        <v>37.18</v>
      </c>
      <c r="BC48" s="913">
        <v>37.314999999999998</v>
      </c>
      <c r="BD48" s="913">
        <v>37.44</v>
      </c>
      <c r="BE48" s="913">
        <v>37.590000000000003</v>
      </c>
      <c r="BF48" s="913">
        <v>37.75</v>
      </c>
      <c r="BG48" s="913">
        <v>37.905000000000001</v>
      </c>
      <c r="BH48" s="913">
        <v>38.094999999999999</v>
      </c>
      <c r="BI48" s="913">
        <v>38.234999999999999</v>
      </c>
      <c r="BJ48" s="913">
        <v>38.409999999999997</v>
      </c>
      <c r="BK48" s="913">
        <v>38.57</v>
      </c>
      <c r="BL48" s="913">
        <v>38.754999999999995</v>
      </c>
      <c r="BM48" s="913">
        <v>38.924999999999997</v>
      </c>
      <c r="BN48" s="913">
        <v>39.1</v>
      </c>
      <c r="BO48" s="913">
        <v>39.25</v>
      </c>
      <c r="BP48" s="913">
        <v>39.415000000000006</v>
      </c>
      <c r="BQ48" s="913">
        <v>39.56</v>
      </c>
      <c r="BR48" s="913">
        <v>39.715000000000003</v>
      </c>
      <c r="BS48" s="913">
        <v>39.870000000000005</v>
      </c>
      <c r="BT48" s="914">
        <v>40.019999999999996</v>
      </c>
      <c r="BU48" s="913">
        <v>40.164999999999999</v>
      </c>
      <c r="BV48" s="913">
        <v>40.32</v>
      </c>
      <c r="BW48" s="913">
        <v>40.47</v>
      </c>
      <c r="BX48" s="913">
        <v>40.615000000000002</v>
      </c>
      <c r="BY48" s="913">
        <v>40.76</v>
      </c>
      <c r="BZ48" s="913">
        <v>40.905000000000001</v>
      </c>
      <c r="CA48" s="913">
        <v>41.055000000000007</v>
      </c>
      <c r="CB48" s="913">
        <v>41.2</v>
      </c>
      <c r="CC48" s="913">
        <v>41.335000000000001</v>
      </c>
      <c r="CD48" s="913">
        <v>41.480000000000004</v>
      </c>
      <c r="CE48" s="913">
        <v>41.625</v>
      </c>
      <c r="CF48" s="913">
        <v>41.76</v>
      </c>
      <c r="CG48" s="913">
        <v>41.900000000000006</v>
      </c>
      <c r="CH48" s="913">
        <v>42.04</v>
      </c>
      <c r="CI48" s="913">
        <v>42.180000000000007</v>
      </c>
      <c r="CJ48" s="913">
        <v>42.314999999999998</v>
      </c>
      <c r="CK48" s="913">
        <v>42.45</v>
      </c>
      <c r="CL48" s="913">
        <v>42.585000000000001</v>
      </c>
      <c r="CM48" s="913">
        <v>42.72</v>
      </c>
      <c r="CN48" s="913">
        <v>42.85</v>
      </c>
      <c r="CO48" s="913">
        <v>42.98</v>
      </c>
      <c r="CP48" s="913">
        <v>43.115000000000002</v>
      </c>
      <c r="CQ48" s="913">
        <v>43.24</v>
      </c>
      <c r="CR48" s="913">
        <v>43.370000000000005</v>
      </c>
      <c r="CS48" s="913">
        <v>43.5</v>
      </c>
      <c r="CT48" s="913">
        <v>43.625</v>
      </c>
      <c r="CU48" s="913">
        <v>43.75</v>
      </c>
      <c r="CV48" s="913">
        <v>43.875</v>
      </c>
      <c r="CW48" s="913">
        <v>44</v>
      </c>
      <c r="CX48" s="913">
        <v>44.125</v>
      </c>
      <c r="CY48" s="913">
        <v>44.25</v>
      </c>
      <c r="CZ48" s="913">
        <v>44.365000000000002</v>
      </c>
      <c r="DA48" s="913">
        <v>44.49</v>
      </c>
      <c r="DB48" s="913">
        <v>44.61</v>
      </c>
      <c r="DC48" s="913">
        <v>44.730000000000004</v>
      </c>
      <c r="DD48" s="913">
        <v>44.844999999999999</v>
      </c>
      <c r="DE48" s="913">
        <v>44.965000000000003</v>
      </c>
      <c r="DF48" s="913">
        <v>45.08</v>
      </c>
      <c r="DG48" s="913">
        <v>45.195</v>
      </c>
      <c r="DH48" s="913">
        <v>45.31</v>
      </c>
      <c r="DI48" s="913">
        <v>45.42</v>
      </c>
      <c r="DJ48" s="913">
        <v>45.534999999999997</v>
      </c>
      <c r="DK48" s="913">
        <v>45.65</v>
      </c>
      <c r="DL48" s="913">
        <v>45.755000000000003</v>
      </c>
      <c r="DM48" s="913">
        <v>45.865000000000002</v>
      </c>
      <c r="DN48" s="913">
        <v>45.975000000000001</v>
      </c>
      <c r="DO48" s="913">
        <v>46.085000000000001</v>
      </c>
      <c r="DP48" s="913">
        <v>46.19</v>
      </c>
      <c r="DQ48" s="913">
        <v>46.3</v>
      </c>
      <c r="DR48" s="913">
        <v>46.405000000000001</v>
      </c>
    </row>
    <row r="49" spans="1:122" s="127" customFormat="1" ht="12.75">
      <c r="A49" s="917">
        <v>47</v>
      </c>
      <c r="B49" s="913"/>
      <c r="C49" s="913"/>
      <c r="D49" s="913"/>
      <c r="E49" s="913"/>
      <c r="F49" s="913"/>
      <c r="G49" s="913"/>
      <c r="H49" s="913"/>
      <c r="I49" s="913"/>
      <c r="J49" s="913"/>
      <c r="K49" s="913"/>
      <c r="L49" s="913"/>
      <c r="M49" s="913"/>
      <c r="N49" s="913"/>
      <c r="O49" s="913"/>
      <c r="P49" s="913"/>
      <c r="Q49" s="913"/>
      <c r="R49" s="913"/>
      <c r="S49" s="913"/>
      <c r="T49" s="913"/>
      <c r="U49" s="913"/>
      <c r="V49" s="913"/>
      <c r="W49" s="913">
        <v>31.14</v>
      </c>
      <c r="X49" s="913">
        <v>31.36</v>
      </c>
      <c r="Y49" s="913">
        <v>31.505000000000003</v>
      </c>
      <c r="Z49" s="913">
        <v>31.734999999999999</v>
      </c>
      <c r="AA49" s="913">
        <v>31.91</v>
      </c>
      <c r="AB49" s="913">
        <v>32.085000000000001</v>
      </c>
      <c r="AC49" s="913">
        <v>32.204999999999998</v>
      </c>
      <c r="AD49" s="913">
        <v>32.245000000000005</v>
      </c>
      <c r="AE49" s="913">
        <v>32.409999999999997</v>
      </c>
      <c r="AF49" s="913">
        <v>32.605000000000004</v>
      </c>
      <c r="AG49" s="913">
        <v>32.835000000000001</v>
      </c>
      <c r="AH49" s="913">
        <v>33.07</v>
      </c>
      <c r="AI49" s="913">
        <v>33.295000000000002</v>
      </c>
      <c r="AJ49" s="913">
        <v>33.585000000000001</v>
      </c>
      <c r="AK49" s="913">
        <v>33.849999999999994</v>
      </c>
      <c r="AL49" s="913">
        <v>34.159999999999997</v>
      </c>
      <c r="AM49" s="913">
        <v>34.44</v>
      </c>
      <c r="AN49" s="913">
        <v>34.655000000000001</v>
      </c>
      <c r="AO49" s="913">
        <v>34.81</v>
      </c>
      <c r="AP49" s="913">
        <v>34.96</v>
      </c>
      <c r="AQ49" s="913">
        <v>35.07</v>
      </c>
      <c r="AR49" s="913">
        <v>35.22</v>
      </c>
      <c r="AS49" s="913">
        <v>35.265000000000001</v>
      </c>
      <c r="AT49" s="913">
        <v>35.305</v>
      </c>
      <c r="AU49" s="913">
        <v>35.39</v>
      </c>
      <c r="AV49" s="913">
        <v>35.480000000000004</v>
      </c>
      <c r="AW49" s="913">
        <v>35.71</v>
      </c>
      <c r="AX49" s="913">
        <v>35.814999999999998</v>
      </c>
      <c r="AY49" s="913">
        <v>35.94</v>
      </c>
      <c r="AZ49" s="913">
        <v>36.049999999999997</v>
      </c>
      <c r="BA49" s="913">
        <v>36.164999999999999</v>
      </c>
      <c r="BB49" s="913">
        <v>36.28</v>
      </c>
      <c r="BC49" s="913">
        <v>36.409999999999997</v>
      </c>
      <c r="BD49" s="913">
        <v>36.54</v>
      </c>
      <c r="BE49" s="913">
        <v>36.685000000000002</v>
      </c>
      <c r="BF49" s="913">
        <v>36.844999999999999</v>
      </c>
      <c r="BG49" s="913">
        <v>37</v>
      </c>
      <c r="BH49" s="913">
        <v>37.185000000000002</v>
      </c>
      <c r="BI49" s="913">
        <v>37.325000000000003</v>
      </c>
      <c r="BJ49" s="913">
        <v>37.495000000000005</v>
      </c>
      <c r="BK49" s="913">
        <v>37.650000000000006</v>
      </c>
      <c r="BL49" s="913">
        <v>37.83</v>
      </c>
      <c r="BM49" s="913">
        <v>38.004999999999995</v>
      </c>
      <c r="BN49" s="913">
        <v>38.174999999999997</v>
      </c>
      <c r="BO49" s="913">
        <v>38.32</v>
      </c>
      <c r="BP49" s="913">
        <v>38.480000000000004</v>
      </c>
      <c r="BQ49" s="913">
        <v>38.630000000000003</v>
      </c>
      <c r="BR49" s="913">
        <v>38.784999999999997</v>
      </c>
      <c r="BS49" s="913">
        <v>38.935000000000002</v>
      </c>
      <c r="BT49" s="914">
        <v>39.090000000000003</v>
      </c>
      <c r="BU49" s="913">
        <v>39.230000000000004</v>
      </c>
      <c r="BV49" s="913">
        <v>39.385000000000005</v>
      </c>
      <c r="BW49" s="913">
        <v>39.53</v>
      </c>
      <c r="BX49" s="913">
        <v>39.68</v>
      </c>
      <c r="BY49" s="913">
        <v>39.825000000000003</v>
      </c>
      <c r="BZ49" s="913">
        <v>39.97</v>
      </c>
      <c r="CA49" s="913">
        <v>40.114999999999995</v>
      </c>
      <c r="CB49" s="913">
        <v>40.254999999999995</v>
      </c>
      <c r="CC49" s="913">
        <v>40.4</v>
      </c>
      <c r="CD49" s="913">
        <v>40.534999999999997</v>
      </c>
      <c r="CE49" s="913">
        <v>40.68</v>
      </c>
      <c r="CF49" s="913">
        <v>40.814999999999998</v>
      </c>
      <c r="CG49" s="913">
        <v>40.96</v>
      </c>
      <c r="CH49" s="913">
        <v>41.094999999999999</v>
      </c>
      <c r="CI49" s="913">
        <v>41.230000000000004</v>
      </c>
      <c r="CJ49" s="913">
        <v>41.364999999999995</v>
      </c>
      <c r="CK49" s="913">
        <v>41.5</v>
      </c>
      <c r="CL49" s="913">
        <v>41.635000000000005</v>
      </c>
      <c r="CM49" s="913">
        <v>41.765000000000001</v>
      </c>
      <c r="CN49" s="913">
        <v>41.894999999999996</v>
      </c>
      <c r="CO49" s="913">
        <v>42.03</v>
      </c>
      <c r="CP49" s="913">
        <v>42.16</v>
      </c>
      <c r="CQ49" s="913">
        <v>42.29</v>
      </c>
      <c r="CR49" s="913">
        <v>42.414999999999999</v>
      </c>
      <c r="CS49" s="913">
        <v>42.54</v>
      </c>
      <c r="CT49" s="913">
        <v>42.67</v>
      </c>
      <c r="CU49" s="913">
        <v>42.795000000000002</v>
      </c>
      <c r="CV49" s="913">
        <v>42.914999999999999</v>
      </c>
      <c r="CW49" s="913">
        <v>43.04</v>
      </c>
      <c r="CX49" s="913">
        <v>43.165000000000006</v>
      </c>
      <c r="CY49" s="913">
        <v>43.290000000000006</v>
      </c>
      <c r="CZ49" s="913">
        <v>43.405000000000001</v>
      </c>
      <c r="DA49" s="913">
        <v>43.53</v>
      </c>
      <c r="DB49" s="913">
        <v>43.644999999999996</v>
      </c>
      <c r="DC49" s="913">
        <v>43.765000000000001</v>
      </c>
      <c r="DD49" s="913">
        <v>43.879999999999995</v>
      </c>
      <c r="DE49" s="913">
        <v>43.995000000000005</v>
      </c>
      <c r="DF49" s="913">
        <v>44.11</v>
      </c>
      <c r="DG49" s="913">
        <v>44.230000000000004</v>
      </c>
      <c r="DH49" s="913">
        <v>44.344999999999999</v>
      </c>
      <c r="DI49" s="913">
        <v>44.454999999999998</v>
      </c>
      <c r="DJ49" s="913">
        <v>44.564999999999998</v>
      </c>
      <c r="DK49" s="913">
        <v>44.68</v>
      </c>
      <c r="DL49" s="913">
        <v>44.790000000000006</v>
      </c>
      <c r="DM49" s="913">
        <v>44.894999999999996</v>
      </c>
      <c r="DN49" s="913">
        <v>45.004999999999995</v>
      </c>
      <c r="DO49" s="913">
        <v>45.11</v>
      </c>
      <c r="DP49" s="913">
        <v>45.22</v>
      </c>
      <c r="DQ49" s="913">
        <v>45.325000000000003</v>
      </c>
      <c r="DR49" s="913">
        <v>45.43</v>
      </c>
    </row>
    <row r="50" spans="1:122" s="127" customFormat="1" ht="12.75">
      <c r="A50" s="917">
        <v>48</v>
      </c>
      <c r="B50" s="913"/>
      <c r="C50" s="913"/>
      <c r="D50" s="913"/>
      <c r="E50" s="913"/>
      <c r="F50" s="913"/>
      <c r="G50" s="913"/>
      <c r="H50" s="913"/>
      <c r="I50" s="913"/>
      <c r="J50" s="913"/>
      <c r="K50" s="913"/>
      <c r="L50" s="913"/>
      <c r="M50" s="913"/>
      <c r="N50" s="913"/>
      <c r="O50" s="913"/>
      <c r="P50" s="913"/>
      <c r="Q50" s="913"/>
      <c r="R50" s="913"/>
      <c r="S50" s="913"/>
      <c r="T50" s="913"/>
      <c r="U50" s="913"/>
      <c r="V50" s="913"/>
      <c r="W50" s="913">
        <v>30.274999999999999</v>
      </c>
      <c r="X50" s="913">
        <v>30.5</v>
      </c>
      <c r="Y50" s="913">
        <v>30.64</v>
      </c>
      <c r="Z50" s="913">
        <v>30.869999999999997</v>
      </c>
      <c r="AA50" s="913">
        <v>31.045000000000002</v>
      </c>
      <c r="AB50" s="913">
        <v>31.22</v>
      </c>
      <c r="AC50" s="913">
        <v>31.344999999999999</v>
      </c>
      <c r="AD50" s="913">
        <v>31.385000000000002</v>
      </c>
      <c r="AE50" s="913">
        <v>31.549999999999997</v>
      </c>
      <c r="AF50" s="913">
        <v>31.745000000000001</v>
      </c>
      <c r="AG50" s="913">
        <v>31.975000000000001</v>
      </c>
      <c r="AH50" s="913">
        <v>32.204999999999998</v>
      </c>
      <c r="AI50" s="913">
        <v>32.435000000000002</v>
      </c>
      <c r="AJ50" s="913">
        <v>32.715000000000003</v>
      </c>
      <c r="AK50" s="913">
        <v>32.979999999999997</v>
      </c>
      <c r="AL50" s="913">
        <v>33.284999999999997</v>
      </c>
      <c r="AM50" s="913">
        <v>33.564999999999998</v>
      </c>
      <c r="AN50" s="913">
        <v>33.775000000000006</v>
      </c>
      <c r="AO50" s="913">
        <v>33.93</v>
      </c>
      <c r="AP50" s="913">
        <v>34.075000000000003</v>
      </c>
      <c r="AQ50" s="913">
        <v>34.19</v>
      </c>
      <c r="AR50" s="913">
        <v>34.340000000000003</v>
      </c>
      <c r="AS50" s="913">
        <v>34.384999999999998</v>
      </c>
      <c r="AT50" s="913">
        <v>34.424999999999997</v>
      </c>
      <c r="AU50" s="913">
        <v>34.510000000000005</v>
      </c>
      <c r="AV50" s="913">
        <v>34.594999999999999</v>
      </c>
      <c r="AW50" s="913">
        <v>34.825000000000003</v>
      </c>
      <c r="AX50" s="913">
        <v>34.924999999999997</v>
      </c>
      <c r="AY50" s="913">
        <v>35.049999999999997</v>
      </c>
      <c r="AZ50" s="913">
        <v>35.159999999999997</v>
      </c>
      <c r="BA50" s="913">
        <v>35.265000000000001</v>
      </c>
      <c r="BB50" s="913">
        <v>35.39</v>
      </c>
      <c r="BC50" s="913">
        <v>35.515000000000001</v>
      </c>
      <c r="BD50" s="913">
        <v>35.644999999999996</v>
      </c>
      <c r="BE50" s="913">
        <v>35.795000000000002</v>
      </c>
      <c r="BF50" s="913">
        <v>35.950000000000003</v>
      </c>
      <c r="BG50" s="913">
        <v>36.094999999999999</v>
      </c>
      <c r="BH50" s="913">
        <v>36.28</v>
      </c>
      <c r="BI50" s="913">
        <v>36.414999999999999</v>
      </c>
      <c r="BJ50" s="913">
        <v>36.585000000000001</v>
      </c>
      <c r="BK50" s="913">
        <v>36.74</v>
      </c>
      <c r="BL50" s="913">
        <v>36.92</v>
      </c>
      <c r="BM50" s="913">
        <v>37.090000000000003</v>
      </c>
      <c r="BN50" s="913">
        <v>37.25</v>
      </c>
      <c r="BO50" s="913">
        <v>37.400000000000006</v>
      </c>
      <c r="BP50" s="913">
        <v>37.555</v>
      </c>
      <c r="BQ50" s="913">
        <v>37.704999999999998</v>
      </c>
      <c r="BR50" s="913">
        <v>37.855000000000004</v>
      </c>
      <c r="BS50" s="913">
        <v>38.01</v>
      </c>
      <c r="BT50" s="914">
        <v>38.159999999999997</v>
      </c>
      <c r="BU50" s="913">
        <v>38.305000000000007</v>
      </c>
      <c r="BV50" s="913">
        <v>38.454999999999998</v>
      </c>
      <c r="BW50" s="913">
        <v>38.6</v>
      </c>
      <c r="BX50" s="913">
        <v>38.744999999999997</v>
      </c>
      <c r="BY50" s="913">
        <v>38.89</v>
      </c>
      <c r="BZ50" s="913">
        <v>39.034999999999997</v>
      </c>
      <c r="CA50" s="913">
        <v>39.18</v>
      </c>
      <c r="CB50" s="913">
        <v>39.314999999999998</v>
      </c>
      <c r="CC50" s="913">
        <v>39.459999999999994</v>
      </c>
      <c r="CD50" s="913">
        <v>39.6</v>
      </c>
      <c r="CE50" s="913">
        <v>39.734999999999999</v>
      </c>
      <c r="CF50" s="913">
        <v>39.875</v>
      </c>
      <c r="CG50" s="913">
        <v>40.015000000000001</v>
      </c>
      <c r="CH50" s="913">
        <v>40.15</v>
      </c>
      <c r="CI50" s="913">
        <v>40.284999999999997</v>
      </c>
      <c r="CJ50" s="913">
        <v>40.42</v>
      </c>
      <c r="CK50" s="913">
        <v>40.555000000000007</v>
      </c>
      <c r="CL50" s="913">
        <v>40.685000000000002</v>
      </c>
      <c r="CM50" s="913">
        <v>40.814999999999998</v>
      </c>
      <c r="CN50" s="913">
        <v>40.950000000000003</v>
      </c>
      <c r="CO50" s="913">
        <v>41.075000000000003</v>
      </c>
      <c r="CP50" s="913">
        <v>41.21</v>
      </c>
      <c r="CQ50" s="913">
        <v>41.335000000000001</v>
      </c>
      <c r="CR50" s="913">
        <v>41.465000000000003</v>
      </c>
      <c r="CS50" s="913">
        <v>41.59</v>
      </c>
      <c r="CT50" s="913">
        <v>41.715000000000003</v>
      </c>
      <c r="CU50" s="913">
        <v>41.84</v>
      </c>
      <c r="CV50" s="913">
        <v>41.965000000000003</v>
      </c>
      <c r="CW50" s="913">
        <v>42.09</v>
      </c>
      <c r="CX50" s="913">
        <v>42.204999999999998</v>
      </c>
      <c r="CY50" s="913">
        <v>42.33</v>
      </c>
      <c r="CZ50" s="913">
        <v>42.45</v>
      </c>
      <c r="DA50" s="913">
        <v>42.57</v>
      </c>
      <c r="DB50" s="913">
        <v>42.685000000000002</v>
      </c>
      <c r="DC50" s="913">
        <v>42.805</v>
      </c>
      <c r="DD50" s="913">
        <v>42.92</v>
      </c>
      <c r="DE50" s="913">
        <v>43.034999999999997</v>
      </c>
      <c r="DF50" s="913">
        <v>43.150000000000006</v>
      </c>
      <c r="DG50" s="913">
        <v>43.265000000000001</v>
      </c>
      <c r="DH50" s="913">
        <v>43.375</v>
      </c>
      <c r="DI50" s="913">
        <v>43.489999999999995</v>
      </c>
      <c r="DJ50" s="913">
        <v>43.6</v>
      </c>
      <c r="DK50" s="913">
        <v>43.715000000000003</v>
      </c>
      <c r="DL50" s="913">
        <v>43.82</v>
      </c>
      <c r="DM50" s="913">
        <v>43.93</v>
      </c>
      <c r="DN50" s="913">
        <v>44.034999999999997</v>
      </c>
      <c r="DO50" s="913">
        <v>44.144999999999996</v>
      </c>
      <c r="DP50" s="913">
        <v>44.25</v>
      </c>
      <c r="DQ50" s="913">
        <v>44.355000000000004</v>
      </c>
      <c r="DR50" s="913">
        <v>44.46</v>
      </c>
    </row>
    <row r="51" spans="1:122" s="127" customFormat="1" ht="12.75">
      <c r="A51" s="917">
        <v>49</v>
      </c>
      <c r="B51" s="913"/>
      <c r="C51" s="913"/>
      <c r="D51" s="913"/>
      <c r="E51" s="913"/>
      <c r="F51" s="913"/>
      <c r="G51" s="913"/>
      <c r="H51" s="913"/>
      <c r="I51" s="913"/>
      <c r="J51" s="913"/>
      <c r="K51" s="913"/>
      <c r="L51" s="913"/>
      <c r="M51" s="913"/>
      <c r="N51" s="913"/>
      <c r="O51" s="913"/>
      <c r="P51" s="913"/>
      <c r="Q51" s="913"/>
      <c r="R51" s="913"/>
      <c r="S51" s="913"/>
      <c r="T51" s="913"/>
      <c r="U51" s="913"/>
      <c r="V51" s="913"/>
      <c r="W51" s="913">
        <v>29.425000000000001</v>
      </c>
      <c r="X51" s="913">
        <v>29.65</v>
      </c>
      <c r="Y51" s="913">
        <v>29.785000000000004</v>
      </c>
      <c r="Z51" s="913">
        <v>30.015000000000001</v>
      </c>
      <c r="AA51" s="913">
        <v>30.189999999999998</v>
      </c>
      <c r="AB51" s="913">
        <v>30.37</v>
      </c>
      <c r="AC51" s="913">
        <v>30.490000000000002</v>
      </c>
      <c r="AD51" s="913">
        <v>30.53</v>
      </c>
      <c r="AE51" s="913">
        <v>30.695</v>
      </c>
      <c r="AF51" s="913">
        <v>30.895</v>
      </c>
      <c r="AG51" s="913">
        <v>31.12</v>
      </c>
      <c r="AH51" s="913">
        <v>31.355</v>
      </c>
      <c r="AI51" s="913">
        <v>31.57</v>
      </c>
      <c r="AJ51" s="913">
        <v>31.85</v>
      </c>
      <c r="AK51" s="913">
        <v>32.115000000000002</v>
      </c>
      <c r="AL51" s="913">
        <v>32.42</v>
      </c>
      <c r="AM51" s="913">
        <v>32.69</v>
      </c>
      <c r="AN51" s="913">
        <v>32.9</v>
      </c>
      <c r="AO51" s="913">
        <v>33.055</v>
      </c>
      <c r="AP51" s="913">
        <v>33.200000000000003</v>
      </c>
      <c r="AQ51" s="913">
        <v>33.314999999999998</v>
      </c>
      <c r="AR51" s="913">
        <v>33.46</v>
      </c>
      <c r="AS51" s="913">
        <v>33.51</v>
      </c>
      <c r="AT51" s="913">
        <v>33.555</v>
      </c>
      <c r="AU51" s="913">
        <v>33.64</v>
      </c>
      <c r="AV51" s="913">
        <v>33.715000000000003</v>
      </c>
      <c r="AW51" s="913">
        <v>33.945</v>
      </c>
      <c r="AX51" s="913">
        <v>34.04</v>
      </c>
      <c r="AY51" s="913">
        <v>34.160000000000004</v>
      </c>
      <c r="AZ51" s="913">
        <v>34.269999999999996</v>
      </c>
      <c r="BA51" s="913">
        <v>34.379999999999995</v>
      </c>
      <c r="BB51" s="913">
        <v>34.5</v>
      </c>
      <c r="BC51" s="913">
        <v>34.625</v>
      </c>
      <c r="BD51" s="913">
        <v>34.75</v>
      </c>
      <c r="BE51" s="913">
        <v>34.900000000000006</v>
      </c>
      <c r="BF51" s="913">
        <v>35.045000000000002</v>
      </c>
      <c r="BG51" s="913">
        <v>35.200000000000003</v>
      </c>
      <c r="BH51" s="913">
        <v>35.375</v>
      </c>
      <c r="BI51" s="913">
        <v>35.510000000000005</v>
      </c>
      <c r="BJ51" s="913">
        <v>35.68</v>
      </c>
      <c r="BK51" s="913">
        <v>35.83</v>
      </c>
      <c r="BL51" s="913">
        <v>36.005000000000003</v>
      </c>
      <c r="BM51" s="913">
        <v>36.17</v>
      </c>
      <c r="BN51" s="913">
        <v>36.335000000000001</v>
      </c>
      <c r="BO51" s="913">
        <v>36.484999999999999</v>
      </c>
      <c r="BP51" s="913">
        <v>36.634999999999998</v>
      </c>
      <c r="BQ51" s="913">
        <v>36.79</v>
      </c>
      <c r="BR51" s="913">
        <v>36.94</v>
      </c>
      <c r="BS51" s="913">
        <v>37.090000000000003</v>
      </c>
      <c r="BT51" s="914">
        <v>37.234999999999999</v>
      </c>
      <c r="BU51" s="913">
        <v>37.379999999999995</v>
      </c>
      <c r="BV51" s="913">
        <v>37.53</v>
      </c>
      <c r="BW51" s="913">
        <v>37.674999999999997</v>
      </c>
      <c r="BX51" s="913">
        <v>37.82</v>
      </c>
      <c r="BY51" s="913">
        <v>37.954999999999998</v>
      </c>
      <c r="BZ51" s="913">
        <v>38.099999999999994</v>
      </c>
      <c r="CA51" s="913">
        <v>38.245000000000005</v>
      </c>
      <c r="CB51" s="913">
        <v>38.384999999999998</v>
      </c>
      <c r="CC51" s="913">
        <v>38.525000000000006</v>
      </c>
      <c r="CD51" s="913">
        <v>38.659999999999997</v>
      </c>
      <c r="CE51" s="913">
        <v>38.799999999999997</v>
      </c>
      <c r="CF51" s="913">
        <v>38.94</v>
      </c>
      <c r="CG51" s="913">
        <v>39.075000000000003</v>
      </c>
      <c r="CH51" s="913">
        <v>39.21</v>
      </c>
      <c r="CI51" s="913">
        <v>39.344999999999999</v>
      </c>
      <c r="CJ51" s="913">
        <v>39.480000000000004</v>
      </c>
      <c r="CK51" s="913">
        <v>39.61</v>
      </c>
      <c r="CL51" s="913">
        <v>39.739999999999995</v>
      </c>
      <c r="CM51" s="913">
        <v>39.875</v>
      </c>
      <c r="CN51" s="913">
        <v>40</v>
      </c>
      <c r="CO51" s="913">
        <v>40.135000000000005</v>
      </c>
      <c r="CP51" s="913">
        <v>40.260000000000005</v>
      </c>
      <c r="CQ51" s="913">
        <v>40.385000000000005</v>
      </c>
      <c r="CR51" s="913">
        <v>40.510000000000005</v>
      </c>
      <c r="CS51" s="913">
        <v>40.64</v>
      </c>
      <c r="CT51" s="913">
        <v>40.765000000000001</v>
      </c>
      <c r="CU51" s="913">
        <v>40.89</v>
      </c>
      <c r="CV51" s="913">
        <v>41.01</v>
      </c>
      <c r="CW51" s="913">
        <v>41.129999999999995</v>
      </c>
      <c r="CX51" s="913">
        <v>41.255000000000003</v>
      </c>
      <c r="CY51" s="913">
        <v>41.37</v>
      </c>
      <c r="CZ51" s="913">
        <v>41.494999999999997</v>
      </c>
      <c r="DA51" s="913">
        <v>41.61</v>
      </c>
      <c r="DB51" s="913">
        <v>41.730000000000004</v>
      </c>
      <c r="DC51" s="913">
        <v>41.844999999999999</v>
      </c>
      <c r="DD51" s="913">
        <v>41.96</v>
      </c>
      <c r="DE51" s="913">
        <v>42.075000000000003</v>
      </c>
      <c r="DF51" s="913">
        <v>42.19</v>
      </c>
      <c r="DG51" s="913">
        <v>42.305</v>
      </c>
      <c r="DH51" s="913">
        <v>42.414999999999999</v>
      </c>
      <c r="DI51" s="913">
        <v>42.53</v>
      </c>
      <c r="DJ51" s="913">
        <v>42.64</v>
      </c>
      <c r="DK51" s="913">
        <v>42.745000000000005</v>
      </c>
      <c r="DL51" s="913">
        <v>42.86</v>
      </c>
      <c r="DM51" s="913">
        <v>42.97</v>
      </c>
      <c r="DN51" s="913">
        <v>43.075000000000003</v>
      </c>
      <c r="DO51" s="913">
        <v>43.18</v>
      </c>
      <c r="DP51" s="913">
        <v>43.290000000000006</v>
      </c>
      <c r="DQ51" s="913">
        <v>43.39</v>
      </c>
      <c r="DR51" s="913">
        <v>43.495000000000005</v>
      </c>
    </row>
    <row r="52" spans="1:122" s="127" customFormat="1" ht="12.75">
      <c r="A52" s="917">
        <v>50</v>
      </c>
      <c r="B52" s="913"/>
      <c r="C52" s="913"/>
      <c r="D52" s="913"/>
      <c r="E52" s="913"/>
      <c r="F52" s="913"/>
      <c r="G52" s="913"/>
      <c r="H52" s="913"/>
      <c r="I52" s="913"/>
      <c r="J52" s="913"/>
      <c r="K52" s="913"/>
      <c r="L52" s="913"/>
      <c r="M52" s="913"/>
      <c r="N52" s="913"/>
      <c r="O52" s="913"/>
      <c r="P52" s="913"/>
      <c r="Q52" s="913"/>
      <c r="R52" s="913"/>
      <c r="S52" s="913"/>
      <c r="T52" s="913"/>
      <c r="U52" s="913"/>
      <c r="V52" s="913"/>
      <c r="W52" s="913">
        <v>28.58</v>
      </c>
      <c r="X52" s="913">
        <v>28.8</v>
      </c>
      <c r="Y52" s="913">
        <v>28.939999999999998</v>
      </c>
      <c r="Z52" s="913">
        <v>29.17</v>
      </c>
      <c r="AA52" s="913">
        <v>29.344999999999999</v>
      </c>
      <c r="AB52" s="913">
        <v>29.524999999999999</v>
      </c>
      <c r="AC52" s="913">
        <v>29.64</v>
      </c>
      <c r="AD52" s="913">
        <v>29.68</v>
      </c>
      <c r="AE52" s="913">
        <v>29.855</v>
      </c>
      <c r="AF52" s="913">
        <v>30.049999999999997</v>
      </c>
      <c r="AG52" s="913">
        <v>30.274999999999999</v>
      </c>
      <c r="AH52" s="913">
        <v>30.505000000000003</v>
      </c>
      <c r="AI52" s="913">
        <v>30.72</v>
      </c>
      <c r="AJ52" s="913">
        <v>30.990000000000002</v>
      </c>
      <c r="AK52" s="913">
        <v>31.25</v>
      </c>
      <c r="AL52" s="913">
        <v>31.555</v>
      </c>
      <c r="AM52" s="913">
        <v>31.824999999999999</v>
      </c>
      <c r="AN52" s="913">
        <v>32.034999999999997</v>
      </c>
      <c r="AO52" s="913">
        <v>32.185000000000002</v>
      </c>
      <c r="AP52" s="913">
        <v>32.33</v>
      </c>
      <c r="AQ52" s="913">
        <v>32.454999999999998</v>
      </c>
      <c r="AR52" s="913">
        <v>32.594999999999999</v>
      </c>
      <c r="AS52" s="913">
        <v>32.644999999999996</v>
      </c>
      <c r="AT52" s="913">
        <v>32.685000000000002</v>
      </c>
      <c r="AU52" s="913">
        <v>32.769999999999996</v>
      </c>
      <c r="AV52" s="913">
        <v>32.844999999999999</v>
      </c>
      <c r="AW52" s="913">
        <v>33.07</v>
      </c>
      <c r="AX52" s="913">
        <v>33.159999999999997</v>
      </c>
      <c r="AY52" s="913">
        <v>33.274999999999999</v>
      </c>
      <c r="AZ52" s="913">
        <v>33.39</v>
      </c>
      <c r="BA52" s="913">
        <v>33.49</v>
      </c>
      <c r="BB52" s="913">
        <v>33.615000000000002</v>
      </c>
      <c r="BC52" s="913">
        <v>33.739999999999995</v>
      </c>
      <c r="BD52" s="913">
        <v>33.869999999999997</v>
      </c>
      <c r="BE52" s="913">
        <v>34.01</v>
      </c>
      <c r="BF52" s="913">
        <v>34.159999999999997</v>
      </c>
      <c r="BG52" s="913">
        <v>34.305</v>
      </c>
      <c r="BH52" s="913">
        <v>34.475000000000001</v>
      </c>
      <c r="BI52" s="913">
        <v>34.614999999999995</v>
      </c>
      <c r="BJ52" s="913">
        <v>34.775000000000006</v>
      </c>
      <c r="BK52" s="913">
        <v>34.93</v>
      </c>
      <c r="BL52" s="913">
        <v>35.105000000000004</v>
      </c>
      <c r="BM52" s="913">
        <v>35.260000000000005</v>
      </c>
      <c r="BN52" s="913">
        <v>35.424999999999997</v>
      </c>
      <c r="BO52" s="913">
        <v>35.575000000000003</v>
      </c>
      <c r="BP52" s="913">
        <v>35.724999999999994</v>
      </c>
      <c r="BQ52" s="913">
        <v>35.870000000000005</v>
      </c>
      <c r="BR52" s="913">
        <v>36.019999999999996</v>
      </c>
      <c r="BS52" s="913">
        <v>36.17</v>
      </c>
      <c r="BT52" s="914">
        <v>36.314999999999998</v>
      </c>
      <c r="BU52" s="913">
        <v>36.46</v>
      </c>
      <c r="BV52" s="913">
        <v>36.605000000000004</v>
      </c>
      <c r="BW52" s="913">
        <v>36.75</v>
      </c>
      <c r="BX52" s="913">
        <v>36.894999999999996</v>
      </c>
      <c r="BY52" s="913">
        <v>37.034999999999997</v>
      </c>
      <c r="BZ52" s="913">
        <v>37.174999999999997</v>
      </c>
      <c r="CA52" s="913">
        <v>37.314999999999998</v>
      </c>
      <c r="CB52" s="913">
        <v>37.454999999999998</v>
      </c>
      <c r="CC52" s="913">
        <v>37.594999999999999</v>
      </c>
      <c r="CD52" s="913">
        <v>37.734999999999999</v>
      </c>
      <c r="CE52" s="913">
        <v>37.870000000000005</v>
      </c>
      <c r="CF52" s="913">
        <v>38.005000000000003</v>
      </c>
      <c r="CG52" s="913">
        <v>38.14</v>
      </c>
      <c r="CH52" s="913">
        <v>38.274999999999999</v>
      </c>
      <c r="CI52" s="913">
        <v>38.409999999999997</v>
      </c>
      <c r="CJ52" s="913">
        <v>38.540000000000006</v>
      </c>
      <c r="CK52" s="913">
        <v>38.67</v>
      </c>
      <c r="CL52" s="913">
        <v>38.805</v>
      </c>
      <c r="CM52" s="913">
        <v>38.93</v>
      </c>
      <c r="CN52" s="913">
        <v>39.064999999999998</v>
      </c>
      <c r="CO52" s="913">
        <v>39.19</v>
      </c>
      <c r="CP52" s="913">
        <v>39.314999999999998</v>
      </c>
      <c r="CQ52" s="913">
        <v>39.445</v>
      </c>
      <c r="CR52" s="913">
        <v>39.569999999999993</v>
      </c>
      <c r="CS52" s="913">
        <v>39.695</v>
      </c>
      <c r="CT52" s="913">
        <v>39.82</v>
      </c>
      <c r="CU52" s="913">
        <v>39.945</v>
      </c>
      <c r="CV52" s="913">
        <v>40.06</v>
      </c>
      <c r="CW52" s="913">
        <v>40.185000000000002</v>
      </c>
      <c r="CX52" s="913">
        <v>40.305</v>
      </c>
      <c r="CY52" s="913">
        <v>40.42</v>
      </c>
      <c r="CZ52" s="913">
        <v>40.545000000000002</v>
      </c>
      <c r="DA52" s="913">
        <v>40.659999999999997</v>
      </c>
      <c r="DB52" s="913">
        <v>40.774999999999999</v>
      </c>
      <c r="DC52" s="913">
        <v>40.894999999999996</v>
      </c>
      <c r="DD52" s="913">
        <v>41.010000000000005</v>
      </c>
      <c r="DE52" s="913">
        <v>41.125</v>
      </c>
      <c r="DF52" s="913">
        <v>41.234999999999999</v>
      </c>
      <c r="DG52" s="913">
        <v>41.349999999999994</v>
      </c>
      <c r="DH52" s="913">
        <v>41.46</v>
      </c>
      <c r="DI52" s="913">
        <v>41.57</v>
      </c>
      <c r="DJ52" s="913">
        <v>41.680000000000007</v>
      </c>
      <c r="DK52" s="913">
        <v>41.79</v>
      </c>
      <c r="DL52" s="913">
        <v>41.894999999999996</v>
      </c>
      <c r="DM52" s="913">
        <v>42</v>
      </c>
      <c r="DN52" s="913">
        <v>42.11</v>
      </c>
      <c r="DO52" s="913">
        <v>42.215000000000003</v>
      </c>
      <c r="DP52" s="913">
        <v>42.32</v>
      </c>
      <c r="DQ52" s="913">
        <v>42.424999999999997</v>
      </c>
      <c r="DR52" s="913">
        <v>42.524999999999999</v>
      </c>
    </row>
    <row r="53" spans="1:122" s="127" customFormat="1" ht="12.75">
      <c r="A53" s="917">
        <v>51</v>
      </c>
      <c r="B53" s="913"/>
      <c r="C53" s="913"/>
      <c r="D53" s="913"/>
      <c r="E53" s="913"/>
      <c r="F53" s="913"/>
      <c r="G53" s="913"/>
      <c r="H53" s="913"/>
      <c r="I53" s="913"/>
      <c r="J53" s="913"/>
      <c r="K53" s="913"/>
      <c r="L53" s="913"/>
      <c r="M53" s="913"/>
      <c r="N53" s="913"/>
      <c r="O53" s="913"/>
      <c r="P53" s="913"/>
      <c r="Q53" s="913"/>
      <c r="R53" s="913"/>
      <c r="S53" s="913"/>
      <c r="T53" s="913"/>
      <c r="U53" s="913"/>
      <c r="V53" s="913"/>
      <c r="W53" s="913">
        <v>27.744999999999997</v>
      </c>
      <c r="X53" s="913">
        <v>27.96</v>
      </c>
      <c r="Y53" s="913">
        <v>28.1</v>
      </c>
      <c r="Z53" s="913">
        <v>28.33</v>
      </c>
      <c r="AA53" s="913">
        <v>28.509999999999998</v>
      </c>
      <c r="AB53" s="913">
        <v>28.689999999999998</v>
      </c>
      <c r="AC53" s="913">
        <v>28.805</v>
      </c>
      <c r="AD53" s="913">
        <v>28.844999999999999</v>
      </c>
      <c r="AE53" s="913">
        <v>29.015000000000001</v>
      </c>
      <c r="AF53" s="913">
        <v>29.21</v>
      </c>
      <c r="AG53" s="913">
        <v>29.43</v>
      </c>
      <c r="AH53" s="913">
        <v>29.664999999999999</v>
      </c>
      <c r="AI53" s="913">
        <v>29.88</v>
      </c>
      <c r="AJ53" s="913">
        <v>30.145000000000003</v>
      </c>
      <c r="AK53" s="913">
        <v>30.4</v>
      </c>
      <c r="AL53" s="913">
        <v>30.704999999999998</v>
      </c>
      <c r="AM53" s="913">
        <v>30.97</v>
      </c>
      <c r="AN53" s="913">
        <v>31.18</v>
      </c>
      <c r="AO53" s="913">
        <v>31.325000000000003</v>
      </c>
      <c r="AP53" s="913">
        <v>31.479999999999997</v>
      </c>
      <c r="AQ53" s="913">
        <v>31.594999999999999</v>
      </c>
      <c r="AR53" s="913">
        <v>31.73</v>
      </c>
      <c r="AS53" s="913">
        <v>31.784999999999997</v>
      </c>
      <c r="AT53" s="913">
        <v>31.82</v>
      </c>
      <c r="AU53" s="913">
        <v>31.905000000000001</v>
      </c>
      <c r="AV53" s="913">
        <v>31.979999999999997</v>
      </c>
      <c r="AW53" s="913">
        <v>32.195</v>
      </c>
      <c r="AX53" s="913">
        <v>32.28</v>
      </c>
      <c r="AY53" s="913">
        <v>32.400000000000006</v>
      </c>
      <c r="AZ53" s="913">
        <v>32.51</v>
      </c>
      <c r="BA53" s="913">
        <v>32.619999999999997</v>
      </c>
      <c r="BB53" s="913">
        <v>32.734999999999999</v>
      </c>
      <c r="BC53" s="913">
        <v>32.865000000000002</v>
      </c>
      <c r="BD53" s="913">
        <v>32.984999999999999</v>
      </c>
      <c r="BE53" s="913">
        <v>33.125</v>
      </c>
      <c r="BF53" s="913">
        <v>33.274999999999999</v>
      </c>
      <c r="BG53" s="913">
        <v>33.414999999999999</v>
      </c>
      <c r="BH53" s="913">
        <v>33.585000000000001</v>
      </c>
      <c r="BI53" s="913">
        <v>33.72</v>
      </c>
      <c r="BJ53" s="913">
        <v>33.879999999999995</v>
      </c>
      <c r="BK53" s="913">
        <v>34.034999999999997</v>
      </c>
      <c r="BL53" s="913">
        <v>34.204999999999998</v>
      </c>
      <c r="BM53" s="913">
        <v>34.36</v>
      </c>
      <c r="BN53" s="913">
        <v>34.519999999999996</v>
      </c>
      <c r="BO53" s="913">
        <v>34.665000000000006</v>
      </c>
      <c r="BP53" s="913">
        <v>34.814999999999998</v>
      </c>
      <c r="BQ53" s="913">
        <v>34.96</v>
      </c>
      <c r="BR53" s="913">
        <v>35.11</v>
      </c>
      <c r="BS53" s="913">
        <v>35.255000000000003</v>
      </c>
      <c r="BT53" s="914">
        <v>35.4</v>
      </c>
      <c r="BU53" s="913">
        <v>35.545000000000002</v>
      </c>
      <c r="BV53" s="913">
        <v>35.685000000000002</v>
      </c>
      <c r="BW53" s="913">
        <v>35.83</v>
      </c>
      <c r="BX53" s="913">
        <v>35.974999999999994</v>
      </c>
      <c r="BY53" s="913">
        <v>36.11</v>
      </c>
      <c r="BZ53" s="913">
        <v>36.254999999999995</v>
      </c>
      <c r="CA53" s="913">
        <v>36.39</v>
      </c>
      <c r="CB53" s="913">
        <v>36.534999999999997</v>
      </c>
      <c r="CC53" s="913">
        <v>36.67</v>
      </c>
      <c r="CD53" s="913">
        <v>36.805</v>
      </c>
      <c r="CE53" s="913">
        <v>36.94</v>
      </c>
      <c r="CF53" s="913">
        <v>37.075000000000003</v>
      </c>
      <c r="CG53" s="913">
        <v>37.209999999999994</v>
      </c>
      <c r="CH53" s="913">
        <v>37.344999999999999</v>
      </c>
      <c r="CI53" s="913">
        <v>37.475000000000001</v>
      </c>
      <c r="CJ53" s="913">
        <v>37.61</v>
      </c>
      <c r="CK53" s="913">
        <v>37.734999999999999</v>
      </c>
      <c r="CL53" s="913">
        <v>37.870000000000005</v>
      </c>
      <c r="CM53" s="913">
        <v>37.995000000000005</v>
      </c>
      <c r="CN53" s="913">
        <v>38.125</v>
      </c>
      <c r="CO53" s="913">
        <v>38.25</v>
      </c>
      <c r="CP53" s="913">
        <v>38.379999999999995</v>
      </c>
      <c r="CQ53" s="913">
        <v>38.5</v>
      </c>
      <c r="CR53" s="913">
        <v>38.625</v>
      </c>
      <c r="CS53" s="913">
        <v>38.75</v>
      </c>
      <c r="CT53" s="913">
        <v>38.875</v>
      </c>
      <c r="CU53" s="913">
        <v>38.995000000000005</v>
      </c>
      <c r="CV53" s="913">
        <v>39.120000000000005</v>
      </c>
      <c r="CW53" s="913">
        <v>39.234999999999999</v>
      </c>
      <c r="CX53" s="913">
        <v>39.36</v>
      </c>
      <c r="CY53" s="913">
        <v>39.475000000000001</v>
      </c>
      <c r="CZ53" s="913">
        <v>39.594999999999999</v>
      </c>
      <c r="DA53" s="913">
        <v>39.709999999999994</v>
      </c>
      <c r="DB53" s="913">
        <v>39.825000000000003</v>
      </c>
      <c r="DC53" s="913">
        <v>39.94</v>
      </c>
      <c r="DD53" s="913">
        <v>40.055</v>
      </c>
      <c r="DE53" s="913">
        <v>40.165000000000006</v>
      </c>
      <c r="DF53" s="913">
        <v>40.28</v>
      </c>
      <c r="DG53" s="913">
        <v>40.394999999999996</v>
      </c>
      <c r="DH53" s="913">
        <v>40.504999999999995</v>
      </c>
      <c r="DI53" s="913">
        <v>40.615000000000002</v>
      </c>
      <c r="DJ53" s="913">
        <v>40.72</v>
      </c>
      <c r="DK53" s="913">
        <v>40.835000000000001</v>
      </c>
      <c r="DL53" s="913">
        <v>40.94</v>
      </c>
      <c r="DM53" s="913">
        <v>41.05</v>
      </c>
      <c r="DN53" s="913">
        <v>41.15</v>
      </c>
      <c r="DO53" s="913">
        <v>41.255000000000003</v>
      </c>
      <c r="DP53" s="913">
        <v>41.36</v>
      </c>
      <c r="DQ53" s="913">
        <v>41.465000000000003</v>
      </c>
      <c r="DR53" s="913">
        <v>41.564999999999998</v>
      </c>
    </row>
    <row r="54" spans="1:122" s="127" customFormat="1" ht="12.75">
      <c r="A54" s="917">
        <v>52</v>
      </c>
      <c r="B54" s="913"/>
      <c r="C54" s="913"/>
      <c r="D54" s="913"/>
      <c r="E54" s="913"/>
      <c r="F54" s="913"/>
      <c r="G54" s="913"/>
      <c r="H54" s="913"/>
      <c r="I54" s="913"/>
      <c r="J54" s="913"/>
      <c r="K54" s="913"/>
      <c r="L54" s="913"/>
      <c r="M54" s="913"/>
      <c r="N54" s="913"/>
      <c r="O54" s="913"/>
      <c r="P54" s="913"/>
      <c r="Q54" s="913"/>
      <c r="R54" s="913"/>
      <c r="S54" s="913"/>
      <c r="T54" s="913"/>
      <c r="U54" s="913"/>
      <c r="V54" s="913"/>
      <c r="W54" s="913">
        <v>26.92</v>
      </c>
      <c r="X54" s="913">
        <v>27.130000000000003</v>
      </c>
      <c r="Y54" s="913">
        <v>27.28</v>
      </c>
      <c r="Z54" s="913">
        <v>27.5</v>
      </c>
      <c r="AA54" s="913">
        <v>27.68</v>
      </c>
      <c r="AB54" s="913">
        <v>27.855</v>
      </c>
      <c r="AC54" s="913">
        <v>27.97</v>
      </c>
      <c r="AD54" s="913">
        <v>28.015000000000001</v>
      </c>
      <c r="AE54" s="913">
        <v>28.184999999999999</v>
      </c>
      <c r="AF54" s="913">
        <v>28.38</v>
      </c>
      <c r="AG54" s="913">
        <v>28.594999999999999</v>
      </c>
      <c r="AH54" s="913">
        <v>28.82</v>
      </c>
      <c r="AI54" s="913">
        <v>29.04</v>
      </c>
      <c r="AJ54" s="913">
        <v>29.3</v>
      </c>
      <c r="AK54" s="913">
        <v>29.555</v>
      </c>
      <c r="AL54" s="913">
        <v>29.85</v>
      </c>
      <c r="AM54" s="913">
        <v>30.119999999999997</v>
      </c>
      <c r="AN54" s="913">
        <v>30.32</v>
      </c>
      <c r="AO54" s="913">
        <v>30.48</v>
      </c>
      <c r="AP54" s="913">
        <v>30.63</v>
      </c>
      <c r="AQ54" s="913">
        <v>30.740000000000002</v>
      </c>
      <c r="AR54" s="913">
        <v>30.875</v>
      </c>
      <c r="AS54" s="913">
        <v>30.934999999999999</v>
      </c>
      <c r="AT54" s="913">
        <v>30.97</v>
      </c>
      <c r="AU54" s="913">
        <v>31.045000000000002</v>
      </c>
      <c r="AV54" s="913">
        <v>31.114999999999998</v>
      </c>
      <c r="AW54" s="913">
        <v>31.325000000000003</v>
      </c>
      <c r="AX54" s="913">
        <v>31.41</v>
      </c>
      <c r="AY54" s="913">
        <v>31.524999999999999</v>
      </c>
      <c r="AZ54" s="913">
        <v>31.64</v>
      </c>
      <c r="BA54" s="913">
        <v>31.745000000000001</v>
      </c>
      <c r="BB54" s="913">
        <v>31.86</v>
      </c>
      <c r="BC54" s="913">
        <v>31.984999999999999</v>
      </c>
      <c r="BD54" s="913">
        <v>32.105000000000004</v>
      </c>
      <c r="BE54" s="913">
        <v>32.244999999999997</v>
      </c>
      <c r="BF54" s="913">
        <v>32.39</v>
      </c>
      <c r="BG54" s="913">
        <v>32.534999999999997</v>
      </c>
      <c r="BH54" s="913">
        <v>32.700000000000003</v>
      </c>
      <c r="BI54" s="913">
        <v>32.840000000000003</v>
      </c>
      <c r="BJ54" s="913">
        <v>32.99</v>
      </c>
      <c r="BK54" s="913">
        <v>33.14</v>
      </c>
      <c r="BL54" s="913">
        <v>33.31</v>
      </c>
      <c r="BM54" s="913">
        <v>33.46</v>
      </c>
      <c r="BN54" s="913">
        <v>33.619999999999997</v>
      </c>
      <c r="BO54" s="913">
        <v>33.765000000000001</v>
      </c>
      <c r="BP54" s="913">
        <v>33.914999999999999</v>
      </c>
      <c r="BQ54" s="913">
        <v>34.06</v>
      </c>
      <c r="BR54" s="913">
        <v>34.204999999999998</v>
      </c>
      <c r="BS54" s="913">
        <v>34.35</v>
      </c>
      <c r="BT54" s="914">
        <v>34.495000000000005</v>
      </c>
      <c r="BU54" s="913">
        <v>34.635000000000005</v>
      </c>
      <c r="BV54" s="913">
        <v>34.774999999999999</v>
      </c>
      <c r="BW54" s="913">
        <v>34.92</v>
      </c>
      <c r="BX54" s="913">
        <v>35.06</v>
      </c>
      <c r="BY54" s="913">
        <v>35.200000000000003</v>
      </c>
      <c r="BZ54" s="913">
        <v>35.335000000000001</v>
      </c>
      <c r="CA54" s="913">
        <v>35.475000000000001</v>
      </c>
      <c r="CB54" s="913">
        <v>35.61</v>
      </c>
      <c r="CC54" s="913">
        <v>35.745000000000005</v>
      </c>
      <c r="CD54" s="913">
        <v>35.879999999999995</v>
      </c>
      <c r="CE54" s="913">
        <v>36.015000000000001</v>
      </c>
      <c r="CF54" s="913">
        <v>36.150000000000006</v>
      </c>
      <c r="CG54" s="913">
        <v>36.284999999999997</v>
      </c>
      <c r="CH54" s="913">
        <v>36.42</v>
      </c>
      <c r="CI54" s="913">
        <v>36.549999999999997</v>
      </c>
      <c r="CJ54" s="913">
        <v>36.68</v>
      </c>
      <c r="CK54" s="913">
        <v>36.81</v>
      </c>
      <c r="CL54" s="913">
        <v>36.935000000000002</v>
      </c>
      <c r="CM54" s="913">
        <v>37.06</v>
      </c>
      <c r="CN54" s="913">
        <v>37.195</v>
      </c>
      <c r="CO54" s="913">
        <v>37.32</v>
      </c>
      <c r="CP54" s="913">
        <v>37.445</v>
      </c>
      <c r="CQ54" s="913">
        <v>37.564999999999998</v>
      </c>
      <c r="CR54" s="913">
        <v>37.69</v>
      </c>
      <c r="CS54" s="913">
        <v>37.814999999999998</v>
      </c>
      <c r="CT54" s="913">
        <v>37.935000000000002</v>
      </c>
      <c r="CU54" s="913">
        <v>38.055</v>
      </c>
      <c r="CV54" s="913">
        <v>38.174999999999997</v>
      </c>
      <c r="CW54" s="913">
        <v>38.299999999999997</v>
      </c>
      <c r="CX54" s="913">
        <v>38.414999999999999</v>
      </c>
      <c r="CY54" s="913">
        <v>38.534999999999997</v>
      </c>
      <c r="CZ54" s="913">
        <v>38.650000000000006</v>
      </c>
      <c r="DA54" s="913">
        <v>38.765000000000001</v>
      </c>
      <c r="DB54" s="913">
        <v>38.879999999999995</v>
      </c>
      <c r="DC54" s="913">
        <v>38.989999999999995</v>
      </c>
      <c r="DD54" s="913">
        <v>39.105000000000004</v>
      </c>
      <c r="DE54" s="913">
        <v>39.22</v>
      </c>
      <c r="DF54" s="913">
        <v>39.33</v>
      </c>
      <c r="DG54" s="913">
        <v>39.445</v>
      </c>
      <c r="DH54" s="913">
        <v>39.555</v>
      </c>
      <c r="DI54" s="913">
        <v>39.659999999999997</v>
      </c>
      <c r="DJ54" s="913">
        <v>39.769999999999996</v>
      </c>
      <c r="DK54" s="913">
        <v>39.875</v>
      </c>
      <c r="DL54" s="913">
        <v>39.984999999999999</v>
      </c>
      <c r="DM54" s="913">
        <v>40.090000000000003</v>
      </c>
      <c r="DN54" s="913">
        <v>40.195</v>
      </c>
      <c r="DO54" s="913">
        <v>40.299999999999997</v>
      </c>
      <c r="DP54" s="913">
        <v>40.405000000000001</v>
      </c>
      <c r="DQ54" s="913">
        <v>40.510000000000005</v>
      </c>
      <c r="DR54" s="913">
        <v>40.605000000000004</v>
      </c>
    </row>
    <row r="55" spans="1:122" s="127" customFormat="1" ht="12.75">
      <c r="A55" s="917">
        <v>53</v>
      </c>
      <c r="B55" s="913"/>
      <c r="C55" s="913"/>
      <c r="D55" s="913"/>
      <c r="E55" s="913"/>
      <c r="F55" s="913"/>
      <c r="G55" s="913"/>
      <c r="H55" s="913"/>
      <c r="I55" s="913"/>
      <c r="J55" s="913"/>
      <c r="K55" s="913"/>
      <c r="L55" s="913"/>
      <c r="M55" s="913"/>
      <c r="N55" s="913"/>
      <c r="O55" s="913"/>
      <c r="P55" s="913"/>
      <c r="Q55" s="913"/>
      <c r="R55" s="913"/>
      <c r="S55" s="913"/>
      <c r="T55" s="913"/>
      <c r="U55" s="913"/>
      <c r="V55" s="913"/>
      <c r="W55" s="913">
        <v>26.1</v>
      </c>
      <c r="X55" s="913">
        <v>26.314999999999998</v>
      </c>
      <c r="Y55" s="913">
        <v>26.46</v>
      </c>
      <c r="Z55" s="913">
        <v>26.68</v>
      </c>
      <c r="AA55" s="913">
        <v>26.85</v>
      </c>
      <c r="AB55" s="913">
        <v>27.03</v>
      </c>
      <c r="AC55" s="913">
        <v>27.15</v>
      </c>
      <c r="AD55" s="913">
        <v>27.189999999999998</v>
      </c>
      <c r="AE55" s="913">
        <v>27.36</v>
      </c>
      <c r="AF55" s="913">
        <v>27.555</v>
      </c>
      <c r="AG55" s="913">
        <v>27.770000000000003</v>
      </c>
      <c r="AH55" s="913">
        <v>27.994999999999997</v>
      </c>
      <c r="AI55" s="913">
        <v>28.204999999999998</v>
      </c>
      <c r="AJ55" s="913">
        <v>28.465</v>
      </c>
      <c r="AK55" s="913">
        <v>28.72</v>
      </c>
      <c r="AL55" s="913">
        <v>29.009999999999998</v>
      </c>
      <c r="AM55" s="913">
        <v>29.27</v>
      </c>
      <c r="AN55" s="913">
        <v>29.484999999999999</v>
      </c>
      <c r="AO55" s="913">
        <v>29.634999999999998</v>
      </c>
      <c r="AP55" s="913">
        <v>29.779999999999998</v>
      </c>
      <c r="AQ55" s="913">
        <v>29.895</v>
      </c>
      <c r="AR55" s="913">
        <v>30.03</v>
      </c>
      <c r="AS55" s="913">
        <v>30.085000000000001</v>
      </c>
      <c r="AT55" s="913">
        <v>30.119999999999997</v>
      </c>
      <c r="AU55" s="913">
        <v>30.19</v>
      </c>
      <c r="AV55" s="913">
        <v>30.254999999999999</v>
      </c>
      <c r="AW55" s="913">
        <v>30.465000000000003</v>
      </c>
      <c r="AX55" s="913">
        <v>30.544999999999998</v>
      </c>
      <c r="AY55" s="913">
        <v>30.664999999999999</v>
      </c>
      <c r="AZ55" s="913">
        <v>30.775000000000002</v>
      </c>
      <c r="BA55" s="913">
        <v>30.875</v>
      </c>
      <c r="BB55" s="913">
        <v>30.995000000000001</v>
      </c>
      <c r="BC55" s="913">
        <v>31.119999999999997</v>
      </c>
      <c r="BD55" s="913">
        <v>31.240000000000002</v>
      </c>
      <c r="BE55" s="913">
        <v>31.375</v>
      </c>
      <c r="BF55" s="913">
        <v>31.515000000000001</v>
      </c>
      <c r="BG55" s="913">
        <v>31.655000000000001</v>
      </c>
      <c r="BH55" s="913">
        <v>31.824999999999999</v>
      </c>
      <c r="BI55" s="913">
        <v>31.96</v>
      </c>
      <c r="BJ55" s="913">
        <v>32.11</v>
      </c>
      <c r="BK55" s="913">
        <v>32.255000000000003</v>
      </c>
      <c r="BL55" s="913">
        <v>32.424999999999997</v>
      </c>
      <c r="BM55" s="913">
        <v>32.57</v>
      </c>
      <c r="BN55" s="913">
        <v>32.725000000000001</v>
      </c>
      <c r="BO55" s="913">
        <v>32.869999999999997</v>
      </c>
      <c r="BP55" s="913">
        <v>33.015000000000001</v>
      </c>
      <c r="BQ55" s="913">
        <v>33.159999999999997</v>
      </c>
      <c r="BR55" s="913">
        <v>33.305</v>
      </c>
      <c r="BS55" s="913">
        <v>33.450000000000003</v>
      </c>
      <c r="BT55" s="914">
        <v>33.590000000000003</v>
      </c>
      <c r="BU55" s="913">
        <v>33.730000000000004</v>
      </c>
      <c r="BV55" s="913">
        <v>33.875</v>
      </c>
      <c r="BW55" s="913">
        <v>34.010000000000005</v>
      </c>
      <c r="BX55" s="913">
        <v>34.15</v>
      </c>
      <c r="BY55" s="913">
        <v>34.29</v>
      </c>
      <c r="BZ55" s="913">
        <v>34.424999999999997</v>
      </c>
      <c r="CA55" s="913">
        <v>34.564999999999998</v>
      </c>
      <c r="CB55" s="913">
        <v>34.700000000000003</v>
      </c>
      <c r="CC55" s="913">
        <v>34.834999999999994</v>
      </c>
      <c r="CD55" s="913">
        <v>34.97</v>
      </c>
      <c r="CE55" s="913">
        <v>35.099999999999994</v>
      </c>
      <c r="CF55" s="913">
        <v>35.230000000000004</v>
      </c>
      <c r="CG55" s="913">
        <v>35.365000000000002</v>
      </c>
      <c r="CH55" s="913">
        <v>35.495000000000005</v>
      </c>
      <c r="CI55" s="913">
        <v>35.625</v>
      </c>
      <c r="CJ55" s="913">
        <v>35.754999999999995</v>
      </c>
      <c r="CK55" s="913">
        <v>35.880000000000003</v>
      </c>
      <c r="CL55" s="913">
        <v>36.010000000000005</v>
      </c>
      <c r="CM55" s="913">
        <v>36.135000000000005</v>
      </c>
      <c r="CN55" s="913">
        <v>36.260000000000005</v>
      </c>
      <c r="CO55" s="913">
        <v>36.384999999999998</v>
      </c>
      <c r="CP55" s="913">
        <v>36.51</v>
      </c>
      <c r="CQ55" s="913">
        <v>36.634999999999998</v>
      </c>
      <c r="CR55" s="913">
        <v>36.754999999999995</v>
      </c>
      <c r="CS55" s="913">
        <v>36.879999999999995</v>
      </c>
      <c r="CT55" s="913">
        <v>37</v>
      </c>
      <c r="CU55" s="913">
        <v>37.119999999999997</v>
      </c>
      <c r="CV55" s="913">
        <v>37.239999999999995</v>
      </c>
      <c r="CW55" s="913">
        <v>37.355000000000004</v>
      </c>
      <c r="CX55" s="913">
        <v>37.474999999999994</v>
      </c>
      <c r="CY55" s="913">
        <v>37.590000000000003</v>
      </c>
      <c r="CZ55" s="913">
        <v>37.704999999999998</v>
      </c>
      <c r="DA55" s="913">
        <v>37.825000000000003</v>
      </c>
      <c r="DB55" s="913">
        <v>37.94</v>
      </c>
      <c r="DC55" s="913">
        <v>38.049999999999997</v>
      </c>
      <c r="DD55" s="913">
        <v>38.164999999999999</v>
      </c>
      <c r="DE55" s="913">
        <v>38.275000000000006</v>
      </c>
      <c r="DF55" s="913">
        <v>38.385000000000005</v>
      </c>
      <c r="DG55" s="913">
        <v>38.494999999999997</v>
      </c>
      <c r="DH55" s="913">
        <v>38.605000000000004</v>
      </c>
      <c r="DI55" s="913">
        <v>38.715000000000003</v>
      </c>
      <c r="DJ55" s="913">
        <v>38.825000000000003</v>
      </c>
      <c r="DK55" s="913">
        <v>38.93</v>
      </c>
      <c r="DL55" s="913">
        <v>39.03</v>
      </c>
      <c r="DM55" s="913">
        <v>39.14</v>
      </c>
      <c r="DN55" s="913">
        <v>39.245000000000005</v>
      </c>
      <c r="DO55" s="913">
        <v>39.344999999999999</v>
      </c>
      <c r="DP55" s="913">
        <v>39.450000000000003</v>
      </c>
      <c r="DQ55" s="913">
        <v>39.549999999999997</v>
      </c>
      <c r="DR55" s="913">
        <v>39.655000000000001</v>
      </c>
    </row>
    <row r="56" spans="1:122" s="127" customFormat="1" ht="12.75">
      <c r="A56" s="917">
        <v>54</v>
      </c>
      <c r="B56" s="913"/>
      <c r="C56" s="913"/>
      <c r="D56" s="913"/>
      <c r="E56" s="913"/>
      <c r="F56" s="913"/>
      <c r="G56" s="913"/>
      <c r="H56" s="913"/>
      <c r="I56" s="913"/>
      <c r="J56" s="913"/>
      <c r="K56" s="913"/>
      <c r="L56" s="913"/>
      <c r="M56" s="913"/>
      <c r="N56" s="913"/>
      <c r="O56" s="913"/>
      <c r="P56" s="913"/>
      <c r="Q56" s="913"/>
      <c r="R56" s="913"/>
      <c r="S56" s="913"/>
      <c r="T56" s="913"/>
      <c r="U56" s="913"/>
      <c r="V56" s="913"/>
      <c r="W56" s="913">
        <v>25.29</v>
      </c>
      <c r="X56" s="913">
        <v>25.505000000000003</v>
      </c>
      <c r="Y56" s="913">
        <v>25.65</v>
      </c>
      <c r="Z56" s="913">
        <v>25.87</v>
      </c>
      <c r="AA56" s="913">
        <v>26.04</v>
      </c>
      <c r="AB56" s="913">
        <v>26.215</v>
      </c>
      <c r="AC56" s="913">
        <v>26.335000000000001</v>
      </c>
      <c r="AD56" s="913">
        <v>26.375</v>
      </c>
      <c r="AE56" s="913">
        <v>26.545000000000002</v>
      </c>
      <c r="AF56" s="913">
        <v>26.740000000000002</v>
      </c>
      <c r="AG56" s="913">
        <v>26.945</v>
      </c>
      <c r="AH56" s="913">
        <v>27.17</v>
      </c>
      <c r="AI56" s="913">
        <v>27.38</v>
      </c>
      <c r="AJ56" s="913">
        <v>27.64</v>
      </c>
      <c r="AK56" s="913">
        <v>27.89</v>
      </c>
      <c r="AL56" s="913">
        <v>28.18</v>
      </c>
      <c r="AM56" s="913">
        <v>28.445</v>
      </c>
      <c r="AN56" s="913">
        <v>28.65</v>
      </c>
      <c r="AO56" s="913">
        <v>28.8</v>
      </c>
      <c r="AP56" s="913">
        <v>28.934999999999999</v>
      </c>
      <c r="AQ56" s="913">
        <v>29.049999999999997</v>
      </c>
      <c r="AR56" s="913">
        <v>29.185000000000002</v>
      </c>
      <c r="AS56" s="913">
        <v>29.234999999999999</v>
      </c>
      <c r="AT56" s="913">
        <v>29.270000000000003</v>
      </c>
      <c r="AU56" s="913">
        <v>29.335000000000001</v>
      </c>
      <c r="AV56" s="913">
        <v>29.405000000000001</v>
      </c>
      <c r="AW56" s="913">
        <v>29.604999999999997</v>
      </c>
      <c r="AX56" s="913">
        <v>29.685000000000002</v>
      </c>
      <c r="AY56" s="913">
        <v>29.805</v>
      </c>
      <c r="AZ56" s="913">
        <v>29.914999999999999</v>
      </c>
      <c r="BA56" s="913">
        <v>30.020000000000003</v>
      </c>
      <c r="BB56" s="913">
        <v>30.130000000000003</v>
      </c>
      <c r="BC56" s="913">
        <v>30.255000000000003</v>
      </c>
      <c r="BD56" s="913">
        <v>30.369999999999997</v>
      </c>
      <c r="BE56" s="913">
        <v>30.505000000000003</v>
      </c>
      <c r="BF56" s="913">
        <v>30.645</v>
      </c>
      <c r="BG56" s="913">
        <v>30.79</v>
      </c>
      <c r="BH56" s="913">
        <v>30.95</v>
      </c>
      <c r="BI56" s="913">
        <v>31.085000000000001</v>
      </c>
      <c r="BJ56" s="913">
        <v>31.240000000000002</v>
      </c>
      <c r="BK56" s="913">
        <v>31.380000000000003</v>
      </c>
      <c r="BL56" s="913">
        <v>31.545000000000002</v>
      </c>
      <c r="BM56" s="913">
        <v>31.684999999999999</v>
      </c>
      <c r="BN56" s="913">
        <v>31.84</v>
      </c>
      <c r="BO56" s="913">
        <v>31.979999999999997</v>
      </c>
      <c r="BP56" s="913">
        <v>32.125</v>
      </c>
      <c r="BQ56" s="913">
        <v>32.265000000000001</v>
      </c>
      <c r="BR56" s="913">
        <v>32.409999999999997</v>
      </c>
      <c r="BS56" s="913">
        <v>32.555</v>
      </c>
      <c r="BT56" s="914">
        <v>32.69</v>
      </c>
      <c r="BU56" s="913">
        <v>32.835000000000001</v>
      </c>
      <c r="BV56" s="913">
        <v>32.97</v>
      </c>
      <c r="BW56" s="913">
        <v>33.11</v>
      </c>
      <c r="BX56" s="913">
        <v>33.244999999999997</v>
      </c>
      <c r="BY56" s="913">
        <v>33.385000000000005</v>
      </c>
      <c r="BZ56" s="913">
        <v>33.524999999999999</v>
      </c>
      <c r="CA56" s="913">
        <v>33.655000000000001</v>
      </c>
      <c r="CB56" s="913">
        <v>33.79</v>
      </c>
      <c r="CC56" s="913">
        <v>33.924999999999997</v>
      </c>
      <c r="CD56" s="913">
        <v>34.06</v>
      </c>
      <c r="CE56" s="913">
        <v>34.185000000000002</v>
      </c>
      <c r="CF56" s="913">
        <v>34.32</v>
      </c>
      <c r="CG56" s="913">
        <v>34.450000000000003</v>
      </c>
      <c r="CH56" s="913">
        <v>34.58</v>
      </c>
      <c r="CI56" s="913">
        <v>34.71</v>
      </c>
      <c r="CJ56" s="913">
        <v>34.835000000000001</v>
      </c>
      <c r="CK56" s="913">
        <v>34.965000000000003</v>
      </c>
      <c r="CL56" s="913">
        <v>35.090000000000003</v>
      </c>
      <c r="CM56" s="913">
        <v>35.215000000000003</v>
      </c>
      <c r="CN56" s="913">
        <v>35.340000000000003</v>
      </c>
      <c r="CO56" s="913">
        <v>35.465000000000003</v>
      </c>
      <c r="CP56" s="913">
        <v>35.585000000000001</v>
      </c>
      <c r="CQ56" s="913">
        <v>35.71</v>
      </c>
      <c r="CR56" s="913">
        <v>35.83</v>
      </c>
      <c r="CS56" s="913">
        <v>35.950000000000003</v>
      </c>
      <c r="CT56" s="913">
        <v>36.07</v>
      </c>
      <c r="CU56" s="913">
        <v>36.19</v>
      </c>
      <c r="CV56" s="913">
        <v>36.305</v>
      </c>
      <c r="CW56" s="913">
        <v>36.42</v>
      </c>
      <c r="CX56" s="913">
        <v>36.540000000000006</v>
      </c>
      <c r="CY56" s="913">
        <v>36.655000000000001</v>
      </c>
      <c r="CZ56" s="913">
        <v>36.769999999999996</v>
      </c>
      <c r="DA56" s="913">
        <v>36.884999999999998</v>
      </c>
      <c r="DB56" s="913">
        <v>36.995000000000005</v>
      </c>
      <c r="DC56" s="913">
        <v>37.11</v>
      </c>
      <c r="DD56" s="913">
        <v>37.22</v>
      </c>
      <c r="DE56" s="913">
        <v>37.334999999999994</v>
      </c>
      <c r="DF56" s="913">
        <v>37.445</v>
      </c>
      <c r="DG56" s="913">
        <v>37.549999999999997</v>
      </c>
      <c r="DH56" s="913">
        <v>37.659999999999997</v>
      </c>
      <c r="DI56" s="913">
        <v>37.765000000000001</v>
      </c>
      <c r="DJ56" s="913">
        <v>37.875</v>
      </c>
      <c r="DK56" s="913">
        <v>37.980000000000004</v>
      </c>
      <c r="DL56" s="913">
        <v>38.085000000000001</v>
      </c>
      <c r="DM56" s="913">
        <v>38.19</v>
      </c>
      <c r="DN56" s="913">
        <v>38.295000000000002</v>
      </c>
      <c r="DO56" s="913">
        <v>38.400000000000006</v>
      </c>
      <c r="DP56" s="913">
        <v>38.5</v>
      </c>
      <c r="DQ56" s="913">
        <v>38.6</v>
      </c>
      <c r="DR56" s="913">
        <v>38.700000000000003</v>
      </c>
    </row>
    <row r="57" spans="1:122" s="127" customFormat="1" ht="12.75">
      <c r="A57" s="917">
        <v>55</v>
      </c>
      <c r="B57" s="913"/>
      <c r="C57" s="913"/>
      <c r="D57" s="913"/>
      <c r="E57" s="913"/>
      <c r="F57" s="913"/>
      <c r="G57" s="913"/>
      <c r="H57" s="913"/>
      <c r="I57" s="913"/>
      <c r="J57" s="913"/>
      <c r="K57" s="913"/>
      <c r="L57" s="913"/>
      <c r="M57" s="913"/>
      <c r="N57" s="913"/>
      <c r="O57" s="913"/>
      <c r="P57" s="913"/>
      <c r="Q57" s="913"/>
      <c r="R57" s="913"/>
      <c r="S57" s="913"/>
      <c r="T57" s="913"/>
      <c r="U57" s="913"/>
      <c r="V57" s="913"/>
      <c r="W57" s="913">
        <v>24.490000000000002</v>
      </c>
      <c r="X57" s="913">
        <v>24.7</v>
      </c>
      <c r="Y57" s="913">
        <v>24.84</v>
      </c>
      <c r="Z57" s="913">
        <v>25.060000000000002</v>
      </c>
      <c r="AA57" s="913">
        <v>25.225000000000001</v>
      </c>
      <c r="AB57" s="913">
        <v>25.41</v>
      </c>
      <c r="AC57" s="913">
        <v>25.52</v>
      </c>
      <c r="AD57" s="913">
        <v>25.564999999999998</v>
      </c>
      <c r="AE57" s="913">
        <v>25.734999999999999</v>
      </c>
      <c r="AF57" s="913">
        <v>25.924999999999997</v>
      </c>
      <c r="AG57" s="913">
        <v>26.14</v>
      </c>
      <c r="AH57" s="913">
        <v>26.355</v>
      </c>
      <c r="AI57" s="913">
        <v>26.565000000000001</v>
      </c>
      <c r="AJ57" s="913">
        <v>26.814999999999998</v>
      </c>
      <c r="AK57" s="913">
        <v>27.07</v>
      </c>
      <c r="AL57" s="913">
        <v>27.355</v>
      </c>
      <c r="AM57" s="913">
        <v>27.619999999999997</v>
      </c>
      <c r="AN57" s="913">
        <v>27.82</v>
      </c>
      <c r="AO57" s="913">
        <v>27.97</v>
      </c>
      <c r="AP57" s="913">
        <v>28.1</v>
      </c>
      <c r="AQ57" s="913">
        <v>28.22</v>
      </c>
      <c r="AR57" s="913">
        <v>28.344999999999999</v>
      </c>
      <c r="AS57" s="913">
        <v>28.39</v>
      </c>
      <c r="AT57" s="913">
        <v>28.43</v>
      </c>
      <c r="AU57" s="913">
        <v>28.494999999999997</v>
      </c>
      <c r="AV57" s="913">
        <v>28.555</v>
      </c>
      <c r="AW57" s="913">
        <v>28.759999999999998</v>
      </c>
      <c r="AX57" s="913">
        <v>28.835000000000001</v>
      </c>
      <c r="AY57" s="913">
        <v>28.95</v>
      </c>
      <c r="AZ57" s="913">
        <v>29.060000000000002</v>
      </c>
      <c r="BA57" s="913">
        <v>29.16</v>
      </c>
      <c r="BB57" s="913">
        <v>29.265000000000001</v>
      </c>
      <c r="BC57" s="913">
        <v>29.39</v>
      </c>
      <c r="BD57" s="913">
        <v>29.509999999999998</v>
      </c>
      <c r="BE57" s="913">
        <v>29.645</v>
      </c>
      <c r="BF57" s="913">
        <v>29.79</v>
      </c>
      <c r="BG57" s="913">
        <v>29.925000000000001</v>
      </c>
      <c r="BH57" s="913">
        <v>30.090000000000003</v>
      </c>
      <c r="BI57" s="913">
        <v>30.22</v>
      </c>
      <c r="BJ57" s="913">
        <v>30.37</v>
      </c>
      <c r="BK57" s="913">
        <v>30.515000000000001</v>
      </c>
      <c r="BL57" s="913">
        <v>30.664999999999999</v>
      </c>
      <c r="BM57" s="913">
        <v>30.814999999999998</v>
      </c>
      <c r="BN57" s="913">
        <v>30.96</v>
      </c>
      <c r="BO57" s="913">
        <v>31.1</v>
      </c>
      <c r="BP57" s="913">
        <v>31.240000000000002</v>
      </c>
      <c r="BQ57" s="913">
        <v>31.384999999999998</v>
      </c>
      <c r="BR57" s="913">
        <v>31.524999999999999</v>
      </c>
      <c r="BS57" s="913">
        <v>31.659999999999997</v>
      </c>
      <c r="BT57" s="914">
        <v>31.805</v>
      </c>
      <c r="BU57" s="913">
        <v>31.939999999999998</v>
      </c>
      <c r="BV57" s="913">
        <v>32.08</v>
      </c>
      <c r="BW57" s="913">
        <v>32.215000000000003</v>
      </c>
      <c r="BX57" s="913">
        <v>32.35</v>
      </c>
      <c r="BY57" s="913">
        <v>32.484999999999999</v>
      </c>
      <c r="BZ57" s="913">
        <v>32.619999999999997</v>
      </c>
      <c r="CA57" s="913">
        <v>32.755000000000003</v>
      </c>
      <c r="CB57" s="913">
        <v>32.884999999999998</v>
      </c>
      <c r="CC57" s="913">
        <v>33.019999999999996</v>
      </c>
      <c r="CD57" s="913">
        <v>33.15</v>
      </c>
      <c r="CE57" s="913">
        <v>33.284999999999997</v>
      </c>
      <c r="CF57" s="913">
        <v>33.409999999999997</v>
      </c>
      <c r="CG57" s="913">
        <v>33.54</v>
      </c>
      <c r="CH57" s="913">
        <v>33.67</v>
      </c>
      <c r="CI57" s="913">
        <v>33.799999999999997</v>
      </c>
      <c r="CJ57" s="913">
        <v>33.924999999999997</v>
      </c>
      <c r="CK57" s="913">
        <v>34.049999999999997</v>
      </c>
      <c r="CL57" s="913">
        <v>34.174999999999997</v>
      </c>
      <c r="CM57" s="913">
        <v>34.295000000000002</v>
      </c>
      <c r="CN57" s="913">
        <v>34.42</v>
      </c>
      <c r="CO57" s="913">
        <v>34.545000000000002</v>
      </c>
      <c r="CP57" s="913">
        <v>34.665000000000006</v>
      </c>
      <c r="CQ57" s="913">
        <v>34.784999999999997</v>
      </c>
      <c r="CR57" s="913">
        <v>34.905000000000001</v>
      </c>
      <c r="CS57" s="913">
        <v>35.025000000000006</v>
      </c>
      <c r="CT57" s="913">
        <v>35.145000000000003</v>
      </c>
      <c r="CU57" s="913">
        <v>35.26</v>
      </c>
      <c r="CV57" s="913">
        <v>35.375</v>
      </c>
      <c r="CW57" s="913">
        <v>35.494999999999997</v>
      </c>
      <c r="CX57" s="913">
        <v>35.61</v>
      </c>
      <c r="CY57" s="913">
        <v>35.725000000000001</v>
      </c>
      <c r="CZ57" s="913">
        <v>35.840000000000003</v>
      </c>
      <c r="DA57" s="913">
        <v>35.950000000000003</v>
      </c>
      <c r="DB57" s="913">
        <v>36.064999999999998</v>
      </c>
      <c r="DC57" s="913">
        <v>36.174999999999997</v>
      </c>
      <c r="DD57" s="913">
        <v>36.284999999999997</v>
      </c>
      <c r="DE57" s="913">
        <v>36.400000000000006</v>
      </c>
      <c r="DF57" s="913">
        <v>36.504999999999995</v>
      </c>
      <c r="DG57" s="913">
        <v>36.614999999999995</v>
      </c>
      <c r="DH57" s="913">
        <v>36.72</v>
      </c>
      <c r="DI57" s="913">
        <v>36.83</v>
      </c>
      <c r="DJ57" s="913">
        <v>36.93</v>
      </c>
      <c r="DK57" s="913">
        <v>37.034999999999997</v>
      </c>
      <c r="DL57" s="913">
        <v>37.14</v>
      </c>
      <c r="DM57" s="913">
        <v>37.245000000000005</v>
      </c>
      <c r="DN57" s="913">
        <v>37.349999999999994</v>
      </c>
      <c r="DO57" s="913">
        <v>37.450000000000003</v>
      </c>
      <c r="DP57" s="913">
        <v>37.555</v>
      </c>
      <c r="DQ57" s="913">
        <v>37.65</v>
      </c>
      <c r="DR57" s="913">
        <v>37.75</v>
      </c>
    </row>
    <row r="58" spans="1:122" s="127" customFormat="1" ht="12.75">
      <c r="A58" s="917">
        <v>56</v>
      </c>
      <c r="B58" s="913"/>
      <c r="C58" s="913"/>
      <c r="D58" s="913"/>
      <c r="E58" s="913"/>
      <c r="F58" s="913"/>
      <c r="G58" s="913"/>
      <c r="H58" s="913"/>
      <c r="I58" s="913"/>
      <c r="J58" s="913"/>
      <c r="K58" s="913"/>
      <c r="L58" s="913"/>
      <c r="M58" s="913"/>
      <c r="N58" s="913"/>
      <c r="O58" s="913"/>
      <c r="P58" s="913"/>
      <c r="Q58" s="913"/>
      <c r="R58" s="913"/>
      <c r="S58" s="913"/>
      <c r="T58" s="913"/>
      <c r="U58" s="913"/>
      <c r="V58" s="913"/>
      <c r="W58" s="913">
        <v>23.695</v>
      </c>
      <c r="X58" s="913">
        <v>23.9</v>
      </c>
      <c r="Y58" s="913">
        <v>24.04</v>
      </c>
      <c r="Z58" s="913">
        <v>24.265000000000001</v>
      </c>
      <c r="AA58" s="913">
        <v>24.425000000000001</v>
      </c>
      <c r="AB58" s="913">
        <v>24.61</v>
      </c>
      <c r="AC58" s="913">
        <v>24.725000000000001</v>
      </c>
      <c r="AD58" s="913">
        <v>24.77</v>
      </c>
      <c r="AE58" s="913">
        <v>24.935000000000002</v>
      </c>
      <c r="AF58" s="913">
        <v>25.125</v>
      </c>
      <c r="AG58" s="913">
        <v>25.33</v>
      </c>
      <c r="AH58" s="913">
        <v>25.549999999999997</v>
      </c>
      <c r="AI58" s="913">
        <v>25.754999999999999</v>
      </c>
      <c r="AJ58" s="913">
        <v>26.009999999999998</v>
      </c>
      <c r="AK58" s="913">
        <v>26.265000000000001</v>
      </c>
      <c r="AL58" s="913">
        <v>26.54</v>
      </c>
      <c r="AM58" s="913">
        <v>26.799999999999997</v>
      </c>
      <c r="AN58" s="913">
        <v>26.994999999999997</v>
      </c>
      <c r="AO58" s="913">
        <v>27.14</v>
      </c>
      <c r="AP58" s="913">
        <v>27.274999999999999</v>
      </c>
      <c r="AQ58" s="913">
        <v>27.384999999999998</v>
      </c>
      <c r="AR58" s="913">
        <v>27.5</v>
      </c>
      <c r="AS58" s="913">
        <v>27.55</v>
      </c>
      <c r="AT58" s="913">
        <v>27.594999999999999</v>
      </c>
      <c r="AU58" s="913">
        <v>27.65</v>
      </c>
      <c r="AV58" s="913">
        <v>27.715</v>
      </c>
      <c r="AW58" s="913">
        <v>27.914999999999999</v>
      </c>
      <c r="AX58" s="913">
        <v>27.984999999999999</v>
      </c>
      <c r="AY58" s="913">
        <v>28.105</v>
      </c>
      <c r="AZ58" s="913">
        <v>28.21</v>
      </c>
      <c r="BA58" s="913">
        <v>28.310000000000002</v>
      </c>
      <c r="BB58" s="913">
        <v>28.414999999999999</v>
      </c>
      <c r="BC58" s="913">
        <v>28.535</v>
      </c>
      <c r="BD58" s="913">
        <v>28.66</v>
      </c>
      <c r="BE58" s="913">
        <v>28.795000000000002</v>
      </c>
      <c r="BF58" s="913">
        <v>28.935000000000002</v>
      </c>
      <c r="BG58" s="913">
        <v>29.07</v>
      </c>
      <c r="BH58" s="913">
        <v>29.225000000000001</v>
      </c>
      <c r="BI58" s="913">
        <v>29.355</v>
      </c>
      <c r="BJ58" s="913">
        <v>29.515000000000001</v>
      </c>
      <c r="BK58" s="913">
        <v>29.645</v>
      </c>
      <c r="BL58" s="913">
        <v>29.805</v>
      </c>
      <c r="BM58" s="913">
        <v>29.945</v>
      </c>
      <c r="BN58" s="913">
        <v>30.085000000000001</v>
      </c>
      <c r="BO58" s="913">
        <v>30.225000000000001</v>
      </c>
      <c r="BP58" s="913">
        <v>30.364999999999998</v>
      </c>
      <c r="BQ58" s="913">
        <v>30.505000000000003</v>
      </c>
      <c r="BR58" s="913">
        <v>30.644999999999996</v>
      </c>
      <c r="BS58" s="913">
        <v>30.78</v>
      </c>
      <c r="BT58" s="914">
        <v>30.919999999999998</v>
      </c>
      <c r="BU58" s="913">
        <v>31.055</v>
      </c>
      <c r="BV58" s="913">
        <v>31.189999999999998</v>
      </c>
      <c r="BW58" s="913">
        <v>31.324999999999996</v>
      </c>
      <c r="BX58" s="913">
        <v>31.465</v>
      </c>
      <c r="BY58" s="913">
        <v>31.599999999999998</v>
      </c>
      <c r="BZ58" s="913">
        <v>31.73</v>
      </c>
      <c r="CA58" s="913">
        <v>31.86</v>
      </c>
      <c r="CB58" s="913">
        <v>31.99</v>
      </c>
      <c r="CC58" s="913">
        <v>32.125</v>
      </c>
      <c r="CD58" s="913">
        <v>32.255000000000003</v>
      </c>
      <c r="CE58" s="913">
        <v>32.379999999999995</v>
      </c>
      <c r="CF58" s="913">
        <v>32.51</v>
      </c>
      <c r="CG58" s="913">
        <v>32.635000000000005</v>
      </c>
      <c r="CH58" s="913">
        <v>32.760000000000005</v>
      </c>
      <c r="CI58" s="913">
        <v>32.89</v>
      </c>
      <c r="CJ58" s="913">
        <v>33.015000000000001</v>
      </c>
      <c r="CK58" s="913">
        <v>33.14</v>
      </c>
      <c r="CL58" s="913">
        <v>33.265000000000001</v>
      </c>
      <c r="CM58" s="913">
        <v>33.384999999999998</v>
      </c>
      <c r="CN58" s="913">
        <v>33.51</v>
      </c>
      <c r="CO58" s="913">
        <v>33.629999999999995</v>
      </c>
      <c r="CP58" s="913">
        <v>33.75</v>
      </c>
      <c r="CQ58" s="913">
        <v>33.869999999999997</v>
      </c>
      <c r="CR58" s="913">
        <v>33.989999999999995</v>
      </c>
      <c r="CS58" s="913">
        <v>34.105000000000004</v>
      </c>
      <c r="CT58" s="913">
        <v>34.224999999999994</v>
      </c>
      <c r="CU58" s="913">
        <v>34.340000000000003</v>
      </c>
      <c r="CV58" s="913">
        <v>34.454999999999998</v>
      </c>
      <c r="CW58" s="913">
        <v>34.57</v>
      </c>
      <c r="CX58" s="913">
        <v>34.685000000000002</v>
      </c>
      <c r="CY58" s="913">
        <v>34.799999999999997</v>
      </c>
      <c r="CZ58" s="913">
        <v>34.914999999999999</v>
      </c>
      <c r="DA58" s="913">
        <v>35.024999999999999</v>
      </c>
      <c r="DB58" s="913">
        <v>35.130000000000003</v>
      </c>
      <c r="DC58" s="913">
        <v>35.244999999999997</v>
      </c>
      <c r="DD58" s="913">
        <v>35.355000000000004</v>
      </c>
      <c r="DE58" s="913">
        <v>35.465000000000003</v>
      </c>
      <c r="DF58" s="913">
        <v>35.57</v>
      </c>
      <c r="DG58" s="913">
        <v>35.68</v>
      </c>
      <c r="DH58" s="913">
        <v>35.784999999999997</v>
      </c>
      <c r="DI58" s="913">
        <v>35.89</v>
      </c>
      <c r="DJ58" s="913">
        <v>35.994999999999997</v>
      </c>
      <c r="DK58" s="913">
        <v>36.1</v>
      </c>
      <c r="DL58" s="913">
        <v>36.200000000000003</v>
      </c>
      <c r="DM58" s="913">
        <v>36.305</v>
      </c>
      <c r="DN58" s="913">
        <v>36.405000000000001</v>
      </c>
      <c r="DO58" s="913">
        <v>36.504999999999995</v>
      </c>
      <c r="DP58" s="913">
        <v>36.61</v>
      </c>
      <c r="DQ58" s="913">
        <v>36.704999999999998</v>
      </c>
      <c r="DR58" s="913">
        <v>36.805</v>
      </c>
    </row>
    <row r="59" spans="1:122" s="127" customFormat="1" ht="12.75">
      <c r="A59" s="917">
        <v>57</v>
      </c>
      <c r="B59" s="913"/>
      <c r="C59" s="913"/>
      <c r="D59" s="913"/>
      <c r="E59" s="913"/>
      <c r="F59" s="913"/>
      <c r="G59" s="913"/>
      <c r="H59" s="913"/>
      <c r="I59" s="913"/>
      <c r="J59" s="913"/>
      <c r="K59" s="913"/>
      <c r="L59" s="913"/>
      <c r="M59" s="913"/>
      <c r="N59" s="913"/>
      <c r="O59" s="913"/>
      <c r="P59" s="913"/>
      <c r="Q59" s="913"/>
      <c r="R59" s="913"/>
      <c r="S59" s="913"/>
      <c r="T59" s="913"/>
      <c r="U59" s="913"/>
      <c r="V59" s="913"/>
      <c r="W59" s="913">
        <v>22.91</v>
      </c>
      <c r="X59" s="913">
        <v>23.115000000000002</v>
      </c>
      <c r="Y59" s="913">
        <v>23.259999999999998</v>
      </c>
      <c r="Z59" s="913">
        <v>23.48</v>
      </c>
      <c r="AA59" s="913">
        <v>23.64</v>
      </c>
      <c r="AB59" s="913">
        <v>23.824999999999999</v>
      </c>
      <c r="AC59" s="913">
        <v>23.935000000000002</v>
      </c>
      <c r="AD59" s="913">
        <v>23.98</v>
      </c>
      <c r="AE59" s="913">
        <v>24.145</v>
      </c>
      <c r="AF59" s="913">
        <v>24.335000000000001</v>
      </c>
      <c r="AG59" s="913">
        <v>24.535</v>
      </c>
      <c r="AH59" s="913">
        <v>24.755000000000003</v>
      </c>
      <c r="AI59" s="913">
        <v>24.965</v>
      </c>
      <c r="AJ59" s="913">
        <v>25.215</v>
      </c>
      <c r="AK59" s="913">
        <v>25.454999999999998</v>
      </c>
      <c r="AL59" s="913">
        <v>25.729999999999997</v>
      </c>
      <c r="AM59" s="913">
        <v>25.984999999999999</v>
      </c>
      <c r="AN59" s="913">
        <v>26.175000000000001</v>
      </c>
      <c r="AO59" s="913">
        <v>26.325000000000003</v>
      </c>
      <c r="AP59" s="913">
        <v>26.45</v>
      </c>
      <c r="AQ59" s="913">
        <v>26.560000000000002</v>
      </c>
      <c r="AR59" s="913">
        <v>26.664999999999999</v>
      </c>
      <c r="AS59" s="913">
        <v>26.72</v>
      </c>
      <c r="AT59" s="913">
        <v>26.755000000000003</v>
      </c>
      <c r="AU59" s="913">
        <v>26.814999999999998</v>
      </c>
      <c r="AV59" s="913">
        <v>26.88</v>
      </c>
      <c r="AW59" s="913">
        <v>27.07</v>
      </c>
      <c r="AX59" s="913">
        <v>27.145</v>
      </c>
      <c r="AY59" s="913">
        <v>27.259999999999998</v>
      </c>
      <c r="AZ59" s="913">
        <v>27.37</v>
      </c>
      <c r="BA59" s="913">
        <v>27.47</v>
      </c>
      <c r="BB59" s="913">
        <v>27.57</v>
      </c>
      <c r="BC59" s="913">
        <v>27.685000000000002</v>
      </c>
      <c r="BD59" s="913">
        <v>27.814999999999998</v>
      </c>
      <c r="BE59" s="913">
        <v>27.945</v>
      </c>
      <c r="BF59" s="913">
        <v>28.09</v>
      </c>
      <c r="BG59" s="913">
        <v>28.22</v>
      </c>
      <c r="BH59" s="913">
        <v>28.369999999999997</v>
      </c>
      <c r="BI59" s="913">
        <v>28.51</v>
      </c>
      <c r="BJ59" s="913">
        <v>28.66</v>
      </c>
      <c r="BK59" s="913">
        <v>28.795000000000002</v>
      </c>
      <c r="BL59" s="913">
        <v>28.939999999999998</v>
      </c>
      <c r="BM59" s="913">
        <v>29.08</v>
      </c>
      <c r="BN59" s="913">
        <v>29.22</v>
      </c>
      <c r="BO59" s="913">
        <v>29.36</v>
      </c>
      <c r="BP59" s="913">
        <v>29.5</v>
      </c>
      <c r="BQ59" s="913">
        <v>29.634999999999998</v>
      </c>
      <c r="BR59" s="913">
        <v>29.774999999999999</v>
      </c>
      <c r="BS59" s="913">
        <v>29.91</v>
      </c>
      <c r="BT59" s="914">
        <v>30.045000000000002</v>
      </c>
      <c r="BU59" s="913">
        <v>30.18</v>
      </c>
      <c r="BV59" s="913">
        <v>30.314999999999998</v>
      </c>
      <c r="BW59" s="913">
        <v>30.45</v>
      </c>
      <c r="BX59" s="913">
        <v>30.580000000000002</v>
      </c>
      <c r="BY59" s="913">
        <v>30.71</v>
      </c>
      <c r="BZ59" s="913">
        <v>30.84</v>
      </c>
      <c r="CA59" s="913">
        <v>30.974999999999998</v>
      </c>
      <c r="CB59" s="913">
        <v>31.105</v>
      </c>
      <c r="CC59" s="913">
        <v>31.23</v>
      </c>
      <c r="CD59" s="913">
        <v>31.36</v>
      </c>
      <c r="CE59" s="913">
        <v>31.484999999999999</v>
      </c>
      <c r="CF59" s="913">
        <v>31.615000000000002</v>
      </c>
      <c r="CG59" s="913">
        <v>31.740000000000002</v>
      </c>
      <c r="CH59" s="913">
        <v>31.865000000000002</v>
      </c>
      <c r="CI59" s="913">
        <v>31.990000000000002</v>
      </c>
      <c r="CJ59" s="913">
        <v>32.11</v>
      </c>
      <c r="CK59" s="913">
        <v>32.234999999999999</v>
      </c>
      <c r="CL59" s="913">
        <v>32.354999999999997</v>
      </c>
      <c r="CM59" s="913">
        <v>32.479999999999997</v>
      </c>
      <c r="CN59" s="913">
        <v>32.6</v>
      </c>
      <c r="CO59" s="913">
        <v>32.724999999999994</v>
      </c>
      <c r="CP59" s="913">
        <v>32.840000000000003</v>
      </c>
      <c r="CQ59" s="913">
        <v>32.96</v>
      </c>
      <c r="CR59" s="913">
        <v>33.075000000000003</v>
      </c>
      <c r="CS59" s="913">
        <v>33.195</v>
      </c>
      <c r="CT59" s="913">
        <v>33.31</v>
      </c>
      <c r="CU59" s="913">
        <v>33.42</v>
      </c>
      <c r="CV59" s="913">
        <v>33.534999999999997</v>
      </c>
      <c r="CW59" s="913">
        <v>33.655000000000001</v>
      </c>
      <c r="CX59" s="913">
        <v>33.765000000000001</v>
      </c>
      <c r="CY59" s="913">
        <v>33.879999999999995</v>
      </c>
      <c r="CZ59" s="913">
        <v>33.984999999999999</v>
      </c>
      <c r="DA59" s="913">
        <v>34.094999999999999</v>
      </c>
      <c r="DB59" s="913">
        <v>34.209999999999994</v>
      </c>
      <c r="DC59" s="913">
        <v>34.32</v>
      </c>
      <c r="DD59" s="913">
        <v>34.424999999999997</v>
      </c>
      <c r="DE59" s="913">
        <v>34.534999999999997</v>
      </c>
      <c r="DF59" s="913">
        <v>34.64</v>
      </c>
      <c r="DG59" s="913">
        <v>34.75</v>
      </c>
      <c r="DH59" s="913">
        <v>34.849999999999994</v>
      </c>
      <c r="DI59" s="913">
        <v>34.954999999999998</v>
      </c>
      <c r="DJ59" s="913">
        <v>35.06</v>
      </c>
      <c r="DK59" s="913">
        <v>35.164999999999999</v>
      </c>
      <c r="DL59" s="913">
        <v>35.265000000000001</v>
      </c>
      <c r="DM59" s="913">
        <v>35.370000000000005</v>
      </c>
      <c r="DN59" s="913">
        <v>35.47</v>
      </c>
      <c r="DO59" s="913">
        <v>35.564999999999998</v>
      </c>
      <c r="DP59" s="913">
        <v>35.664999999999999</v>
      </c>
      <c r="DQ59" s="913">
        <v>35.765000000000001</v>
      </c>
      <c r="DR59" s="913">
        <v>35.86</v>
      </c>
    </row>
    <row r="60" spans="1:122" s="127" customFormat="1" ht="12.75">
      <c r="A60" s="917">
        <v>58</v>
      </c>
      <c r="B60" s="913"/>
      <c r="C60" s="913"/>
      <c r="D60" s="913"/>
      <c r="E60" s="913"/>
      <c r="F60" s="913"/>
      <c r="G60" s="913"/>
      <c r="H60" s="913"/>
      <c r="I60" s="913"/>
      <c r="J60" s="913"/>
      <c r="K60" s="913"/>
      <c r="L60" s="913"/>
      <c r="M60" s="913"/>
      <c r="N60" s="913"/>
      <c r="O60" s="913"/>
      <c r="P60" s="913"/>
      <c r="Q60" s="913"/>
      <c r="R60" s="913"/>
      <c r="S60" s="913"/>
      <c r="T60" s="913"/>
      <c r="U60" s="913"/>
      <c r="V60" s="913"/>
      <c r="W60" s="913">
        <v>22.134999999999998</v>
      </c>
      <c r="X60" s="913">
        <v>22.34</v>
      </c>
      <c r="Y60" s="913">
        <v>22.484999999999999</v>
      </c>
      <c r="Z60" s="913">
        <v>22.7</v>
      </c>
      <c r="AA60" s="913">
        <v>22.86</v>
      </c>
      <c r="AB60" s="913">
        <v>23.035</v>
      </c>
      <c r="AC60" s="913">
        <v>23.15</v>
      </c>
      <c r="AD60" s="913">
        <v>23.195</v>
      </c>
      <c r="AE60" s="913">
        <v>23.365000000000002</v>
      </c>
      <c r="AF60" s="913">
        <v>23.549999999999997</v>
      </c>
      <c r="AG60" s="913">
        <v>23.745000000000001</v>
      </c>
      <c r="AH60" s="913">
        <v>23.965</v>
      </c>
      <c r="AI60" s="913">
        <v>24.174999999999997</v>
      </c>
      <c r="AJ60" s="913">
        <v>24.42</v>
      </c>
      <c r="AK60" s="913">
        <v>24.66</v>
      </c>
      <c r="AL60" s="913">
        <v>24.935000000000002</v>
      </c>
      <c r="AM60" s="913">
        <v>25.185000000000002</v>
      </c>
      <c r="AN60" s="913">
        <v>25.369999999999997</v>
      </c>
      <c r="AO60" s="913">
        <v>25.509999999999998</v>
      </c>
      <c r="AP60" s="913">
        <v>25.634999999999998</v>
      </c>
      <c r="AQ60" s="913">
        <v>25.734999999999999</v>
      </c>
      <c r="AR60" s="913">
        <v>25.84</v>
      </c>
      <c r="AS60" s="913">
        <v>25.895</v>
      </c>
      <c r="AT60" s="913">
        <v>25.93</v>
      </c>
      <c r="AU60" s="913">
        <v>25.990000000000002</v>
      </c>
      <c r="AV60" s="913">
        <v>26.05</v>
      </c>
      <c r="AW60" s="913">
        <v>26.234999999999999</v>
      </c>
      <c r="AX60" s="913">
        <v>26.305</v>
      </c>
      <c r="AY60" s="913">
        <v>26.414999999999999</v>
      </c>
      <c r="AZ60" s="913">
        <v>26.53</v>
      </c>
      <c r="BA60" s="913">
        <v>26.625</v>
      </c>
      <c r="BB60" s="913">
        <v>26.73</v>
      </c>
      <c r="BC60" s="913">
        <v>26.85</v>
      </c>
      <c r="BD60" s="913">
        <v>26.975000000000001</v>
      </c>
      <c r="BE60" s="913">
        <v>27.11</v>
      </c>
      <c r="BF60" s="913">
        <v>27.25</v>
      </c>
      <c r="BG60" s="913">
        <v>27.384999999999998</v>
      </c>
      <c r="BH60" s="913">
        <v>27.524999999999999</v>
      </c>
      <c r="BI60" s="913">
        <v>27.664999999999999</v>
      </c>
      <c r="BJ60" s="913">
        <v>27.815000000000001</v>
      </c>
      <c r="BK60" s="913">
        <v>27.945</v>
      </c>
      <c r="BL60" s="913">
        <v>28.090000000000003</v>
      </c>
      <c r="BM60" s="913">
        <v>28.23</v>
      </c>
      <c r="BN60" s="913">
        <v>28.365000000000002</v>
      </c>
      <c r="BO60" s="913">
        <v>28.5</v>
      </c>
      <c r="BP60" s="913">
        <v>28.64</v>
      </c>
      <c r="BQ60" s="913">
        <v>28.774999999999999</v>
      </c>
      <c r="BR60" s="913">
        <v>28.91</v>
      </c>
      <c r="BS60" s="913">
        <v>29.04</v>
      </c>
      <c r="BT60" s="914">
        <v>29.174999999999997</v>
      </c>
      <c r="BU60" s="913">
        <v>29.315000000000001</v>
      </c>
      <c r="BV60" s="913">
        <v>29.439999999999998</v>
      </c>
      <c r="BW60" s="913">
        <v>29.57</v>
      </c>
      <c r="BX60" s="913">
        <v>29.704999999999998</v>
      </c>
      <c r="BY60" s="913">
        <v>29.835000000000001</v>
      </c>
      <c r="BZ60" s="913">
        <v>29.965</v>
      </c>
      <c r="CA60" s="913">
        <v>30.09</v>
      </c>
      <c r="CB60" s="913">
        <v>30.225000000000001</v>
      </c>
      <c r="CC60" s="913">
        <v>30.349999999999998</v>
      </c>
      <c r="CD60" s="913">
        <v>30.47</v>
      </c>
      <c r="CE60" s="913">
        <v>30.6</v>
      </c>
      <c r="CF60" s="913">
        <v>30.725000000000001</v>
      </c>
      <c r="CG60" s="913">
        <v>30.85</v>
      </c>
      <c r="CH60" s="913">
        <v>30.97</v>
      </c>
      <c r="CI60" s="913">
        <v>31.094999999999999</v>
      </c>
      <c r="CJ60" s="913">
        <v>31.215</v>
      </c>
      <c r="CK60" s="913">
        <v>31.339999999999996</v>
      </c>
      <c r="CL60" s="913">
        <v>31.46</v>
      </c>
      <c r="CM60" s="913">
        <v>31.58</v>
      </c>
      <c r="CN60" s="913">
        <v>31.7</v>
      </c>
      <c r="CO60" s="913">
        <v>31.82</v>
      </c>
      <c r="CP60" s="913">
        <v>31.934999999999999</v>
      </c>
      <c r="CQ60" s="913">
        <v>32.055</v>
      </c>
      <c r="CR60" s="913">
        <v>32.164999999999999</v>
      </c>
      <c r="CS60" s="913">
        <v>32.284999999999997</v>
      </c>
      <c r="CT60" s="913">
        <v>32.4</v>
      </c>
      <c r="CU60" s="913">
        <v>32.515000000000001</v>
      </c>
      <c r="CV60" s="913">
        <v>32.625</v>
      </c>
      <c r="CW60" s="913">
        <v>32.739999999999995</v>
      </c>
      <c r="CX60" s="913">
        <v>32.85</v>
      </c>
      <c r="CY60" s="913">
        <v>32.96</v>
      </c>
      <c r="CZ60" s="913">
        <v>33.07</v>
      </c>
      <c r="DA60" s="913">
        <v>33.18</v>
      </c>
      <c r="DB60" s="913">
        <v>33.29</v>
      </c>
      <c r="DC60" s="913">
        <v>33.400000000000006</v>
      </c>
      <c r="DD60" s="913">
        <v>33.504999999999995</v>
      </c>
      <c r="DE60" s="913">
        <v>33.61</v>
      </c>
      <c r="DF60" s="913">
        <v>33.715000000000003</v>
      </c>
      <c r="DG60" s="913">
        <v>33.82</v>
      </c>
      <c r="DH60" s="913">
        <v>33.92</v>
      </c>
      <c r="DI60" s="913">
        <v>34.03</v>
      </c>
      <c r="DJ60" s="913">
        <v>34.129999999999995</v>
      </c>
      <c r="DK60" s="913">
        <v>34.234999999999999</v>
      </c>
      <c r="DL60" s="913">
        <v>34.335000000000001</v>
      </c>
      <c r="DM60" s="913">
        <v>34.435000000000002</v>
      </c>
      <c r="DN60" s="913">
        <v>34.53</v>
      </c>
      <c r="DO60" s="913">
        <v>34.629999999999995</v>
      </c>
      <c r="DP60" s="913">
        <v>34.730000000000004</v>
      </c>
      <c r="DQ60" s="913">
        <v>34.825000000000003</v>
      </c>
      <c r="DR60" s="913">
        <v>34.924999999999997</v>
      </c>
    </row>
    <row r="61" spans="1:122" s="127" customFormat="1" ht="12.75">
      <c r="A61" s="917">
        <v>59</v>
      </c>
      <c r="B61" s="913"/>
      <c r="C61" s="913"/>
      <c r="D61" s="913"/>
      <c r="E61" s="913"/>
      <c r="F61" s="913"/>
      <c r="G61" s="913"/>
      <c r="H61" s="913"/>
      <c r="I61" s="913"/>
      <c r="J61" s="913"/>
      <c r="K61" s="913"/>
      <c r="L61" s="913"/>
      <c r="M61" s="913"/>
      <c r="N61" s="913"/>
      <c r="O61" s="913"/>
      <c r="P61" s="913"/>
      <c r="Q61" s="913"/>
      <c r="R61" s="913"/>
      <c r="S61" s="913"/>
      <c r="T61" s="913"/>
      <c r="U61" s="913"/>
      <c r="V61" s="913"/>
      <c r="W61" s="913">
        <v>21.375</v>
      </c>
      <c r="X61" s="913">
        <v>21.574999999999999</v>
      </c>
      <c r="Y61" s="913">
        <v>21.725000000000001</v>
      </c>
      <c r="Z61" s="913">
        <v>21.93</v>
      </c>
      <c r="AA61" s="913">
        <v>22.09</v>
      </c>
      <c r="AB61" s="913">
        <v>22.27</v>
      </c>
      <c r="AC61" s="913">
        <v>22.375</v>
      </c>
      <c r="AD61" s="913">
        <v>22.425000000000001</v>
      </c>
      <c r="AE61" s="913">
        <v>22.585000000000001</v>
      </c>
      <c r="AF61" s="913">
        <v>22.77</v>
      </c>
      <c r="AG61" s="913">
        <v>22.97</v>
      </c>
      <c r="AH61" s="913">
        <v>23.189999999999998</v>
      </c>
      <c r="AI61" s="913">
        <v>23.4</v>
      </c>
      <c r="AJ61" s="913">
        <v>23.64</v>
      </c>
      <c r="AK61" s="913">
        <v>23.875</v>
      </c>
      <c r="AL61" s="913">
        <v>24.14</v>
      </c>
      <c r="AM61" s="913">
        <v>24.384999999999998</v>
      </c>
      <c r="AN61" s="913">
        <v>24.56</v>
      </c>
      <c r="AO61" s="913">
        <v>24.7</v>
      </c>
      <c r="AP61" s="913">
        <v>24.82</v>
      </c>
      <c r="AQ61" s="913">
        <v>24.914999999999999</v>
      </c>
      <c r="AR61" s="913">
        <v>25.02</v>
      </c>
      <c r="AS61" s="913">
        <v>25.074999999999999</v>
      </c>
      <c r="AT61" s="913">
        <v>25.115000000000002</v>
      </c>
      <c r="AU61" s="913">
        <v>25.17</v>
      </c>
      <c r="AV61" s="913">
        <v>25.229999999999997</v>
      </c>
      <c r="AW61" s="913">
        <v>25.41</v>
      </c>
      <c r="AX61" s="913">
        <v>25.48</v>
      </c>
      <c r="AY61" s="913">
        <v>25.585000000000001</v>
      </c>
      <c r="AZ61" s="913">
        <v>25.700000000000003</v>
      </c>
      <c r="BA61" s="913">
        <v>25.795000000000002</v>
      </c>
      <c r="BB61" s="913">
        <v>25.91</v>
      </c>
      <c r="BC61" s="913">
        <v>26.024999999999999</v>
      </c>
      <c r="BD61" s="913">
        <v>26.145000000000003</v>
      </c>
      <c r="BE61" s="913">
        <v>26.274999999999999</v>
      </c>
      <c r="BF61" s="913">
        <v>26.414999999999999</v>
      </c>
      <c r="BG61" s="913">
        <v>26.555</v>
      </c>
      <c r="BH61" s="913">
        <v>26.695</v>
      </c>
      <c r="BI61" s="913">
        <v>26.835000000000001</v>
      </c>
      <c r="BJ61" s="913">
        <v>26.97</v>
      </c>
      <c r="BK61" s="913">
        <v>27.11</v>
      </c>
      <c r="BL61" s="913">
        <v>27.244999999999997</v>
      </c>
      <c r="BM61" s="913">
        <v>27.380000000000003</v>
      </c>
      <c r="BN61" s="913">
        <v>27.52</v>
      </c>
      <c r="BO61" s="913">
        <v>27.65</v>
      </c>
      <c r="BP61" s="913">
        <v>27.785</v>
      </c>
      <c r="BQ61" s="913">
        <v>27.92</v>
      </c>
      <c r="BR61" s="913">
        <v>28.049999999999997</v>
      </c>
      <c r="BS61" s="913">
        <v>28.185000000000002</v>
      </c>
      <c r="BT61" s="914">
        <v>28.315000000000001</v>
      </c>
      <c r="BU61" s="913">
        <v>28.45</v>
      </c>
      <c r="BV61" s="913">
        <v>28.58</v>
      </c>
      <c r="BW61" s="913">
        <v>28.71</v>
      </c>
      <c r="BX61" s="913">
        <v>28.835000000000001</v>
      </c>
      <c r="BY61" s="913">
        <v>28.965</v>
      </c>
      <c r="BZ61" s="913">
        <v>29.09</v>
      </c>
      <c r="CA61" s="913">
        <v>29.22</v>
      </c>
      <c r="CB61" s="913">
        <v>29.344999999999999</v>
      </c>
      <c r="CC61" s="913">
        <v>29.47</v>
      </c>
      <c r="CD61" s="913">
        <v>29.594999999999999</v>
      </c>
      <c r="CE61" s="913">
        <v>29.72</v>
      </c>
      <c r="CF61" s="913">
        <v>29.844999999999999</v>
      </c>
      <c r="CG61" s="913">
        <v>29.965</v>
      </c>
      <c r="CH61" s="913">
        <v>30.09</v>
      </c>
      <c r="CI61" s="913">
        <v>30.21</v>
      </c>
      <c r="CJ61" s="913">
        <v>30.33</v>
      </c>
      <c r="CK61" s="913">
        <v>30.445</v>
      </c>
      <c r="CL61" s="913">
        <v>30.57</v>
      </c>
      <c r="CM61" s="913">
        <v>30.69</v>
      </c>
      <c r="CN61" s="913">
        <v>30.805</v>
      </c>
      <c r="CO61" s="913">
        <v>30.92</v>
      </c>
      <c r="CP61" s="913">
        <v>31.034999999999997</v>
      </c>
      <c r="CQ61" s="913">
        <v>31.15</v>
      </c>
      <c r="CR61" s="913">
        <v>31.27</v>
      </c>
      <c r="CS61" s="913">
        <v>31.38</v>
      </c>
      <c r="CT61" s="913">
        <v>31.495000000000001</v>
      </c>
      <c r="CU61" s="913">
        <v>31.605</v>
      </c>
      <c r="CV61" s="913">
        <v>31.72</v>
      </c>
      <c r="CW61" s="913">
        <v>31.83</v>
      </c>
      <c r="CX61" s="913">
        <v>31.939999999999998</v>
      </c>
      <c r="CY61" s="913">
        <v>32.045000000000002</v>
      </c>
      <c r="CZ61" s="913">
        <v>32.155000000000001</v>
      </c>
      <c r="DA61" s="913">
        <v>32.265000000000001</v>
      </c>
      <c r="DB61" s="913">
        <v>32.370000000000005</v>
      </c>
      <c r="DC61" s="913">
        <v>32.480000000000004</v>
      </c>
      <c r="DD61" s="913">
        <v>32.585000000000001</v>
      </c>
      <c r="DE61" s="913">
        <v>32.69</v>
      </c>
      <c r="DF61" s="913">
        <v>32.795000000000002</v>
      </c>
      <c r="DG61" s="913">
        <v>32.894999999999996</v>
      </c>
      <c r="DH61" s="913">
        <v>33</v>
      </c>
      <c r="DI61" s="913">
        <v>33.1</v>
      </c>
      <c r="DJ61" s="913">
        <v>33.204999999999998</v>
      </c>
      <c r="DK61" s="913">
        <v>33.305</v>
      </c>
      <c r="DL61" s="913">
        <v>33.405000000000001</v>
      </c>
      <c r="DM61" s="913">
        <v>33.504999999999995</v>
      </c>
      <c r="DN61" s="913">
        <v>33.605000000000004</v>
      </c>
      <c r="DO61" s="913">
        <v>33.700000000000003</v>
      </c>
      <c r="DP61" s="913">
        <v>33.799999999999997</v>
      </c>
      <c r="DQ61" s="913">
        <v>33.89</v>
      </c>
      <c r="DR61" s="913">
        <v>33.989999999999995</v>
      </c>
    </row>
    <row r="62" spans="1:122" s="127" customFormat="1" ht="12.75">
      <c r="A62" s="917">
        <v>60</v>
      </c>
      <c r="B62" s="913"/>
      <c r="C62" s="913"/>
      <c r="D62" s="913"/>
      <c r="E62" s="913"/>
      <c r="F62" s="913"/>
      <c r="G62" s="913"/>
      <c r="H62" s="913"/>
      <c r="I62" s="913"/>
      <c r="J62" s="913"/>
      <c r="K62" s="913"/>
      <c r="L62" s="913"/>
      <c r="M62" s="913"/>
      <c r="N62" s="913"/>
      <c r="O62" s="913"/>
      <c r="P62" s="913"/>
      <c r="Q62" s="913"/>
      <c r="R62" s="913"/>
      <c r="S62" s="913"/>
      <c r="T62" s="913"/>
      <c r="U62" s="913"/>
      <c r="V62" s="913"/>
      <c r="W62" s="913">
        <v>20.625</v>
      </c>
      <c r="X62" s="913">
        <v>20.825000000000003</v>
      </c>
      <c r="Y62" s="913">
        <v>20.97</v>
      </c>
      <c r="Z62" s="913">
        <v>21.164999999999999</v>
      </c>
      <c r="AA62" s="913">
        <v>21.324999999999999</v>
      </c>
      <c r="AB62" s="913">
        <v>21.505000000000003</v>
      </c>
      <c r="AC62" s="913">
        <v>21.61</v>
      </c>
      <c r="AD62" s="913">
        <v>21.66</v>
      </c>
      <c r="AE62" s="913">
        <v>21.82</v>
      </c>
      <c r="AF62" s="913">
        <v>22.009999999999998</v>
      </c>
      <c r="AG62" s="913">
        <v>22.204999999999998</v>
      </c>
      <c r="AH62" s="913">
        <v>22.42</v>
      </c>
      <c r="AI62" s="913">
        <v>22.63</v>
      </c>
      <c r="AJ62" s="913">
        <v>22.86</v>
      </c>
      <c r="AK62" s="913">
        <v>23.1</v>
      </c>
      <c r="AL62" s="913">
        <v>23.36</v>
      </c>
      <c r="AM62" s="913">
        <v>23.59</v>
      </c>
      <c r="AN62" s="913">
        <v>23.759999999999998</v>
      </c>
      <c r="AO62" s="913">
        <v>23.895</v>
      </c>
      <c r="AP62" s="913">
        <v>24.005000000000003</v>
      </c>
      <c r="AQ62" s="913">
        <v>24.105</v>
      </c>
      <c r="AR62" s="913">
        <v>24.21</v>
      </c>
      <c r="AS62" s="913">
        <v>24.26</v>
      </c>
      <c r="AT62" s="913">
        <v>24.299999999999997</v>
      </c>
      <c r="AU62" s="913">
        <v>24.355</v>
      </c>
      <c r="AV62" s="913">
        <v>24.414999999999999</v>
      </c>
      <c r="AW62" s="913">
        <v>24.585000000000001</v>
      </c>
      <c r="AX62" s="913">
        <v>24.655000000000001</v>
      </c>
      <c r="AY62" s="913">
        <v>24.765000000000001</v>
      </c>
      <c r="AZ62" s="913">
        <v>24.869999999999997</v>
      </c>
      <c r="BA62" s="913">
        <v>24.97</v>
      </c>
      <c r="BB62" s="913">
        <v>25.085000000000001</v>
      </c>
      <c r="BC62" s="913">
        <v>25.204999999999998</v>
      </c>
      <c r="BD62" s="913">
        <v>25.325000000000003</v>
      </c>
      <c r="BE62" s="913">
        <v>25.46</v>
      </c>
      <c r="BF62" s="913">
        <v>25.59</v>
      </c>
      <c r="BG62" s="913">
        <v>25.729999999999997</v>
      </c>
      <c r="BH62" s="913">
        <v>25.87</v>
      </c>
      <c r="BI62" s="913">
        <v>26.005000000000003</v>
      </c>
      <c r="BJ62" s="913">
        <v>26.14</v>
      </c>
      <c r="BK62" s="913">
        <v>26.274999999999999</v>
      </c>
      <c r="BL62" s="913">
        <v>26.41</v>
      </c>
      <c r="BM62" s="913">
        <v>26.545000000000002</v>
      </c>
      <c r="BN62" s="913">
        <v>26.68</v>
      </c>
      <c r="BO62" s="913">
        <v>26.810000000000002</v>
      </c>
      <c r="BP62" s="913">
        <v>26.945</v>
      </c>
      <c r="BQ62" s="913">
        <v>27.074999999999999</v>
      </c>
      <c r="BR62" s="913">
        <v>27.204999999999998</v>
      </c>
      <c r="BS62" s="913">
        <v>27.335000000000001</v>
      </c>
      <c r="BT62" s="914">
        <v>27.465</v>
      </c>
      <c r="BU62" s="913">
        <v>27.594999999999999</v>
      </c>
      <c r="BV62" s="913">
        <v>27.725000000000001</v>
      </c>
      <c r="BW62" s="913">
        <v>27.85</v>
      </c>
      <c r="BX62" s="913">
        <v>27.975000000000001</v>
      </c>
      <c r="BY62" s="913">
        <v>28.1</v>
      </c>
      <c r="BZ62" s="913">
        <v>28.23</v>
      </c>
      <c r="CA62" s="913">
        <v>28.355</v>
      </c>
      <c r="CB62" s="913">
        <v>28.475000000000001</v>
      </c>
      <c r="CC62" s="913">
        <v>28.6</v>
      </c>
      <c r="CD62" s="913">
        <v>28.72</v>
      </c>
      <c r="CE62" s="913">
        <v>28.844999999999999</v>
      </c>
      <c r="CF62" s="913">
        <v>28.965</v>
      </c>
      <c r="CG62" s="913">
        <v>29.085000000000001</v>
      </c>
      <c r="CH62" s="913">
        <v>29.21</v>
      </c>
      <c r="CI62" s="913">
        <v>29.33</v>
      </c>
      <c r="CJ62" s="913">
        <v>29.445</v>
      </c>
      <c r="CK62" s="913">
        <v>29.564999999999998</v>
      </c>
      <c r="CL62" s="913">
        <v>29.684999999999999</v>
      </c>
      <c r="CM62" s="913">
        <v>29.8</v>
      </c>
      <c r="CN62" s="913">
        <v>29.91</v>
      </c>
      <c r="CO62" s="913">
        <v>30.03</v>
      </c>
      <c r="CP62" s="913">
        <v>30.145</v>
      </c>
      <c r="CQ62" s="913">
        <v>30.255000000000003</v>
      </c>
      <c r="CR62" s="913">
        <v>30.369999999999997</v>
      </c>
      <c r="CS62" s="913">
        <v>30.48</v>
      </c>
      <c r="CT62" s="913">
        <v>30.59</v>
      </c>
      <c r="CU62" s="913">
        <v>30.705000000000002</v>
      </c>
      <c r="CV62" s="913">
        <v>30.814999999999998</v>
      </c>
      <c r="CW62" s="913">
        <v>30.924999999999997</v>
      </c>
      <c r="CX62" s="913">
        <v>31.035</v>
      </c>
      <c r="CY62" s="913">
        <v>31.14</v>
      </c>
      <c r="CZ62" s="913">
        <v>31.25</v>
      </c>
      <c r="DA62" s="913">
        <v>31.355</v>
      </c>
      <c r="DB62" s="913">
        <v>31.46</v>
      </c>
      <c r="DC62" s="913">
        <v>31.564999999999998</v>
      </c>
      <c r="DD62" s="913">
        <v>31.675000000000001</v>
      </c>
      <c r="DE62" s="913">
        <v>31.775000000000002</v>
      </c>
      <c r="DF62" s="913">
        <v>31.875</v>
      </c>
      <c r="DG62" s="913">
        <v>31.980000000000004</v>
      </c>
      <c r="DH62" s="913">
        <v>32.08</v>
      </c>
      <c r="DI62" s="913">
        <v>32.18</v>
      </c>
      <c r="DJ62" s="913">
        <v>32.28</v>
      </c>
      <c r="DK62" s="913">
        <v>32.380000000000003</v>
      </c>
      <c r="DL62" s="913">
        <v>32.479999999999997</v>
      </c>
      <c r="DM62" s="913">
        <v>32.575000000000003</v>
      </c>
      <c r="DN62" s="913">
        <v>32.674999999999997</v>
      </c>
      <c r="DO62" s="913">
        <v>32.774999999999999</v>
      </c>
      <c r="DP62" s="913">
        <v>32.870000000000005</v>
      </c>
      <c r="DQ62" s="913">
        <v>32.965000000000003</v>
      </c>
      <c r="DR62" s="913">
        <v>33.06</v>
      </c>
    </row>
    <row r="63" spans="1:122" s="127" customFormat="1" ht="12.75">
      <c r="A63" s="917">
        <v>61</v>
      </c>
      <c r="B63" s="913"/>
      <c r="C63" s="913"/>
      <c r="D63" s="913"/>
      <c r="E63" s="913"/>
      <c r="F63" s="913"/>
      <c r="G63" s="913"/>
      <c r="H63" s="913"/>
      <c r="I63" s="913"/>
      <c r="J63" s="913"/>
      <c r="K63" s="913"/>
      <c r="L63" s="913"/>
      <c r="M63" s="913"/>
      <c r="N63" s="913"/>
      <c r="O63" s="913"/>
      <c r="P63" s="913"/>
      <c r="Q63" s="913"/>
      <c r="R63" s="913"/>
      <c r="S63" s="913"/>
      <c r="T63" s="913"/>
      <c r="U63" s="913"/>
      <c r="V63" s="913"/>
      <c r="W63" s="913">
        <v>19.880000000000003</v>
      </c>
      <c r="X63" s="913">
        <v>20.079999999999998</v>
      </c>
      <c r="Y63" s="913">
        <v>20.225000000000001</v>
      </c>
      <c r="Z63" s="913">
        <v>20.414999999999999</v>
      </c>
      <c r="AA63" s="913">
        <v>20.574999999999999</v>
      </c>
      <c r="AB63" s="913">
        <v>20.75</v>
      </c>
      <c r="AC63" s="913">
        <v>20.844999999999999</v>
      </c>
      <c r="AD63" s="913">
        <v>20.91</v>
      </c>
      <c r="AE63" s="913">
        <v>21.064999999999998</v>
      </c>
      <c r="AF63" s="913">
        <v>21.265000000000001</v>
      </c>
      <c r="AG63" s="913">
        <v>21.454999999999998</v>
      </c>
      <c r="AH63" s="913">
        <v>21.67</v>
      </c>
      <c r="AI63" s="913">
        <v>21.87</v>
      </c>
      <c r="AJ63" s="913">
        <v>22.094999999999999</v>
      </c>
      <c r="AK63" s="913">
        <v>22.33</v>
      </c>
      <c r="AL63" s="913">
        <v>22.574999999999999</v>
      </c>
      <c r="AM63" s="913">
        <v>22.805</v>
      </c>
      <c r="AN63" s="913">
        <v>22.965000000000003</v>
      </c>
      <c r="AO63" s="913">
        <v>23.1</v>
      </c>
      <c r="AP63" s="913">
        <v>23.200000000000003</v>
      </c>
      <c r="AQ63" s="913">
        <v>23.305</v>
      </c>
      <c r="AR63" s="913">
        <v>23.4</v>
      </c>
      <c r="AS63" s="913">
        <v>23.454999999999998</v>
      </c>
      <c r="AT63" s="913">
        <v>23.495000000000001</v>
      </c>
      <c r="AU63" s="913">
        <v>23.545000000000002</v>
      </c>
      <c r="AV63" s="913">
        <v>23.605</v>
      </c>
      <c r="AW63" s="913">
        <v>23.774999999999999</v>
      </c>
      <c r="AX63" s="913">
        <v>23.85</v>
      </c>
      <c r="AY63" s="913">
        <v>23.954999999999998</v>
      </c>
      <c r="AZ63" s="913">
        <v>24.06</v>
      </c>
      <c r="BA63" s="913">
        <v>24.164999999999999</v>
      </c>
      <c r="BB63" s="913">
        <v>24.274999999999999</v>
      </c>
      <c r="BC63" s="913">
        <v>24.39</v>
      </c>
      <c r="BD63" s="913">
        <v>24.52</v>
      </c>
      <c r="BE63" s="913">
        <v>24.65</v>
      </c>
      <c r="BF63" s="913">
        <v>24.78</v>
      </c>
      <c r="BG63" s="913">
        <v>24.914999999999999</v>
      </c>
      <c r="BH63" s="913">
        <v>25.049999999999997</v>
      </c>
      <c r="BI63" s="913">
        <v>25.185000000000002</v>
      </c>
      <c r="BJ63" s="913">
        <v>25.314999999999998</v>
      </c>
      <c r="BK63" s="913">
        <v>25.454999999999998</v>
      </c>
      <c r="BL63" s="913">
        <v>25.585000000000001</v>
      </c>
      <c r="BM63" s="913">
        <v>25.715000000000003</v>
      </c>
      <c r="BN63" s="913">
        <v>25.85</v>
      </c>
      <c r="BO63" s="913">
        <v>25.98</v>
      </c>
      <c r="BP63" s="913">
        <v>26.105</v>
      </c>
      <c r="BQ63" s="913">
        <v>26.234999999999999</v>
      </c>
      <c r="BR63" s="913">
        <v>26.365000000000002</v>
      </c>
      <c r="BS63" s="913">
        <v>26.490000000000002</v>
      </c>
      <c r="BT63" s="914">
        <v>26.619999999999997</v>
      </c>
      <c r="BU63" s="913">
        <v>26.75</v>
      </c>
      <c r="BV63" s="913">
        <v>26.869999999999997</v>
      </c>
      <c r="BW63" s="913">
        <v>26.995000000000001</v>
      </c>
      <c r="BX63" s="913">
        <v>27.125</v>
      </c>
      <c r="BY63" s="913">
        <v>27.244999999999997</v>
      </c>
      <c r="BZ63" s="913">
        <v>27.37</v>
      </c>
      <c r="CA63" s="913">
        <v>27.490000000000002</v>
      </c>
      <c r="CB63" s="913">
        <v>27.615000000000002</v>
      </c>
      <c r="CC63" s="913">
        <v>27.734999999999999</v>
      </c>
      <c r="CD63" s="913">
        <v>27.855</v>
      </c>
      <c r="CE63" s="913">
        <v>27.975000000000001</v>
      </c>
      <c r="CF63" s="913">
        <v>28.094999999999999</v>
      </c>
      <c r="CG63" s="913">
        <v>28.215</v>
      </c>
      <c r="CH63" s="913">
        <v>28.33</v>
      </c>
      <c r="CI63" s="913">
        <v>28.45</v>
      </c>
      <c r="CJ63" s="913">
        <v>28.564999999999998</v>
      </c>
      <c r="CK63" s="913">
        <v>28.685000000000002</v>
      </c>
      <c r="CL63" s="913">
        <v>28.8</v>
      </c>
      <c r="CM63" s="913">
        <v>28.914999999999999</v>
      </c>
      <c r="CN63" s="913">
        <v>29.03</v>
      </c>
      <c r="CO63" s="913">
        <v>29.14</v>
      </c>
      <c r="CP63" s="913">
        <v>29.255000000000003</v>
      </c>
      <c r="CQ63" s="913">
        <v>29.365000000000002</v>
      </c>
      <c r="CR63" s="913">
        <v>29.475000000000001</v>
      </c>
      <c r="CS63" s="913">
        <v>29.590000000000003</v>
      </c>
      <c r="CT63" s="913">
        <v>29.7</v>
      </c>
      <c r="CU63" s="913">
        <v>29.810000000000002</v>
      </c>
      <c r="CV63" s="913">
        <v>29.92</v>
      </c>
      <c r="CW63" s="913">
        <v>30.024999999999999</v>
      </c>
      <c r="CX63" s="913">
        <v>30.130000000000003</v>
      </c>
      <c r="CY63" s="913">
        <v>30.234999999999999</v>
      </c>
      <c r="CZ63" s="913">
        <v>30.344999999999999</v>
      </c>
      <c r="DA63" s="913">
        <v>30.450000000000003</v>
      </c>
      <c r="DB63" s="913">
        <v>30.555</v>
      </c>
      <c r="DC63" s="913">
        <v>30.66</v>
      </c>
      <c r="DD63" s="913">
        <v>30.76</v>
      </c>
      <c r="DE63" s="913">
        <v>30.86</v>
      </c>
      <c r="DF63" s="913">
        <v>30.965000000000003</v>
      </c>
      <c r="DG63" s="913">
        <v>31.064999999999998</v>
      </c>
      <c r="DH63" s="913">
        <v>31.164999999999999</v>
      </c>
      <c r="DI63" s="913">
        <v>31.265000000000001</v>
      </c>
      <c r="DJ63" s="913">
        <v>31.365000000000002</v>
      </c>
      <c r="DK63" s="913">
        <v>31.464999999999996</v>
      </c>
      <c r="DL63" s="913">
        <v>31.560000000000002</v>
      </c>
      <c r="DM63" s="913">
        <v>31.655000000000001</v>
      </c>
      <c r="DN63" s="913">
        <v>31.755000000000003</v>
      </c>
      <c r="DO63" s="913">
        <v>31.85</v>
      </c>
      <c r="DP63" s="913">
        <v>31.945</v>
      </c>
      <c r="DQ63" s="913">
        <v>32.035000000000004</v>
      </c>
      <c r="DR63" s="913">
        <v>32.130000000000003</v>
      </c>
    </row>
    <row r="64" spans="1:122" s="127" customFormat="1" ht="12.75">
      <c r="A64" s="917">
        <v>62</v>
      </c>
      <c r="B64" s="913"/>
      <c r="C64" s="913"/>
      <c r="D64" s="913"/>
      <c r="E64" s="913"/>
      <c r="F64" s="913"/>
      <c r="G64" s="913"/>
      <c r="H64" s="913"/>
      <c r="I64" s="913"/>
      <c r="J64" s="913"/>
      <c r="K64" s="913"/>
      <c r="L64" s="913"/>
      <c r="M64" s="913"/>
      <c r="N64" s="913"/>
      <c r="O64" s="913"/>
      <c r="P64" s="913"/>
      <c r="Q64" s="913"/>
      <c r="R64" s="913"/>
      <c r="S64" s="913"/>
      <c r="T64" s="913"/>
      <c r="U64" s="913"/>
      <c r="V64" s="913"/>
      <c r="W64" s="913">
        <v>19.149999999999999</v>
      </c>
      <c r="X64" s="913">
        <v>19.344999999999999</v>
      </c>
      <c r="Y64" s="913">
        <v>19.494999999999997</v>
      </c>
      <c r="Z64" s="913">
        <v>19.685000000000002</v>
      </c>
      <c r="AA64" s="913">
        <v>19.835000000000001</v>
      </c>
      <c r="AB64" s="913">
        <v>20.005000000000003</v>
      </c>
      <c r="AC64" s="913">
        <v>20.105</v>
      </c>
      <c r="AD64" s="913">
        <v>20.175000000000001</v>
      </c>
      <c r="AE64" s="913">
        <v>20.329999999999998</v>
      </c>
      <c r="AF64" s="913">
        <v>20.524999999999999</v>
      </c>
      <c r="AG64" s="913">
        <v>20.704999999999998</v>
      </c>
      <c r="AH64" s="913">
        <v>20.92</v>
      </c>
      <c r="AI64" s="913">
        <v>21.12</v>
      </c>
      <c r="AJ64" s="913">
        <v>21.34</v>
      </c>
      <c r="AK64" s="913">
        <v>21.57</v>
      </c>
      <c r="AL64" s="913">
        <v>21.799999999999997</v>
      </c>
      <c r="AM64" s="913">
        <v>22.020000000000003</v>
      </c>
      <c r="AN64" s="913">
        <v>22.18</v>
      </c>
      <c r="AO64" s="913">
        <v>22.310000000000002</v>
      </c>
      <c r="AP64" s="913">
        <v>22.41</v>
      </c>
      <c r="AQ64" s="913">
        <v>22.505000000000003</v>
      </c>
      <c r="AR64" s="913">
        <v>22.6</v>
      </c>
      <c r="AS64" s="913">
        <v>22.65</v>
      </c>
      <c r="AT64" s="913">
        <v>22.689999999999998</v>
      </c>
      <c r="AU64" s="913">
        <v>22.744999999999997</v>
      </c>
      <c r="AV64" s="913">
        <v>22.805</v>
      </c>
      <c r="AW64" s="913">
        <v>22.965</v>
      </c>
      <c r="AX64" s="913">
        <v>23.04</v>
      </c>
      <c r="AY64" s="913">
        <v>23.155000000000001</v>
      </c>
      <c r="AZ64" s="913">
        <v>23.255000000000003</v>
      </c>
      <c r="BA64" s="913">
        <v>23.36</v>
      </c>
      <c r="BB64" s="913">
        <v>23.465</v>
      </c>
      <c r="BC64" s="913">
        <v>23.59</v>
      </c>
      <c r="BD64" s="913">
        <v>23.715</v>
      </c>
      <c r="BE64" s="913">
        <v>23.840000000000003</v>
      </c>
      <c r="BF64" s="913">
        <v>23.98</v>
      </c>
      <c r="BG64" s="913">
        <v>24.11</v>
      </c>
      <c r="BH64" s="913">
        <v>24.240000000000002</v>
      </c>
      <c r="BI64" s="913">
        <v>24.375</v>
      </c>
      <c r="BJ64" s="913">
        <v>24.504999999999999</v>
      </c>
      <c r="BK64" s="913">
        <v>24.634999999999998</v>
      </c>
      <c r="BL64" s="913">
        <v>24.765000000000001</v>
      </c>
      <c r="BM64" s="913">
        <v>24.895</v>
      </c>
      <c r="BN64" s="913">
        <v>25.024999999999999</v>
      </c>
      <c r="BO64" s="913">
        <v>25.15</v>
      </c>
      <c r="BP64" s="913">
        <v>25.274999999999999</v>
      </c>
      <c r="BQ64" s="913">
        <v>25.405000000000001</v>
      </c>
      <c r="BR64" s="913">
        <v>25.53</v>
      </c>
      <c r="BS64" s="913">
        <v>25.655000000000001</v>
      </c>
      <c r="BT64" s="914">
        <v>25.78</v>
      </c>
      <c r="BU64" s="913">
        <v>25.91</v>
      </c>
      <c r="BV64" s="913">
        <v>26.03</v>
      </c>
      <c r="BW64" s="913">
        <v>26.155000000000001</v>
      </c>
      <c r="BX64" s="913">
        <v>26.274999999999999</v>
      </c>
      <c r="BY64" s="913">
        <v>26.395000000000003</v>
      </c>
      <c r="BZ64" s="913">
        <v>26.515000000000001</v>
      </c>
      <c r="CA64" s="913">
        <v>26.64</v>
      </c>
      <c r="CB64" s="913">
        <v>26.759999999999998</v>
      </c>
      <c r="CC64" s="913">
        <v>26.88</v>
      </c>
      <c r="CD64" s="913">
        <v>27</v>
      </c>
      <c r="CE64" s="913">
        <v>27.115000000000002</v>
      </c>
      <c r="CF64" s="913">
        <v>27.234999999999999</v>
      </c>
      <c r="CG64" s="913">
        <v>27.35</v>
      </c>
      <c r="CH64" s="913">
        <v>27.465</v>
      </c>
      <c r="CI64" s="913">
        <v>27.585000000000001</v>
      </c>
      <c r="CJ64" s="913">
        <v>27.695</v>
      </c>
      <c r="CK64" s="913">
        <v>27.81</v>
      </c>
      <c r="CL64" s="913">
        <v>27.924999999999997</v>
      </c>
      <c r="CM64" s="913">
        <v>28.04</v>
      </c>
      <c r="CN64" s="913">
        <v>28.15</v>
      </c>
      <c r="CO64" s="913">
        <v>28.259999999999998</v>
      </c>
      <c r="CP64" s="913">
        <v>28.375</v>
      </c>
      <c r="CQ64" s="913">
        <v>28.484999999999999</v>
      </c>
      <c r="CR64" s="913">
        <v>28.594999999999999</v>
      </c>
      <c r="CS64" s="913">
        <v>28.704999999999998</v>
      </c>
      <c r="CT64" s="913">
        <v>28.810000000000002</v>
      </c>
      <c r="CU64" s="913">
        <v>28.914999999999999</v>
      </c>
      <c r="CV64" s="913">
        <v>29.024999999999999</v>
      </c>
      <c r="CW64" s="913">
        <v>29.130000000000003</v>
      </c>
      <c r="CX64" s="913">
        <v>29.24</v>
      </c>
      <c r="CY64" s="913">
        <v>29.340000000000003</v>
      </c>
      <c r="CZ64" s="913">
        <v>29.445</v>
      </c>
      <c r="DA64" s="913">
        <v>29.549999999999997</v>
      </c>
      <c r="DB64" s="913">
        <v>29.65</v>
      </c>
      <c r="DC64" s="913">
        <v>29.754999999999999</v>
      </c>
      <c r="DD64" s="913">
        <v>29.854999999999997</v>
      </c>
      <c r="DE64" s="913">
        <v>29.954999999999998</v>
      </c>
      <c r="DF64" s="913">
        <v>30.055</v>
      </c>
      <c r="DG64" s="913">
        <v>30.155000000000001</v>
      </c>
      <c r="DH64" s="913">
        <v>30.254999999999999</v>
      </c>
      <c r="DI64" s="913">
        <v>30.354999999999997</v>
      </c>
      <c r="DJ64" s="913">
        <v>30.45</v>
      </c>
      <c r="DK64" s="913">
        <v>30.545000000000002</v>
      </c>
      <c r="DL64" s="913">
        <v>30.64</v>
      </c>
      <c r="DM64" s="913">
        <v>30.740000000000002</v>
      </c>
      <c r="DN64" s="913">
        <v>30.83</v>
      </c>
      <c r="DO64" s="913">
        <v>30.93</v>
      </c>
      <c r="DP64" s="913">
        <v>31.020000000000003</v>
      </c>
      <c r="DQ64" s="913">
        <v>31.11</v>
      </c>
      <c r="DR64" s="913">
        <v>31.205000000000002</v>
      </c>
    </row>
    <row r="65" spans="1:122" s="127" customFormat="1" ht="12.75">
      <c r="A65" s="917">
        <v>63</v>
      </c>
      <c r="B65" s="913"/>
      <c r="C65" s="913"/>
      <c r="D65" s="913"/>
      <c r="E65" s="913"/>
      <c r="F65" s="913"/>
      <c r="G65" s="913"/>
      <c r="H65" s="913"/>
      <c r="I65" s="913"/>
      <c r="J65" s="913"/>
      <c r="K65" s="913"/>
      <c r="L65" s="913"/>
      <c r="M65" s="913"/>
      <c r="N65" s="913"/>
      <c r="O65" s="913"/>
      <c r="P65" s="913"/>
      <c r="Q65" s="913"/>
      <c r="R65" s="913"/>
      <c r="S65" s="913"/>
      <c r="T65" s="913"/>
      <c r="U65" s="913"/>
      <c r="V65" s="913"/>
      <c r="W65" s="913">
        <v>18.434999999999999</v>
      </c>
      <c r="X65" s="913">
        <v>18.62</v>
      </c>
      <c r="Y65" s="913">
        <v>18.77</v>
      </c>
      <c r="Z65" s="913">
        <v>18.954999999999998</v>
      </c>
      <c r="AA65" s="913">
        <v>19.105</v>
      </c>
      <c r="AB65" s="913">
        <v>19.27</v>
      </c>
      <c r="AC65" s="913">
        <v>19.380000000000003</v>
      </c>
      <c r="AD65" s="913">
        <v>19.445</v>
      </c>
      <c r="AE65" s="913">
        <v>19.600000000000001</v>
      </c>
      <c r="AF65" s="913">
        <v>19.795000000000002</v>
      </c>
      <c r="AG65" s="913">
        <v>19.97</v>
      </c>
      <c r="AH65" s="913">
        <v>20.18</v>
      </c>
      <c r="AI65" s="913">
        <v>20.375</v>
      </c>
      <c r="AJ65" s="913">
        <v>20.59</v>
      </c>
      <c r="AK65" s="913">
        <v>20.805</v>
      </c>
      <c r="AL65" s="913">
        <v>21.04</v>
      </c>
      <c r="AM65" s="913">
        <v>21.240000000000002</v>
      </c>
      <c r="AN65" s="913">
        <v>21.4</v>
      </c>
      <c r="AO65" s="913">
        <v>21.524999999999999</v>
      </c>
      <c r="AP65" s="913">
        <v>21.62</v>
      </c>
      <c r="AQ65" s="913">
        <v>21.71</v>
      </c>
      <c r="AR65" s="913">
        <v>21.805</v>
      </c>
      <c r="AS65" s="913">
        <v>21.85</v>
      </c>
      <c r="AT65" s="913">
        <v>21.895</v>
      </c>
      <c r="AU65" s="913">
        <v>21.95</v>
      </c>
      <c r="AV65" s="913">
        <v>22.009999999999998</v>
      </c>
      <c r="AW65" s="913">
        <v>22.164999999999999</v>
      </c>
      <c r="AX65" s="913">
        <v>22.244999999999997</v>
      </c>
      <c r="AY65" s="913">
        <v>22.355</v>
      </c>
      <c r="AZ65" s="913">
        <v>22.46</v>
      </c>
      <c r="BA65" s="913">
        <v>22.56</v>
      </c>
      <c r="BB65" s="913">
        <v>22.675000000000001</v>
      </c>
      <c r="BC65" s="913">
        <v>22.795000000000002</v>
      </c>
      <c r="BD65" s="913">
        <v>22.914999999999999</v>
      </c>
      <c r="BE65" s="913">
        <v>23.049999999999997</v>
      </c>
      <c r="BF65" s="913">
        <v>23.185000000000002</v>
      </c>
      <c r="BG65" s="913">
        <v>23.314999999999998</v>
      </c>
      <c r="BH65" s="913">
        <v>23.44</v>
      </c>
      <c r="BI65" s="913">
        <v>23.57</v>
      </c>
      <c r="BJ65" s="913">
        <v>23.7</v>
      </c>
      <c r="BK65" s="913">
        <v>23.825000000000003</v>
      </c>
      <c r="BL65" s="913">
        <v>23.95</v>
      </c>
      <c r="BM65" s="913">
        <v>24.08</v>
      </c>
      <c r="BN65" s="913">
        <v>24.21</v>
      </c>
      <c r="BO65" s="913">
        <v>24.33</v>
      </c>
      <c r="BP65" s="913">
        <v>24.46</v>
      </c>
      <c r="BQ65" s="913">
        <v>24.58</v>
      </c>
      <c r="BR65" s="913">
        <v>24.704999999999998</v>
      </c>
      <c r="BS65" s="913">
        <v>24.83</v>
      </c>
      <c r="BT65" s="914">
        <v>24.95</v>
      </c>
      <c r="BU65" s="913">
        <v>25.07</v>
      </c>
      <c r="BV65" s="913">
        <v>25.195</v>
      </c>
      <c r="BW65" s="913">
        <v>25.314999999999998</v>
      </c>
      <c r="BX65" s="913">
        <v>25.435000000000002</v>
      </c>
      <c r="BY65" s="913">
        <v>25.555</v>
      </c>
      <c r="BZ65" s="913">
        <v>25.674999999999997</v>
      </c>
      <c r="CA65" s="913">
        <v>25.795000000000002</v>
      </c>
      <c r="CB65" s="913">
        <v>25.91</v>
      </c>
      <c r="CC65" s="913">
        <v>26.024999999999999</v>
      </c>
      <c r="CD65" s="913">
        <v>26.14</v>
      </c>
      <c r="CE65" s="913">
        <v>26.259999999999998</v>
      </c>
      <c r="CF65" s="913">
        <v>26.375</v>
      </c>
      <c r="CG65" s="913">
        <v>26.490000000000002</v>
      </c>
      <c r="CH65" s="913">
        <v>26.6</v>
      </c>
      <c r="CI65" s="913">
        <v>26.72</v>
      </c>
      <c r="CJ65" s="913">
        <v>26.83</v>
      </c>
      <c r="CK65" s="913">
        <v>26.945</v>
      </c>
      <c r="CL65" s="913">
        <v>27.055</v>
      </c>
      <c r="CM65" s="913">
        <v>27.164999999999999</v>
      </c>
      <c r="CN65" s="913">
        <v>27.274999999999999</v>
      </c>
      <c r="CO65" s="913">
        <v>27.384999999999998</v>
      </c>
      <c r="CP65" s="913">
        <v>27.495000000000001</v>
      </c>
      <c r="CQ65" s="913">
        <v>27.604999999999997</v>
      </c>
      <c r="CR65" s="913">
        <v>27.71</v>
      </c>
      <c r="CS65" s="913">
        <v>27.814999999999998</v>
      </c>
      <c r="CT65" s="913">
        <v>27.925000000000001</v>
      </c>
      <c r="CU65" s="913">
        <v>28.03</v>
      </c>
      <c r="CV65" s="913">
        <v>28.134999999999998</v>
      </c>
      <c r="CW65" s="913">
        <v>28.240000000000002</v>
      </c>
      <c r="CX65" s="913">
        <v>28.34</v>
      </c>
      <c r="CY65" s="913">
        <v>28.45</v>
      </c>
      <c r="CZ65" s="913">
        <v>28.55</v>
      </c>
      <c r="DA65" s="913">
        <v>28.65</v>
      </c>
      <c r="DB65" s="913">
        <v>28.75</v>
      </c>
      <c r="DC65" s="913">
        <v>28.85</v>
      </c>
      <c r="DD65" s="913">
        <v>28.95</v>
      </c>
      <c r="DE65" s="913">
        <v>29.049999999999997</v>
      </c>
      <c r="DF65" s="913">
        <v>29.15</v>
      </c>
      <c r="DG65" s="913">
        <v>29.25</v>
      </c>
      <c r="DH65" s="913">
        <v>29.344999999999999</v>
      </c>
      <c r="DI65" s="913">
        <v>29.445</v>
      </c>
      <c r="DJ65" s="913">
        <v>29.54</v>
      </c>
      <c r="DK65" s="913">
        <v>29.634999999999998</v>
      </c>
      <c r="DL65" s="913">
        <v>29.729999999999997</v>
      </c>
      <c r="DM65" s="913">
        <v>29.825000000000003</v>
      </c>
      <c r="DN65" s="913">
        <v>29.914999999999999</v>
      </c>
      <c r="DO65" s="913">
        <v>30.009999999999998</v>
      </c>
      <c r="DP65" s="913">
        <v>30.1</v>
      </c>
      <c r="DQ65" s="913">
        <v>30.189999999999998</v>
      </c>
      <c r="DR65" s="913">
        <v>30.28</v>
      </c>
    </row>
    <row r="66" spans="1:122" s="127" customFormat="1" ht="12.75">
      <c r="A66" s="917">
        <v>64</v>
      </c>
      <c r="B66" s="913"/>
      <c r="C66" s="913"/>
      <c r="D66" s="913"/>
      <c r="E66" s="913"/>
      <c r="F66" s="913"/>
      <c r="G66" s="913"/>
      <c r="H66" s="913"/>
      <c r="I66" s="913"/>
      <c r="J66" s="913"/>
      <c r="K66" s="913"/>
      <c r="L66" s="913"/>
      <c r="M66" s="913"/>
      <c r="N66" s="913"/>
      <c r="O66" s="913"/>
      <c r="P66" s="913"/>
      <c r="Q66" s="913"/>
      <c r="R66" s="913"/>
      <c r="S66" s="913"/>
      <c r="T66" s="913"/>
      <c r="U66" s="913"/>
      <c r="V66" s="913"/>
      <c r="W66" s="913">
        <v>17.734999999999999</v>
      </c>
      <c r="X66" s="913">
        <v>17.91</v>
      </c>
      <c r="Y66" s="913">
        <v>18.059999999999999</v>
      </c>
      <c r="Z66" s="913">
        <v>18.240000000000002</v>
      </c>
      <c r="AA66" s="913">
        <v>18.380000000000003</v>
      </c>
      <c r="AB66" s="913">
        <v>18.555</v>
      </c>
      <c r="AC66" s="913">
        <v>18.66</v>
      </c>
      <c r="AD66" s="913">
        <v>18.73</v>
      </c>
      <c r="AE66" s="913">
        <v>18.880000000000003</v>
      </c>
      <c r="AF66" s="913">
        <v>19.074999999999999</v>
      </c>
      <c r="AG66" s="913">
        <v>19.244999999999997</v>
      </c>
      <c r="AH66" s="913">
        <v>19.454999999999998</v>
      </c>
      <c r="AI66" s="913">
        <v>19.64</v>
      </c>
      <c r="AJ66" s="913">
        <v>19.84</v>
      </c>
      <c r="AK66" s="913">
        <v>20.049999999999997</v>
      </c>
      <c r="AL66" s="913">
        <v>20.274999999999999</v>
      </c>
      <c r="AM66" s="913">
        <v>20.47</v>
      </c>
      <c r="AN66" s="913">
        <v>20.625</v>
      </c>
      <c r="AO66" s="913">
        <v>20.75</v>
      </c>
      <c r="AP66" s="913">
        <v>20.84</v>
      </c>
      <c r="AQ66" s="913">
        <v>20.93</v>
      </c>
      <c r="AR66" s="913">
        <v>21.009999999999998</v>
      </c>
      <c r="AS66" s="913">
        <v>21.065000000000001</v>
      </c>
      <c r="AT66" s="913">
        <v>21.1</v>
      </c>
      <c r="AU66" s="913">
        <v>21.164999999999999</v>
      </c>
      <c r="AV66" s="913">
        <v>21.225000000000001</v>
      </c>
      <c r="AW66" s="913">
        <v>21.380000000000003</v>
      </c>
      <c r="AX66" s="913">
        <v>21.45</v>
      </c>
      <c r="AY66" s="913">
        <v>21.564999999999998</v>
      </c>
      <c r="AZ66" s="913">
        <v>21.664999999999999</v>
      </c>
      <c r="BA66" s="913">
        <v>21.774999999999999</v>
      </c>
      <c r="BB66" s="913">
        <v>21.89</v>
      </c>
      <c r="BC66" s="913">
        <v>22.009999999999998</v>
      </c>
      <c r="BD66" s="913">
        <v>22.134999999999998</v>
      </c>
      <c r="BE66" s="913">
        <v>22.27</v>
      </c>
      <c r="BF66" s="913">
        <v>22.395</v>
      </c>
      <c r="BG66" s="913">
        <v>22.52</v>
      </c>
      <c r="BH66" s="913">
        <v>22.65</v>
      </c>
      <c r="BI66" s="913">
        <v>22.774999999999999</v>
      </c>
      <c r="BJ66" s="913">
        <v>22.9</v>
      </c>
      <c r="BK66" s="913">
        <v>23.024999999999999</v>
      </c>
      <c r="BL66" s="913">
        <v>23.15</v>
      </c>
      <c r="BM66" s="913">
        <v>23.274999999999999</v>
      </c>
      <c r="BN66" s="913">
        <v>23.395</v>
      </c>
      <c r="BO66" s="913">
        <v>23.52</v>
      </c>
      <c r="BP66" s="913">
        <v>23.64</v>
      </c>
      <c r="BQ66" s="913">
        <v>23.765000000000001</v>
      </c>
      <c r="BR66" s="913">
        <v>23.884999999999998</v>
      </c>
      <c r="BS66" s="913">
        <v>24.005000000000003</v>
      </c>
      <c r="BT66" s="914">
        <v>24.125</v>
      </c>
      <c r="BU66" s="913">
        <v>24.245000000000001</v>
      </c>
      <c r="BV66" s="913">
        <v>24.365000000000002</v>
      </c>
      <c r="BW66" s="913">
        <v>24.48</v>
      </c>
      <c r="BX66" s="913">
        <v>24.6</v>
      </c>
      <c r="BY66" s="913">
        <v>24.715</v>
      </c>
      <c r="BZ66" s="913">
        <v>24.835000000000001</v>
      </c>
      <c r="CA66" s="913">
        <v>24.950000000000003</v>
      </c>
      <c r="CB66" s="913">
        <v>25.064999999999998</v>
      </c>
      <c r="CC66" s="913">
        <v>25.18</v>
      </c>
      <c r="CD66" s="913">
        <v>25.295000000000002</v>
      </c>
      <c r="CE66" s="913">
        <v>25.41</v>
      </c>
      <c r="CF66" s="913">
        <v>25.52</v>
      </c>
      <c r="CG66" s="913">
        <v>25.634999999999998</v>
      </c>
      <c r="CH66" s="913">
        <v>25.745000000000001</v>
      </c>
      <c r="CI66" s="913">
        <v>25.86</v>
      </c>
      <c r="CJ66" s="913">
        <v>25.97</v>
      </c>
      <c r="CK66" s="913">
        <v>26.08</v>
      </c>
      <c r="CL66" s="913">
        <v>26.189999999999998</v>
      </c>
      <c r="CM66" s="913">
        <v>26.3</v>
      </c>
      <c r="CN66" s="913">
        <v>26.41</v>
      </c>
      <c r="CO66" s="913">
        <v>26.509999999999998</v>
      </c>
      <c r="CP66" s="913">
        <v>26.62</v>
      </c>
      <c r="CQ66" s="913">
        <v>26.729999999999997</v>
      </c>
      <c r="CR66" s="913">
        <v>26.83</v>
      </c>
      <c r="CS66" s="913">
        <v>26.939999999999998</v>
      </c>
      <c r="CT66" s="913">
        <v>27.04</v>
      </c>
      <c r="CU66" s="913">
        <v>27.15</v>
      </c>
      <c r="CV66" s="913">
        <v>27.25</v>
      </c>
      <c r="CW66" s="913">
        <v>27.35</v>
      </c>
      <c r="CX66" s="913">
        <v>27.454999999999998</v>
      </c>
      <c r="CY66" s="913">
        <v>27.56</v>
      </c>
      <c r="CZ66" s="913">
        <v>27.66</v>
      </c>
      <c r="DA66" s="913">
        <v>27.76</v>
      </c>
      <c r="DB66" s="913">
        <v>27.86</v>
      </c>
      <c r="DC66" s="913">
        <v>27.96</v>
      </c>
      <c r="DD66" s="913">
        <v>28.049999999999997</v>
      </c>
      <c r="DE66" s="913">
        <v>28.15</v>
      </c>
      <c r="DF66" s="913">
        <v>28.25</v>
      </c>
      <c r="DG66" s="913">
        <v>28.344999999999999</v>
      </c>
      <c r="DH66" s="913">
        <v>28.44</v>
      </c>
      <c r="DI66" s="913">
        <v>28.54</v>
      </c>
      <c r="DJ66" s="913">
        <v>28.63</v>
      </c>
      <c r="DK66" s="913">
        <v>28.725000000000001</v>
      </c>
      <c r="DL66" s="913">
        <v>28.82</v>
      </c>
      <c r="DM66" s="913">
        <v>28.91</v>
      </c>
      <c r="DN66" s="913">
        <v>29.004999999999999</v>
      </c>
      <c r="DO66" s="913">
        <v>29.094999999999999</v>
      </c>
      <c r="DP66" s="913">
        <v>29.184999999999999</v>
      </c>
      <c r="DQ66" s="913">
        <v>29.274999999999999</v>
      </c>
      <c r="DR66" s="913">
        <v>29.365000000000002</v>
      </c>
    </row>
    <row r="67" spans="1:122" s="127" customFormat="1" ht="12.75">
      <c r="A67" s="917">
        <v>65</v>
      </c>
      <c r="B67" s="913"/>
      <c r="C67" s="913"/>
      <c r="D67" s="913"/>
      <c r="E67" s="913"/>
      <c r="F67" s="913"/>
      <c r="G67" s="913"/>
      <c r="H67" s="913"/>
      <c r="I67" s="913"/>
      <c r="J67" s="913"/>
      <c r="K67" s="913"/>
      <c r="L67" s="913"/>
      <c r="M67" s="913"/>
      <c r="N67" s="913"/>
      <c r="O67" s="913"/>
      <c r="P67" s="913"/>
      <c r="Q67" s="913"/>
      <c r="R67" s="913"/>
      <c r="S67" s="913"/>
      <c r="T67" s="913"/>
      <c r="U67" s="913"/>
      <c r="V67" s="913"/>
      <c r="W67" s="913">
        <v>17.03</v>
      </c>
      <c r="X67" s="913">
        <v>17.204999999999998</v>
      </c>
      <c r="Y67" s="913">
        <v>17.350000000000001</v>
      </c>
      <c r="Z67" s="913">
        <v>17.53</v>
      </c>
      <c r="AA67" s="913">
        <v>17.675000000000001</v>
      </c>
      <c r="AB67" s="913">
        <v>17.850000000000001</v>
      </c>
      <c r="AC67" s="913">
        <v>17.955000000000002</v>
      </c>
      <c r="AD67" s="913">
        <v>18.024999999999999</v>
      </c>
      <c r="AE67" s="913">
        <v>18.170000000000002</v>
      </c>
      <c r="AF67" s="913">
        <v>18.365000000000002</v>
      </c>
      <c r="AG67" s="913">
        <v>18.53</v>
      </c>
      <c r="AH67" s="913">
        <v>18.725000000000001</v>
      </c>
      <c r="AI67" s="913">
        <v>18.905000000000001</v>
      </c>
      <c r="AJ67" s="913">
        <v>19.094999999999999</v>
      </c>
      <c r="AK67" s="913">
        <v>19.305</v>
      </c>
      <c r="AL67" s="913">
        <v>19.52</v>
      </c>
      <c r="AM67" s="913">
        <v>19.704999999999998</v>
      </c>
      <c r="AN67" s="913">
        <v>19.86</v>
      </c>
      <c r="AO67" s="913">
        <v>19.975000000000001</v>
      </c>
      <c r="AP67" s="913">
        <v>20.055</v>
      </c>
      <c r="AQ67" s="913">
        <v>20.14</v>
      </c>
      <c r="AR67" s="913">
        <v>20.23</v>
      </c>
      <c r="AS67" s="913">
        <v>20.274999999999999</v>
      </c>
      <c r="AT67" s="913">
        <v>20.32</v>
      </c>
      <c r="AU67" s="913">
        <v>20.385000000000002</v>
      </c>
      <c r="AV67" s="913">
        <v>20.45</v>
      </c>
      <c r="AW67" s="913">
        <v>20.594999999999999</v>
      </c>
      <c r="AX67" s="913">
        <v>20.68</v>
      </c>
      <c r="AY67" s="913">
        <v>20.784999999999997</v>
      </c>
      <c r="AZ67" s="913">
        <v>20.89</v>
      </c>
      <c r="BA67" s="913">
        <v>21</v>
      </c>
      <c r="BB67" s="913">
        <v>21.115000000000002</v>
      </c>
      <c r="BC67" s="913">
        <v>21.244999999999997</v>
      </c>
      <c r="BD67" s="913">
        <v>21.37</v>
      </c>
      <c r="BE67" s="913">
        <v>21.490000000000002</v>
      </c>
      <c r="BF67" s="913">
        <v>21.615000000000002</v>
      </c>
      <c r="BG67" s="913">
        <v>21.74</v>
      </c>
      <c r="BH67" s="913">
        <v>21.865000000000002</v>
      </c>
      <c r="BI67" s="913">
        <v>21.984999999999999</v>
      </c>
      <c r="BJ67" s="913">
        <v>22.11</v>
      </c>
      <c r="BK67" s="913">
        <v>22.23</v>
      </c>
      <c r="BL67" s="913">
        <v>22.35</v>
      </c>
      <c r="BM67" s="913">
        <v>22.47</v>
      </c>
      <c r="BN67" s="913">
        <v>22.594999999999999</v>
      </c>
      <c r="BO67" s="913">
        <v>22.715</v>
      </c>
      <c r="BP67" s="913">
        <v>22.835000000000001</v>
      </c>
      <c r="BQ67" s="913">
        <v>22.954999999999998</v>
      </c>
      <c r="BR67" s="913">
        <v>23.065000000000001</v>
      </c>
      <c r="BS67" s="913">
        <v>23.185000000000002</v>
      </c>
      <c r="BT67" s="914">
        <v>23.305</v>
      </c>
      <c r="BU67" s="913">
        <v>23.424999999999997</v>
      </c>
      <c r="BV67" s="913">
        <v>23.54</v>
      </c>
      <c r="BW67" s="913">
        <v>23.655000000000001</v>
      </c>
      <c r="BX67" s="913">
        <v>23.77</v>
      </c>
      <c r="BY67" s="913">
        <v>23.884999999999998</v>
      </c>
      <c r="BZ67" s="913">
        <v>24</v>
      </c>
      <c r="CA67" s="913">
        <v>24.11</v>
      </c>
      <c r="CB67" s="913">
        <v>24.23</v>
      </c>
      <c r="CC67" s="913">
        <v>24.34</v>
      </c>
      <c r="CD67" s="913">
        <v>24.450000000000003</v>
      </c>
      <c r="CE67" s="913">
        <v>24.56</v>
      </c>
      <c r="CF67" s="913">
        <v>24.67</v>
      </c>
      <c r="CG67" s="913">
        <v>24.78</v>
      </c>
      <c r="CH67" s="913">
        <v>24.89</v>
      </c>
      <c r="CI67" s="913">
        <v>25</v>
      </c>
      <c r="CJ67" s="913">
        <v>25.11</v>
      </c>
      <c r="CK67" s="913">
        <v>25.22</v>
      </c>
      <c r="CL67" s="913">
        <v>25.325000000000003</v>
      </c>
      <c r="CM67" s="913">
        <v>25.434999999999999</v>
      </c>
      <c r="CN67" s="913">
        <v>25.54</v>
      </c>
      <c r="CO67" s="913">
        <v>25.645</v>
      </c>
      <c r="CP67" s="913">
        <v>25.754999999999999</v>
      </c>
      <c r="CQ67" s="913">
        <v>25.855</v>
      </c>
      <c r="CR67" s="913">
        <v>25.954999999999998</v>
      </c>
      <c r="CS67" s="913">
        <v>26.064999999999998</v>
      </c>
      <c r="CT67" s="913">
        <v>26.164999999999999</v>
      </c>
      <c r="CU67" s="913">
        <v>26.265000000000001</v>
      </c>
      <c r="CV67" s="913">
        <v>26.37</v>
      </c>
      <c r="CW67" s="913">
        <v>26.47</v>
      </c>
      <c r="CX67" s="913">
        <v>26.57</v>
      </c>
      <c r="CY67" s="913">
        <v>26.67</v>
      </c>
      <c r="CZ67" s="913">
        <v>26.77</v>
      </c>
      <c r="DA67" s="913">
        <v>26.869999999999997</v>
      </c>
      <c r="DB67" s="913">
        <v>26.97</v>
      </c>
      <c r="DC67" s="913">
        <v>27.060000000000002</v>
      </c>
      <c r="DD67" s="913">
        <v>27.16</v>
      </c>
      <c r="DE67" s="913">
        <v>27.255000000000003</v>
      </c>
      <c r="DF67" s="913">
        <v>27.35</v>
      </c>
      <c r="DG67" s="913">
        <v>27.445</v>
      </c>
      <c r="DH67" s="913">
        <v>27.54</v>
      </c>
      <c r="DI67" s="913">
        <v>27.634999999999998</v>
      </c>
      <c r="DJ67" s="913">
        <v>27.725000000000001</v>
      </c>
      <c r="DK67" s="913">
        <v>27.815000000000001</v>
      </c>
      <c r="DL67" s="913">
        <v>27.91</v>
      </c>
      <c r="DM67" s="913">
        <v>28</v>
      </c>
      <c r="DN67" s="913">
        <v>28.09</v>
      </c>
      <c r="DO67" s="913">
        <v>28.18</v>
      </c>
      <c r="DP67" s="913">
        <v>28.270000000000003</v>
      </c>
      <c r="DQ67" s="913">
        <v>28.36</v>
      </c>
      <c r="DR67" s="913">
        <v>28.450000000000003</v>
      </c>
    </row>
    <row r="68" spans="1:122" s="127" customFormat="1" ht="12.75">
      <c r="A68" s="917">
        <v>66</v>
      </c>
      <c r="B68" s="913"/>
      <c r="C68" s="913"/>
      <c r="D68" s="913"/>
      <c r="E68" s="913"/>
      <c r="F68" s="913"/>
      <c r="G68" s="913"/>
      <c r="H68" s="913"/>
      <c r="I68" s="913"/>
      <c r="J68" s="913"/>
      <c r="K68" s="913"/>
      <c r="L68" s="913"/>
      <c r="M68" s="913"/>
      <c r="N68" s="913"/>
      <c r="O68" s="913"/>
      <c r="P68" s="913"/>
      <c r="Q68" s="913"/>
      <c r="R68" s="913"/>
      <c r="S68" s="913"/>
      <c r="T68" s="913"/>
      <c r="U68" s="913"/>
      <c r="V68" s="913"/>
      <c r="W68" s="913">
        <v>16.355</v>
      </c>
      <c r="X68" s="913">
        <v>16.515000000000001</v>
      </c>
      <c r="Y68" s="913">
        <v>16.66</v>
      </c>
      <c r="Z68" s="913">
        <v>16.844999999999999</v>
      </c>
      <c r="AA68" s="913">
        <v>16.984999999999999</v>
      </c>
      <c r="AB68" s="913">
        <v>17.155000000000001</v>
      </c>
      <c r="AC68" s="913">
        <v>17.254999999999999</v>
      </c>
      <c r="AD68" s="913">
        <v>17.324999999999999</v>
      </c>
      <c r="AE68" s="913">
        <v>17.47</v>
      </c>
      <c r="AF68" s="913">
        <v>17.669999999999998</v>
      </c>
      <c r="AG68" s="913">
        <v>17.82</v>
      </c>
      <c r="AH68" s="913">
        <v>18.004999999999999</v>
      </c>
      <c r="AI68" s="913">
        <v>18.18</v>
      </c>
      <c r="AJ68" s="913">
        <v>18.36</v>
      </c>
      <c r="AK68" s="913">
        <v>18.555</v>
      </c>
      <c r="AL68" s="913">
        <v>18.77</v>
      </c>
      <c r="AM68" s="913">
        <v>18.95</v>
      </c>
      <c r="AN68" s="913">
        <v>19.094999999999999</v>
      </c>
      <c r="AO68" s="913">
        <v>19.204999999999998</v>
      </c>
      <c r="AP68" s="913">
        <v>19.28</v>
      </c>
      <c r="AQ68" s="913">
        <v>19.365000000000002</v>
      </c>
      <c r="AR68" s="913">
        <v>19.45</v>
      </c>
      <c r="AS68" s="913">
        <v>19.504999999999999</v>
      </c>
      <c r="AT68" s="913">
        <v>19.545000000000002</v>
      </c>
      <c r="AU68" s="913">
        <v>19.615000000000002</v>
      </c>
      <c r="AV68" s="913">
        <v>19.685000000000002</v>
      </c>
      <c r="AW68" s="913">
        <v>19.829999999999998</v>
      </c>
      <c r="AX68" s="913">
        <v>19.905000000000001</v>
      </c>
      <c r="AY68" s="913">
        <v>20.015000000000001</v>
      </c>
      <c r="AZ68" s="913">
        <v>20.130000000000003</v>
      </c>
      <c r="BA68" s="913">
        <v>20.234999999999999</v>
      </c>
      <c r="BB68" s="913">
        <v>20.354999999999997</v>
      </c>
      <c r="BC68" s="913">
        <v>20.48</v>
      </c>
      <c r="BD68" s="913">
        <v>20.6</v>
      </c>
      <c r="BE68" s="913">
        <v>20.725000000000001</v>
      </c>
      <c r="BF68" s="913">
        <v>20.84</v>
      </c>
      <c r="BG68" s="913">
        <v>20.96</v>
      </c>
      <c r="BH68" s="913">
        <v>21.085000000000001</v>
      </c>
      <c r="BI68" s="913">
        <v>21.204999999999998</v>
      </c>
      <c r="BJ68" s="913">
        <v>21.324999999999999</v>
      </c>
      <c r="BK68" s="913">
        <v>21.44</v>
      </c>
      <c r="BL68" s="913">
        <v>21.560000000000002</v>
      </c>
      <c r="BM68" s="913">
        <v>21.68</v>
      </c>
      <c r="BN68" s="913">
        <v>21.795000000000002</v>
      </c>
      <c r="BO68" s="913">
        <v>21.914999999999999</v>
      </c>
      <c r="BP68" s="913">
        <v>22.03</v>
      </c>
      <c r="BQ68" s="913">
        <v>22.145</v>
      </c>
      <c r="BR68" s="913">
        <v>22.265000000000001</v>
      </c>
      <c r="BS68" s="913">
        <v>22.375</v>
      </c>
      <c r="BT68" s="914">
        <v>22.490000000000002</v>
      </c>
      <c r="BU68" s="913">
        <v>22.61</v>
      </c>
      <c r="BV68" s="913">
        <v>22.72</v>
      </c>
      <c r="BW68" s="913">
        <v>22.83</v>
      </c>
      <c r="BX68" s="913">
        <v>22.945</v>
      </c>
      <c r="BY68" s="913">
        <v>23.055</v>
      </c>
      <c r="BZ68" s="913">
        <v>23.164999999999999</v>
      </c>
      <c r="CA68" s="913">
        <v>23.285</v>
      </c>
      <c r="CB68" s="913">
        <v>23.39</v>
      </c>
      <c r="CC68" s="913">
        <v>23.5</v>
      </c>
      <c r="CD68" s="913">
        <v>23.61</v>
      </c>
      <c r="CE68" s="913">
        <v>23.72</v>
      </c>
      <c r="CF68" s="913">
        <v>23.83</v>
      </c>
      <c r="CG68" s="913">
        <v>23.939999999999998</v>
      </c>
      <c r="CH68" s="913">
        <v>24.045000000000002</v>
      </c>
      <c r="CI68" s="913">
        <v>24.15</v>
      </c>
      <c r="CJ68" s="913">
        <v>24.255000000000003</v>
      </c>
      <c r="CK68" s="913">
        <v>24.365000000000002</v>
      </c>
      <c r="CL68" s="913">
        <v>24.465</v>
      </c>
      <c r="CM68" s="913">
        <v>24.575000000000003</v>
      </c>
      <c r="CN68" s="913">
        <v>24.68</v>
      </c>
      <c r="CO68" s="913">
        <v>24.78</v>
      </c>
      <c r="CP68" s="913">
        <v>24.885000000000002</v>
      </c>
      <c r="CQ68" s="913">
        <v>24.990000000000002</v>
      </c>
      <c r="CR68" s="913">
        <v>25.09</v>
      </c>
      <c r="CS68" s="913">
        <v>25.189999999999998</v>
      </c>
      <c r="CT68" s="913">
        <v>25.29</v>
      </c>
      <c r="CU68" s="913">
        <v>25.39</v>
      </c>
      <c r="CV68" s="913">
        <v>25.495000000000001</v>
      </c>
      <c r="CW68" s="913">
        <v>25.594999999999999</v>
      </c>
      <c r="CX68" s="913">
        <v>25.684999999999999</v>
      </c>
      <c r="CY68" s="913">
        <v>25.784999999999997</v>
      </c>
      <c r="CZ68" s="913">
        <v>25.884999999999998</v>
      </c>
      <c r="DA68" s="913">
        <v>25.98</v>
      </c>
      <c r="DB68" s="913">
        <v>26.08</v>
      </c>
      <c r="DC68" s="913">
        <v>26.17</v>
      </c>
      <c r="DD68" s="913">
        <v>26.27</v>
      </c>
      <c r="DE68" s="913">
        <v>26.36</v>
      </c>
      <c r="DF68" s="913">
        <v>26.454999999999998</v>
      </c>
      <c r="DG68" s="913">
        <v>26.545000000000002</v>
      </c>
      <c r="DH68" s="913">
        <v>26.645</v>
      </c>
      <c r="DI68" s="913">
        <v>26.734999999999999</v>
      </c>
      <c r="DJ68" s="913">
        <v>26.824999999999999</v>
      </c>
      <c r="DK68" s="913">
        <v>26.914999999999999</v>
      </c>
      <c r="DL68" s="913">
        <v>27.01</v>
      </c>
      <c r="DM68" s="913">
        <v>27.094999999999999</v>
      </c>
      <c r="DN68" s="913">
        <v>27.185000000000002</v>
      </c>
      <c r="DO68" s="913">
        <v>27.274999999999999</v>
      </c>
      <c r="DP68" s="913">
        <v>27.365000000000002</v>
      </c>
      <c r="DQ68" s="913">
        <v>27.445</v>
      </c>
      <c r="DR68" s="913">
        <v>27.535</v>
      </c>
    </row>
    <row r="69" spans="1:122" s="127" customFormat="1" ht="12.75">
      <c r="A69" s="917">
        <v>67</v>
      </c>
      <c r="B69" s="913"/>
      <c r="C69" s="913"/>
      <c r="D69" s="913"/>
      <c r="E69" s="913"/>
      <c r="F69" s="913"/>
      <c r="G69" s="913"/>
      <c r="H69" s="913"/>
      <c r="I69" s="913"/>
      <c r="J69" s="913"/>
      <c r="K69" s="913"/>
      <c r="L69" s="913"/>
      <c r="M69" s="913"/>
      <c r="N69" s="913"/>
      <c r="O69" s="913"/>
      <c r="P69" s="913"/>
      <c r="Q69" s="913"/>
      <c r="R69" s="913"/>
      <c r="S69" s="913"/>
      <c r="T69" s="913"/>
      <c r="U69" s="913"/>
      <c r="V69" s="913"/>
      <c r="W69" s="913">
        <v>15.675000000000001</v>
      </c>
      <c r="X69" s="913">
        <v>15.835000000000001</v>
      </c>
      <c r="Y69" s="913">
        <v>15.984999999999999</v>
      </c>
      <c r="Z69" s="913">
        <v>16.170000000000002</v>
      </c>
      <c r="AA69" s="913">
        <v>16.299999999999997</v>
      </c>
      <c r="AB69" s="913">
        <v>16.465</v>
      </c>
      <c r="AC69" s="913">
        <v>16.57</v>
      </c>
      <c r="AD69" s="913">
        <v>16.64</v>
      </c>
      <c r="AE69" s="913">
        <v>16.785</v>
      </c>
      <c r="AF69" s="913">
        <v>16.965</v>
      </c>
      <c r="AG69" s="913">
        <v>17.119999999999997</v>
      </c>
      <c r="AH69" s="913">
        <v>17.295000000000002</v>
      </c>
      <c r="AI69" s="913">
        <v>17.46</v>
      </c>
      <c r="AJ69" s="913">
        <v>17.63</v>
      </c>
      <c r="AK69" s="913">
        <v>17.825000000000003</v>
      </c>
      <c r="AL69" s="913">
        <v>18.03</v>
      </c>
      <c r="AM69" s="913">
        <v>18.204999999999998</v>
      </c>
      <c r="AN69" s="913">
        <v>18.335000000000001</v>
      </c>
      <c r="AO69" s="913">
        <v>18.440000000000001</v>
      </c>
      <c r="AP69" s="913">
        <v>18.520000000000003</v>
      </c>
      <c r="AQ69" s="913">
        <v>18.600000000000001</v>
      </c>
      <c r="AR69" s="913">
        <v>18.68</v>
      </c>
      <c r="AS69" s="913">
        <v>18.734999999999999</v>
      </c>
      <c r="AT69" s="913">
        <v>18.785</v>
      </c>
      <c r="AU69" s="913">
        <v>18.850000000000001</v>
      </c>
      <c r="AV69" s="913">
        <v>18.925000000000001</v>
      </c>
      <c r="AW69" s="913">
        <v>19.064999999999998</v>
      </c>
      <c r="AX69" s="913">
        <v>19.149999999999999</v>
      </c>
      <c r="AY69" s="913">
        <v>19.260000000000002</v>
      </c>
      <c r="AZ69" s="913">
        <v>19.369999999999997</v>
      </c>
      <c r="BA69" s="913">
        <v>19.484999999999999</v>
      </c>
      <c r="BB69" s="913">
        <v>19.600000000000001</v>
      </c>
      <c r="BC69" s="913">
        <v>19.72</v>
      </c>
      <c r="BD69" s="913">
        <v>19.84</v>
      </c>
      <c r="BE69" s="913">
        <v>19.96</v>
      </c>
      <c r="BF69" s="913">
        <v>20.074999999999999</v>
      </c>
      <c r="BG69" s="913">
        <v>20.195</v>
      </c>
      <c r="BH69" s="913">
        <v>20.310000000000002</v>
      </c>
      <c r="BI69" s="913">
        <v>20.43</v>
      </c>
      <c r="BJ69" s="913">
        <v>20.545000000000002</v>
      </c>
      <c r="BK69" s="913">
        <v>20.66</v>
      </c>
      <c r="BL69" s="913">
        <v>20.774999999999999</v>
      </c>
      <c r="BM69" s="913">
        <v>20.89</v>
      </c>
      <c r="BN69" s="913">
        <v>21</v>
      </c>
      <c r="BO69" s="913">
        <v>21.12</v>
      </c>
      <c r="BP69" s="913">
        <v>21.234999999999999</v>
      </c>
      <c r="BQ69" s="913">
        <v>21.344999999999999</v>
      </c>
      <c r="BR69" s="913">
        <v>21.46</v>
      </c>
      <c r="BS69" s="913">
        <v>21.57</v>
      </c>
      <c r="BT69" s="914">
        <v>21.68</v>
      </c>
      <c r="BU69" s="913">
        <v>21.795000000000002</v>
      </c>
      <c r="BV69" s="913">
        <v>21.905000000000001</v>
      </c>
      <c r="BW69" s="913">
        <v>22.015000000000001</v>
      </c>
      <c r="BX69" s="913">
        <v>22.125</v>
      </c>
      <c r="BY69" s="913">
        <v>22.234999999999999</v>
      </c>
      <c r="BZ69" s="913">
        <v>22.35</v>
      </c>
      <c r="CA69" s="913">
        <v>22.454999999999998</v>
      </c>
      <c r="CB69" s="913">
        <v>22.565000000000001</v>
      </c>
      <c r="CC69" s="913">
        <v>22.67</v>
      </c>
      <c r="CD69" s="913">
        <v>22.774999999999999</v>
      </c>
      <c r="CE69" s="913">
        <v>22.884999999999998</v>
      </c>
      <c r="CF69" s="913">
        <v>22.99</v>
      </c>
      <c r="CG69" s="913">
        <v>23.1</v>
      </c>
      <c r="CH69" s="913">
        <v>23.2</v>
      </c>
      <c r="CI69" s="913">
        <v>23.305</v>
      </c>
      <c r="CJ69" s="913">
        <v>23.405000000000001</v>
      </c>
      <c r="CK69" s="913">
        <v>23.515000000000001</v>
      </c>
      <c r="CL69" s="913">
        <v>23.614999999999998</v>
      </c>
      <c r="CM69" s="913">
        <v>23.72</v>
      </c>
      <c r="CN69" s="913">
        <v>23.82</v>
      </c>
      <c r="CO69" s="913">
        <v>23.92</v>
      </c>
      <c r="CP69" s="913">
        <v>24.024999999999999</v>
      </c>
      <c r="CQ69" s="913">
        <v>24.125</v>
      </c>
      <c r="CR69" s="913">
        <v>24.225000000000001</v>
      </c>
      <c r="CS69" s="913">
        <v>24.325000000000003</v>
      </c>
      <c r="CT69" s="913">
        <v>24.42</v>
      </c>
      <c r="CU69" s="913">
        <v>24.52</v>
      </c>
      <c r="CV69" s="913">
        <v>24.62</v>
      </c>
      <c r="CW69" s="913">
        <v>24.715</v>
      </c>
      <c r="CX69" s="913">
        <v>24.81</v>
      </c>
      <c r="CY69" s="913">
        <v>24.905000000000001</v>
      </c>
      <c r="CZ69" s="913">
        <v>25.005000000000003</v>
      </c>
      <c r="DA69" s="913">
        <v>25.094999999999999</v>
      </c>
      <c r="DB69" s="913">
        <v>25.189999999999998</v>
      </c>
      <c r="DC69" s="913">
        <v>25.285</v>
      </c>
      <c r="DD69" s="913">
        <v>25.380000000000003</v>
      </c>
      <c r="DE69" s="913">
        <v>25.47</v>
      </c>
      <c r="DF69" s="913">
        <v>25.564999999999998</v>
      </c>
      <c r="DG69" s="913">
        <v>25.655000000000001</v>
      </c>
      <c r="DH69" s="913">
        <v>25.744999999999997</v>
      </c>
      <c r="DI69" s="913">
        <v>25.835000000000001</v>
      </c>
      <c r="DJ69" s="913">
        <v>25.925000000000001</v>
      </c>
      <c r="DK69" s="913">
        <v>26.015000000000001</v>
      </c>
      <c r="DL69" s="913">
        <v>26.105</v>
      </c>
      <c r="DM69" s="913">
        <v>26.195</v>
      </c>
      <c r="DN69" s="913">
        <v>26.28</v>
      </c>
      <c r="DO69" s="913">
        <v>26.364999999999998</v>
      </c>
      <c r="DP69" s="913">
        <v>26.450000000000003</v>
      </c>
      <c r="DQ69" s="913">
        <v>26.54</v>
      </c>
      <c r="DR69" s="913">
        <v>26.625</v>
      </c>
    </row>
    <row r="70" spans="1:122" s="127" customFormat="1" ht="12.75">
      <c r="A70" s="917">
        <v>68</v>
      </c>
      <c r="B70" s="913"/>
      <c r="C70" s="913"/>
      <c r="D70" s="913"/>
      <c r="E70" s="913"/>
      <c r="F70" s="913"/>
      <c r="G70" s="913"/>
      <c r="H70" s="913"/>
      <c r="I70" s="913"/>
      <c r="J70" s="913"/>
      <c r="K70" s="913"/>
      <c r="L70" s="913"/>
      <c r="M70" s="913"/>
      <c r="N70" s="913"/>
      <c r="O70" s="913"/>
      <c r="P70" s="913"/>
      <c r="Q70" s="913"/>
      <c r="R70" s="913"/>
      <c r="S70" s="913"/>
      <c r="T70" s="913"/>
      <c r="U70" s="913"/>
      <c r="V70" s="913"/>
      <c r="W70" s="913">
        <v>15.015000000000001</v>
      </c>
      <c r="X70" s="913">
        <v>15.175000000000001</v>
      </c>
      <c r="Y70" s="913">
        <v>15.32</v>
      </c>
      <c r="Z70" s="913">
        <v>15.505000000000001</v>
      </c>
      <c r="AA70" s="913">
        <v>15.629999999999999</v>
      </c>
      <c r="AB70" s="913">
        <v>15.79</v>
      </c>
      <c r="AC70" s="913">
        <v>15.895</v>
      </c>
      <c r="AD70" s="913">
        <v>15.969999999999999</v>
      </c>
      <c r="AE70" s="913">
        <v>16.094999999999999</v>
      </c>
      <c r="AF70" s="913">
        <v>16.274999999999999</v>
      </c>
      <c r="AG70" s="913">
        <v>16.420000000000002</v>
      </c>
      <c r="AH70" s="913">
        <v>16.59</v>
      </c>
      <c r="AI70" s="913">
        <v>16.744999999999997</v>
      </c>
      <c r="AJ70" s="913">
        <v>16.91</v>
      </c>
      <c r="AK70" s="913">
        <v>17.100000000000001</v>
      </c>
      <c r="AL70" s="913">
        <v>17.29</v>
      </c>
      <c r="AM70" s="913">
        <v>17.46</v>
      </c>
      <c r="AN70" s="913">
        <v>17.585000000000001</v>
      </c>
      <c r="AO70" s="913">
        <v>17.68</v>
      </c>
      <c r="AP70" s="913">
        <v>17.760000000000002</v>
      </c>
      <c r="AQ70" s="913">
        <v>17.840000000000003</v>
      </c>
      <c r="AR70" s="913">
        <v>17.914999999999999</v>
      </c>
      <c r="AS70" s="913">
        <v>17.975000000000001</v>
      </c>
      <c r="AT70" s="913">
        <v>18.03</v>
      </c>
      <c r="AU70" s="913">
        <v>18.094999999999999</v>
      </c>
      <c r="AV70" s="913">
        <v>18.174999999999997</v>
      </c>
      <c r="AW70" s="913">
        <v>18.314999999999998</v>
      </c>
      <c r="AX70" s="913">
        <v>18.405000000000001</v>
      </c>
      <c r="AY70" s="913">
        <v>18.509999999999998</v>
      </c>
      <c r="AZ70" s="913">
        <v>18.625</v>
      </c>
      <c r="BA70" s="913">
        <v>18.740000000000002</v>
      </c>
      <c r="BB70" s="913">
        <v>18.86</v>
      </c>
      <c r="BC70" s="913">
        <v>18.975000000000001</v>
      </c>
      <c r="BD70" s="913">
        <v>19.09</v>
      </c>
      <c r="BE70" s="913">
        <v>19.2</v>
      </c>
      <c r="BF70" s="913">
        <v>19.314999999999998</v>
      </c>
      <c r="BG70" s="913">
        <v>19.43</v>
      </c>
      <c r="BH70" s="913">
        <v>19.545000000000002</v>
      </c>
      <c r="BI70" s="913">
        <v>19.655000000000001</v>
      </c>
      <c r="BJ70" s="913">
        <v>19.77</v>
      </c>
      <c r="BK70" s="913">
        <v>19.880000000000003</v>
      </c>
      <c r="BL70" s="913">
        <v>19.994999999999997</v>
      </c>
      <c r="BM70" s="913">
        <v>20.105</v>
      </c>
      <c r="BN70" s="913">
        <v>20.22</v>
      </c>
      <c r="BO70" s="913">
        <v>20.329999999999998</v>
      </c>
      <c r="BP70" s="913">
        <v>20.439999999999998</v>
      </c>
      <c r="BQ70" s="913">
        <v>20.555</v>
      </c>
      <c r="BR70" s="913">
        <v>20.66</v>
      </c>
      <c r="BS70" s="913">
        <v>20.770000000000003</v>
      </c>
      <c r="BT70" s="914">
        <v>20.88</v>
      </c>
      <c r="BU70" s="913">
        <v>20.984999999999999</v>
      </c>
      <c r="BV70" s="913">
        <v>21.094999999999999</v>
      </c>
      <c r="BW70" s="913">
        <v>21.204999999999998</v>
      </c>
      <c r="BX70" s="913">
        <v>21.310000000000002</v>
      </c>
      <c r="BY70" s="913">
        <v>21.42</v>
      </c>
      <c r="BZ70" s="913">
        <v>21.524999999999999</v>
      </c>
      <c r="CA70" s="913">
        <v>21.63</v>
      </c>
      <c r="CB70" s="913">
        <v>21.740000000000002</v>
      </c>
      <c r="CC70" s="913">
        <v>21.84</v>
      </c>
      <c r="CD70" s="913">
        <v>21.945</v>
      </c>
      <c r="CE70" s="913">
        <v>22.055</v>
      </c>
      <c r="CF70" s="913">
        <v>22.155000000000001</v>
      </c>
      <c r="CG70" s="913">
        <v>22.259999999999998</v>
      </c>
      <c r="CH70" s="913">
        <v>22.36</v>
      </c>
      <c r="CI70" s="913">
        <v>22.465</v>
      </c>
      <c r="CJ70" s="913">
        <v>22.564999999999998</v>
      </c>
      <c r="CK70" s="913">
        <v>22.664999999999999</v>
      </c>
      <c r="CL70" s="913">
        <v>22.77</v>
      </c>
      <c r="CM70" s="913">
        <v>22.869999999999997</v>
      </c>
      <c r="CN70" s="913">
        <v>22.965</v>
      </c>
      <c r="CO70" s="913">
        <v>23.064999999999998</v>
      </c>
      <c r="CP70" s="913">
        <v>23.164999999999999</v>
      </c>
      <c r="CQ70" s="913">
        <v>23.259999999999998</v>
      </c>
      <c r="CR70" s="913">
        <v>23.36</v>
      </c>
      <c r="CS70" s="913">
        <v>23.46</v>
      </c>
      <c r="CT70" s="913">
        <v>23.555</v>
      </c>
      <c r="CU70" s="913">
        <v>23.655000000000001</v>
      </c>
      <c r="CV70" s="913">
        <v>23.744999999999997</v>
      </c>
      <c r="CW70" s="913">
        <v>23.84</v>
      </c>
      <c r="CX70" s="913">
        <v>23.939999999999998</v>
      </c>
      <c r="CY70" s="913">
        <v>24.03</v>
      </c>
      <c r="CZ70" s="913">
        <v>24.125</v>
      </c>
      <c r="DA70" s="913">
        <v>24.215</v>
      </c>
      <c r="DB70" s="913">
        <v>24.310000000000002</v>
      </c>
      <c r="DC70" s="913">
        <v>24.4</v>
      </c>
      <c r="DD70" s="913">
        <v>24.490000000000002</v>
      </c>
      <c r="DE70" s="913">
        <v>24.585000000000001</v>
      </c>
      <c r="DF70" s="913">
        <v>24.675000000000001</v>
      </c>
      <c r="DG70" s="913">
        <v>24.765000000000001</v>
      </c>
      <c r="DH70" s="913">
        <v>24.85</v>
      </c>
      <c r="DI70" s="913">
        <v>24.939999999999998</v>
      </c>
      <c r="DJ70" s="913">
        <v>25.03</v>
      </c>
      <c r="DK70" s="913">
        <v>25.115000000000002</v>
      </c>
      <c r="DL70" s="913">
        <v>25.204999999999998</v>
      </c>
      <c r="DM70" s="913">
        <v>25.29</v>
      </c>
      <c r="DN70" s="913">
        <v>25.375</v>
      </c>
      <c r="DO70" s="913">
        <v>25.46</v>
      </c>
      <c r="DP70" s="913">
        <v>25.545000000000002</v>
      </c>
      <c r="DQ70" s="913">
        <v>25.63</v>
      </c>
      <c r="DR70" s="913">
        <v>25.71</v>
      </c>
    </row>
    <row r="71" spans="1:122" s="127" customFormat="1" ht="12.75">
      <c r="A71" s="917">
        <v>69</v>
      </c>
      <c r="B71" s="913"/>
      <c r="C71" s="913"/>
      <c r="D71" s="913"/>
      <c r="E71" s="913"/>
      <c r="F71" s="913"/>
      <c r="G71" s="913"/>
      <c r="H71" s="913"/>
      <c r="I71" s="913"/>
      <c r="J71" s="913"/>
      <c r="K71" s="913"/>
      <c r="L71" s="913"/>
      <c r="M71" s="913"/>
      <c r="N71" s="913"/>
      <c r="O71" s="913"/>
      <c r="P71" s="913"/>
      <c r="Q71" s="913"/>
      <c r="R71" s="913"/>
      <c r="S71" s="913"/>
      <c r="T71" s="913"/>
      <c r="U71" s="913"/>
      <c r="V71" s="913"/>
      <c r="W71" s="913">
        <v>14.375</v>
      </c>
      <c r="X71" s="913">
        <v>14.525</v>
      </c>
      <c r="Y71" s="913">
        <v>14.664999999999999</v>
      </c>
      <c r="Z71" s="913">
        <v>14.85</v>
      </c>
      <c r="AA71" s="913">
        <v>14.965</v>
      </c>
      <c r="AB71" s="913">
        <v>15.12</v>
      </c>
      <c r="AC71" s="913">
        <v>15.239999999999998</v>
      </c>
      <c r="AD71" s="913">
        <v>15.3</v>
      </c>
      <c r="AE71" s="913">
        <v>15.42</v>
      </c>
      <c r="AF71" s="913">
        <v>15.594999999999999</v>
      </c>
      <c r="AG71" s="913">
        <v>15.734999999999999</v>
      </c>
      <c r="AH71" s="913">
        <v>15.89</v>
      </c>
      <c r="AI71" s="913">
        <v>16.04</v>
      </c>
      <c r="AJ71" s="913">
        <v>16.21</v>
      </c>
      <c r="AK71" s="913">
        <v>16.38</v>
      </c>
      <c r="AL71" s="913">
        <v>16.555</v>
      </c>
      <c r="AM71" s="913">
        <v>16.72</v>
      </c>
      <c r="AN71" s="913">
        <v>16.835000000000001</v>
      </c>
      <c r="AO71" s="913">
        <v>16.93</v>
      </c>
      <c r="AP71" s="913">
        <v>17.009999999999998</v>
      </c>
      <c r="AQ71" s="913">
        <v>17.085000000000001</v>
      </c>
      <c r="AR71" s="913">
        <v>17.164999999999999</v>
      </c>
      <c r="AS71" s="913">
        <v>17.225000000000001</v>
      </c>
      <c r="AT71" s="913">
        <v>17.29</v>
      </c>
      <c r="AU71" s="913">
        <v>17.350000000000001</v>
      </c>
      <c r="AV71" s="913">
        <v>17.439999999999998</v>
      </c>
      <c r="AW71" s="913">
        <v>17.574999999999999</v>
      </c>
      <c r="AX71" s="913">
        <v>17.670000000000002</v>
      </c>
      <c r="AY71" s="913">
        <v>17.78</v>
      </c>
      <c r="AZ71" s="913">
        <v>17.89</v>
      </c>
      <c r="BA71" s="913">
        <v>18.004999999999999</v>
      </c>
      <c r="BB71" s="913">
        <v>18.114999999999998</v>
      </c>
      <c r="BC71" s="913">
        <v>18.225000000000001</v>
      </c>
      <c r="BD71" s="913">
        <v>18.34</v>
      </c>
      <c r="BE71" s="913">
        <v>18.45</v>
      </c>
      <c r="BF71" s="913">
        <v>18.560000000000002</v>
      </c>
      <c r="BG71" s="913">
        <v>18.674999999999997</v>
      </c>
      <c r="BH71" s="913">
        <v>18.78</v>
      </c>
      <c r="BI71" s="913">
        <v>18.89</v>
      </c>
      <c r="BJ71" s="913">
        <v>19.005000000000003</v>
      </c>
      <c r="BK71" s="913">
        <v>19.11</v>
      </c>
      <c r="BL71" s="913">
        <v>19.22</v>
      </c>
      <c r="BM71" s="913">
        <v>19.329999999999998</v>
      </c>
      <c r="BN71" s="913">
        <v>19.439999999999998</v>
      </c>
      <c r="BO71" s="913">
        <v>19.55</v>
      </c>
      <c r="BP71" s="913">
        <v>19.655000000000001</v>
      </c>
      <c r="BQ71" s="913">
        <v>19.765000000000001</v>
      </c>
      <c r="BR71" s="913">
        <v>19.87</v>
      </c>
      <c r="BS71" s="913">
        <v>19.975000000000001</v>
      </c>
      <c r="BT71" s="914">
        <v>20.085000000000001</v>
      </c>
      <c r="BU71" s="913">
        <v>20.190000000000001</v>
      </c>
      <c r="BV71" s="913">
        <v>20.29</v>
      </c>
      <c r="BW71" s="913">
        <v>20.395</v>
      </c>
      <c r="BX71" s="913">
        <v>20.505000000000003</v>
      </c>
      <c r="BY71" s="913">
        <v>20.61</v>
      </c>
      <c r="BZ71" s="913">
        <v>20.71</v>
      </c>
      <c r="CA71" s="913">
        <v>20.814999999999998</v>
      </c>
      <c r="CB71" s="913">
        <v>20.914999999999999</v>
      </c>
      <c r="CC71" s="913">
        <v>21.02</v>
      </c>
      <c r="CD71" s="913">
        <v>21.12</v>
      </c>
      <c r="CE71" s="913">
        <v>21.225000000000001</v>
      </c>
      <c r="CF71" s="913">
        <v>21.324999999999999</v>
      </c>
      <c r="CG71" s="913">
        <v>21.425000000000001</v>
      </c>
      <c r="CH71" s="913">
        <v>21.524999999999999</v>
      </c>
      <c r="CI71" s="913">
        <v>21.625</v>
      </c>
      <c r="CJ71" s="913">
        <v>21.725000000000001</v>
      </c>
      <c r="CK71" s="913">
        <v>21.82</v>
      </c>
      <c r="CL71" s="913">
        <v>21.92</v>
      </c>
      <c r="CM71" s="913">
        <v>22.02</v>
      </c>
      <c r="CN71" s="913">
        <v>22.115000000000002</v>
      </c>
      <c r="CO71" s="913">
        <v>22.215</v>
      </c>
      <c r="CP71" s="913">
        <v>22.31</v>
      </c>
      <c r="CQ71" s="913">
        <v>22.405000000000001</v>
      </c>
      <c r="CR71" s="913">
        <v>22.505000000000003</v>
      </c>
      <c r="CS71" s="913">
        <v>22.594999999999999</v>
      </c>
      <c r="CT71" s="913">
        <v>22.689999999999998</v>
      </c>
      <c r="CU71" s="913">
        <v>22.785</v>
      </c>
      <c r="CV71" s="913">
        <v>22.875</v>
      </c>
      <c r="CW71" s="913">
        <v>22.975000000000001</v>
      </c>
      <c r="CX71" s="913">
        <v>23.064999999999998</v>
      </c>
      <c r="CY71" s="913">
        <v>23.16</v>
      </c>
      <c r="CZ71" s="913">
        <v>23.25</v>
      </c>
      <c r="DA71" s="913">
        <v>23.335000000000001</v>
      </c>
      <c r="DB71" s="913">
        <v>23.43</v>
      </c>
      <c r="DC71" s="913">
        <v>23.520000000000003</v>
      </c>
      <c r="DD71" s="913">
        <v>23.61</v>
      </c>
      <c r="DE71" s="913">
        <v>23.695</v>
      </c>
      <c r="DF71" s="913">
        <v>23.785</v>
      </c>
      <c r="DG71" s="913">
        <v>23.875</v>
      </c>
      <c r="DH71" s="913">
        <v>23.96</v>
      </c>
      <c r="DI71" s="913">
        <v>24.045000000000002</v>
      </c>
      <c r="DJ71" s="913">
        <v>24.134999999999998</v>
      </c>
      <c r="DK71" s="913">
        <v>24.22</v>
      </c>
      <c r="DL71" s="913">
        <v>24.310000000000002</v>
      </c>
      <c r="DM71" s="913">
        <v>24.39</v>
      </c>
      <c r="DN71" s="913">
        <v>24.475000000000001</v>
      </c>
      <c r="DO71" s="913">
        <v>24.560000000000002</v>
      </c>
      <c r="DP71" s="913">
        <v>24.64</v>
      </c>
      <c r="DQ71" s="913">
        <v>24.725000000000001</v>
      </c>
      <c r="DR71" s="913">
        <v>24.805</v>
      </c>
    </row>
    <row r="72" spans="1:122" s="127" customFormat="1" ht="12.75">
      <c r="A72" s="917">
        <v>70</v>
      </c>
      <c r="B72" s="913"/>
      <c r="C72" s="913"/>
      <c r="D72" s="913"/>
      <c r="E72" s="913"/>
      <c r="F72" s="913"/>
      <c r="G72" s="913"/>
      <c r="H72" s="913"/>
      <c r="I72" s="913"/>
      <c r="J72" s="913"/>
      <c r="K72" s="913"/>
      <c r="L72" s="913"/>
      <c r="M72" s="913"/>
      <c r="N72" s="913"/>
      <c r="O72" s="913"/>
      <c r="P72" s="913"/>
      <c r="Q72" s="913"/>
      <c r="R72" s="913"/>
      <c r="S72" s="913"/>
      <c r="T72" s="913"/>
      <c r="U72" s="913"/>
      <c r="V72" s="913"/>
      <c r="W72" s="913">
        <v>13.74</v>
      </c>
      <c r="X72" s="913">
        <v>13.885</v>
      </c>
      <c r="Y72" s="913">
        <v>14.025</v>
      </c>
      <c r="Z72" s="913">
        <v>14.205</v>
      </c>
      <c r="AA72" s="913">
        <v>14.315000000000001</v>
      </c>
      <c r="AB72" s="913">
        <v>14.48</v>
      </c>
      <c r="AC72" s="913">
        <v>14.58</v>
      </c>
      <c r="AD72" s="913">
        <v>14.64</v>
      </c>
      <c r="AE72" s="913">
        <v>14.76</v>
      </c>
      <c r="AF72" s="913">
        <v>14.914999999999999</v>
      </c>
      <c r="AG72" s="913">
        <v>15.044999999999998</v>
      </c>
      <c r="AH72" s="913">
        <v>15.195</v>
      </c>
      <c r="AI72" s="913">
        <v>15.344999999999999</v>
      </c>
      <c r="AJ72" s="913">
        <v>15.504999999999999</v>
      </c>
      <c r="AK72" s="913">
        <v>15.67</v>
      </c>
      <c r="AL72" s="913">
        <v>15.835000000000001</v>
      </c>
      <c r="AM72" s="913">
        <v>15.984999999999999</v>
      </c>
      <c r="AN72" s="913">
        <v>16.100000000000001</v>
      </c>
      <c r="AO72" s="913">
        <v>16.195</v>
      </c>
      <c r="AP72" s="913">
        <v>16.265000000000001</v>
      </c>
      <c r="AQ72" s="913">
        <v>16.344999999999999</v>
      </c>
      <c r="AR72" s="913">
        <v>16.425000000000001</v>
      </c>
      <c r="AS72" s="913">
        <v>16.490000000000002</v>
      </c>
      <c r="AT72" s="913">
        <v>16.545000000000002</v>
      </c>
      <c r="AU72" s="913">
        <v>16.614999999999998</v>
      </c>
      <c r="AV72" s="913">
        <v>16.71</v>
      </c>
      <c r="AW72" s="913">
        <v>16.844999999999999</v>
      </c>
      <c r="AX72" s="913">
        <v>16.95</v>
      </c>
      <c r="AY72" s="913">
        <v>17.055</v>
      </c>
      <c r="AZ72" s="913">
        <v>17.164999999999999</v>
      </c>
      <c r="BA72" s="913">
        <v>17.27</v>
      </c>
      <c r="BB72" s="913">
        <v>17.38</v>
      </c>
      <c r="BC72" s="913">
        <v>17.490000000000002</v>
      </c>
      <c r="BD72" s="913">
        <v>17.594999999999999</v>
      </c>
      <c r="BE72" s="913">
        <v>17.704999999999998</v>
      </c>
      <c r="BF72" s="913">
        <v>17.814999999999998</v>
      </c>
      <c r="BG72" s="913">
        <v>17.920000000000002</v>
      </c>
      <c r="BH72" s="913">
        <v>18.024999999999999</v>
      </c>
      <c r="BI72" s="913">
        <v>18.134999999999998</v>
      </c>
      <c r="BJ72" s="913">
        <v>18.240000000000002</v>
      </c>
      <c r="BK72" s="913">
        <v>18.344999999999999</v>
      </c>
      <c r="BL72" s="913">
        <v>18.450000000000003</v>
      </c>
      <c r="BM72" s="913">
        <v>18.555</v>
      </c>
      <c r="BN72" s="913">
        <v>18.664999999999999</v>
      </c>
      <c r="BO72" s="913">
        <v>18.770000000000003</v>
      </c>
      <c r="BP72" s="913">
        <v>18.875</v>
      </c>
      <c r="BQ72" s="913">
        <v>18.975000000000001</v>
      </c>
      <c r="BR72" s="913">
        <v>19.079999999999998</v>
      </c>
      <c r="BS72" s="913">
        <v>19.184999999999999</v>
      </c>
      <c r="BT72" s="914">
        <v>19.29</v>
      </c>
      <c r="BU72" s="913">
        <v>19.39</v>
      </c>
      <c r="BV72" s="913">
        <v>19.495000000000001</v>
      </c>
      <c r="BW72" s="913">
        <v>19.594999999999999</v>
      </c>
      <c r="BX72" s="913">
        <v>19.7</v>
      </c>
      <c r="BY72" s="913">
        <v>19.795000000000002</v>
      </c>
      <c r="BZ72" s="913">
        <v>19.899999999999999</v>
      </c>
      <c r="CA72" s="913">
        <v>20</v>
      </c>
      <c r="CB72" s="913">
        <v>20.100000000000001</v>
      </c>
      <c r="CC72" s="913">
        <v>20.200000000000003</v>
      </c>
      <c r="CD72" s="913">
        <v>20.3</v>
      </c>
      <c r="CE72" s="913">
        <v>20.399999999999999</v>
      </c>
      <c r="CF72" s="913">
        <v>20.495000000000001</v>
      </c>
      <c r="CG72" s="913">
        <v>20.594999999999999</v>
      </c>
      <c r="CH72" s="913">
        <v>20.689999999999998</v>
      </c>
      <c r="CI72" s="913">
        <v>20.79</v>
      </c>
      <c r="CJ72" s="913">
        <v>20.884999999999998</v>
      </c>
      <c r="CK72" s="913">
        <v>20.98</v>
      </c>
      <c r="CL72" s="913">
        <v>21.08</v>
      </c>
      <c r="CM72" s="913">
        <v>21.175000000000001</v>
      </c>
      <c r="CN72" s="913">
        <v>21.27</v>
      </c>
      <c r="CO72" s="913">
        <v>21.365000000000002</v>
      </c>
      <c r="CP72" s="913">
        <v>21.454999999999998</v>
      </c>
      <c r="CQ72" s="913">
        <v>21.555</v>
      </c>
      <c r="CR72" s="913">
        <v>21.645</v>
      </c>
      <c r="CS72" s="913">
        <v>21.740000000000002</v>
      </c>
      <c r="CT72" s="913">
        <v>21.835000000000001</v>
      </c>
      <c r="CU72" s="913">
        <v>21.92</v>
      </c>
      <c r="CV72" s="913">
        <v>22.009999999999998</v>
      </c>
      <c r="CW72" s="913">
        <v>22.105</v>
      </c>
      <c r="CX72" s="913">
        <v>22.195</v>
      </c>
      <c r="CY72" s="913">
        <v>22.285</v>
      </c>
      <c r="CZ72" s="913">
        <v>22.375</v>
      </c>
      <c r="DA72" s="913">
        <v>22.465</v>
      </c>
      <c r="DB72" s="913">
        <v>22.555</v>
      </c>
      <c r="DC72" s="913">
        <v>22.64</v>
      </c>
      <c r="DD72" s="913">
        <v>22.73</v>
      </c>
      <c r="DE72" s="913">
        <v>22.815000000000001</v>
      </c>
      <c r="DF72" s="913">
        <v>22.9</v>
      </c>
      <c r="DG72" s="913">
        <v>22.990000000000002</v>
      </c>
      <c r="DH72" s="913">
        <v>23.074999999999999</v>
      </c>
      <c r="DI72" s="913">
        <v>23.155000000000001</v>
      </c>
      <c r="DJ72" s="913">
        <v>23.24</v>
      </c>
      <c r="DK72" s="913">
        <v>23.33</v>
      </c>
      <c r="DL72" s="913">
        <v>23.41</v>
      </c>
      <c r="DM72" s="913">
        <v>23.494999999999997</v>
      </c>
      <c r="DN72" s="913">
        <v>23.58</v>
      </c>
      <c r="DO72" s="913">
        <v>23.66</v>
      </c>
      <c r="DP72" s="913">
        <v>23.744999999999997</v>
      </c>
      <c r="DQ72" s="913">
        <v>23.82</v>
      </c>
      <c r="DR72" s="913">
        <v>23.9</v>
      </c>
    </row>
    <row r="73" spans="1:122" s="127" customFormat="1" ht="12.75">
      <c r="A73" s="917">
        <v>71</v>
      </c>
      <c r="B73" s="913"/>
      <c r="C73" s="913"/>
      <c r="D73" s="913"/>
      <c r="E73" s="913"/>
      <c r="F73" s="913"/>
      <c r="G73" s="913"/>
      <c r="H73" s="913"/>
      <c r="I73" s="913"/>
      <c r="J73" s="913"/>
      <c r="K73" s="913"/>
      <c r="L73" s="913"/>
      <c r="M73" s="913"/>
      <c r="N73" s="913"/>
      <c r="O73" s="913"/>
      <c r="P73" s="913"/>
      <c r="Q73" s="913"/>
      <c r="R73" s="913"/>
      <c r="S73" s="913"/>
      <c r="T73" s="913"/>
      <c r="U73" s="913"/>
      <c r="V73" s="913"/>
      <c r="W73" s="913">
        <v>13.115</v>
      </c>
      <c r="X73" s="913">
        <v>13.260000000000002</v>
      </c>
      <c r="Y73" s="913">
        <v>13.395</v>
      </c>
      <c r="Z73" s="913">
        <v>13.58</v>
      </c>
      <c r="AA73" s="913">
        <v>13.68</v>
      </c>
      <c r="AB73" s="913">
        <v>13.824999999999999</v>
      </c>
      <c r="AC73" s="913">
        <v>13.93</v>
      </c>
      <c r="AD73" s="913">
        <v>13.984999999999999</v>
      </c>
      <c r="AE73" s="913">
        <v>14.094999999999999</v>
      </c>
      <c r="AF73" s="913">
        <v>14.25</v>
      </c>
      <c r="AG73" s="913">
        <v>14.365</v>
      </c>
      <c r="AH73" s="913">
        <v>14.52</v>
      </c>
      <c r="AI73" s="913">
        <v>14.654999999999999</v>
      </c>
      <c r="AJ73" s="913">
        <v>14.81</v>
      </c>
      <c r="AK73" s="913">
        <v>14.95</v>
      </c>
      <c r="AL73" s="913">
        <v>15.114999999999998</v>
      </c>
      <c r="AM73" s="913">
        <v>15.254999999999999</v>
      </c>
      <c r="AN73" s="913">
        <v>15.370000000000001</v>
      </c>
      <c r="AO73" s="913">
        <v>15.465</v>
      </c>
      <c r="AP73" s="913">
        <v>15.535</v>
      </c>
      <c r="AQ73" s="913">
        <v>15.615</v>
      </c>
      <c r="AR73" s="913">
        <v>15.695</v>
      </c>
      <c r="AS73" s="913">
        <v>15.75</v>
      </c>
      <c r="AT73" s="913">
        <v>15.824999999999999</v>
      </c>
      <c r="AU73" s="913">
        <v>15.904999999999999</v>
      </c>
      <c r="AV73" s="913">
        <v>16.004999999999999</v>
      </c>
      <c r="AW73" s="913">
        <v>16.13</v>
      </c>
      <c r="AX73" s="913">
        <v>16.23</v>
      </c>
      <c r="AY73" s="913">
        <v>16.335000000000001</v>
      </c>
      <c r="AZ73" s="913">
        <v>16.440000000000001</v>
      </c>
      <c r="BA73" s="913">
        <v>16.544999999999998</v>
      </c>
      <c r="BB73" s="913">
        <v>16.649999999999999</v>
      </c>
      <c r="BC73" s="913">
        <v>16.755000000000003</v>
      </c>
      <c r="BD73" s="913">
        <v>16.86</v>
      </c>
      <c r="BE73" s="913">
        <v>16.965</v>
      </c>
      <c r="BF73" s="913">
        <v>17.07</v>
      </c>
      <c r="BG73" s="913">
        <v>17.175000000000001</v>
      </c>
      <c r="BH73" s="913">
        <v>17.28</v>
      </c>
      <c r="BI73" s="913">
        <v>17.375</v>
      </c>
      <c r="BJ73" s="913">
        <v>17.48</v>
      </c>
      <c r="BK73" s="913">
        <v>17.585000000000001</v>
      </c>
      <c r="BL73" s="913">
        <v>17.689999999999998</v>
      </c>
      <c r="BM73" s="913">
        <v>17.79</v>
      </c>
      <c r="BN73" s="913">
        <v>17.895</v>
      </c>
      <c r="BO73" s="913">
        <v>17.995000000000001</v>
      </c>
      <c r="BP73" s="913">
        <v>18.094999999999999</v>
      </c>
      <c r="BQ73" s="913">
        <v>18.2</v>
      </c>
      <c r="BR73" s="913">
        <v>18.295000000000002</v>
      </c>
      <c r="BS73" s="913">
        <v>18.399999999999999</v>
      </c>
      <c r="BT73" s="914">
        <v>18.5</v>
      </c>
      <c r="BU73" s="913">
        <v>18.594999999999999</v>
      </c>
      <c r="BV73" s="913">
        <v>18.700000000000003</v>
      </c>
      <c r="BW73" s="913">
        <v>18.795000000000002</v>
      </c>
      <c r="BX73" s="913">
        <v>18.895000000000003</v>
      </c>
      <c r="BY73" s="913">
        <v>18.990000000000002</v>
      </c>
      <c r="BZ73" s="913">
        <v>19.094999999999999</v>
      </c>
      <c r="CA73" s="913">
        <v>19.189999999999998</v>
      </c>
      <c r="CB73" s="913">
        <v>19.29</v>
      </c>
      <c r="CC73" s="913">
        <v>19.384999999999998</v>
      </c>
      <c r="CD73" s="913">
        <v>19.48</v>
      </c>
      <c r="CE73" s="913">
        <v>19.579999999999998</v>
      </c>
      <c r="CF73" s="913">
        <v>19.675000000000001</v>
      </c>
      <c r="CG73" s="913">
        <v>19.770000000000003</v>
      </c>
      <c r="CH73" s="913">
        <v>19.865000000000002</v>
      </c>
      <c r="CI73" s="913">
        <v>19.954999999999998</v>
      </c>
      <c r="CJ73" s="913">
        <v>20.049999999999997</v>
      </c>
      <c r="CK73" s="913">
        <v>20.149999999999999</v>
      </c>
      <c r="CL73" s="913">
        <v>20.244999999999997</v>
      </c>
      <c r="CM73" s="913">
        <v>20.335000000000001</v>
      </c>
      <c r="CN73" s="913">
        <v>20.425000000000001</v>
      </c>
      <c r="CO73" s="913">
        <v>20.515000000000001</v>
      </c>
      <c r="CP73" s="913">
        <v>20.61</v>
      </c>
      <c r="CQ73" s="913">
        <v>20.700000000000003</v>
      </c>
      <c r="CR73" s="913">
        <v>20.795000000000002</v>
      </c>
      <c r="CS73" s="913">
        <v>20.884999999999998</v>
      </c>
      <c r="CT73" s="913">
        <v>20.97</v>
      </c>
      <c r="CU73" s="913">
        <v>21.064999999999998</v>
      </c>
      <c r="CV73" s="913">
        <v>21.155000000000001</v>
      </c>
      <c r="CW73" s="913">
        <v>21.240000000000002</v>
      </c>
      <c r="CX73" s="913">
        <v>21.33</v>
      </c>
      <c r="CY73" s="913">
        <v>21.414999999999999</v>
      </c>
      <c r="CZ73" s="913">
        <v>21.504999999999999</v>
      </c>
      <c r="DA73" s="913">
        <v>21.594999999999999</v>
      </c>
      <c r="DB73" s="913">
        <v>21.674999999999997</v>
      </c>
      <c r="DC73" s="913">
        <v>21.765000000000001</v>
      </c>
      <c r="DD73" s="913">
        <v>21.85</v>
      </c>
      <c r="DE73" s="913">
        <v>21.935000000000002</v>
      </c>
      <c r="DF73" s="913">
        <v>22.02</v>
      </c>
      <c r="DG73" s="913">
        <v>22.105</v>
      </c>
      <c r="DH73" s="913">
        <v>22.185000000000002</v>
      </c>
      <c r="DI73" s="913">
        <v>22.27</v>
      </c>
      <c r="DJ73" s="913">
        <v>22.354999999999997</v>
      </c>
      <c r="DK73" s="913">
        <v>22.434999999999999</v>
      </c>
      <c r="DL73" s="913">
        <v>22.52</v>
      </c>
      <c r="DM73" s="913">
        <v>22.6</v>
      </c>
      <c r="DN73" s="913">
        <v>22.68</v>
      </c>
      <c r="DO73" s="913">
        <v>22.759999999999998</v>
      </c>
      <c r="DP73" s="913">
        <v>22.84</v>
      </c>
      <c r="DQ73" s="913">
        <v>22.92</v>
      </c>
      <c r="DR73" s="913">
        <v>23</v>
      </c>
    </row>
    <row r="74" spans="1:122" s="127" customFormat="1" ht="12.75">
      <c r="A74" s="917">
        <v>72</v>
      </c>
      <c r="B74" s="913"/>
      <c r="C74" s="913"/>
      <c r="D74" s="913"/>
      <c r="E74" s="913"/>
      <c r="F74" s="913"/>
      <c r="G74" s="913"/>
      <c r="H74" s="913"/>
      <c r="I74" s="913"/>
      <c r="J74" s="913"/>
      <c r="K74" s="913"/>
      <c r="L74" s="913"/>
      <c r="M74" s="913"/>
      <c r="N74" s="913"/>
      <c r="O74" s="913"/>
      <c r="P74" s="913"/>
      <c r="Q74" s="913"/>
      <c r="R74" s="913"/>
      <c r="S74" s="913"/>
      <c r="T74" s="913"/>
      <c r="U74" s="913"/>
      <c r="V74" s="913"/>
      <c r="W74" s="913">
        <v>12.51</v>
      </c>
      <c r="X74" s="913">
        <v>12.645</v>
      </c>
      <c r="Y74" s="913">
        <v>12.775</v>
      </c>
      <c r="Z74" s="913">
        <v>12.965</v>
      </c>
      <c r="AA74" s="913">
        <v>13.05</v>
      </c>
      <c r="AB74" s="913">
        <v>13.19</v>
      </c>
      <c r="AC74" s="913">
        <v>13.29</v>
      </c>
      <c r="AD74" s="913">
        <v>13.34</v>
      </c>
      <c r="AE74" s="913">
        <v>13.434999999999999</v>
      </c>
      <c r="AF74" s="913">
        <v>13.59</v>
      </c>
      <c r="AG74" s="913">
        <v>13.705</v>
      </c>
      <c r="AH74" s="913">
        <v>13.844999999999999</v>
      </c>
      <c r="AI74" s="913">
        <v>13.97</v>
      </c>
      <c r="AJ74" s="913">
        <v>14.114999999999998</v>
      </c>
      <c r="AK74" s="913">
        <v>14.25</v>
      </c>
      <c r="AL74" s="913">
        <v>14.405000000000001</v>
      </c>
      <c r="AM74" s="913">
        <v>14.545</v>
      </c>
      <c r="AN74" s="913">
        <v>14.645</v>
      </c>
      <c r="AO74" s="913">
        <v>14.74</v>
      </c>
      <c r="AP74" s="913">
        <v>14.815</v>
      </c>
      <c r="AQ74" s="913">
        <v>14.89</v>
      </c>
      <c r="AR74" s="913">
        <v>14.965</v>
      </c>
      <c r="AS74" s="913">
        <v>15.040000000000001</v>
      </c>
      <c r="AT74" s="913">
        <v>15.110000000000001</v>
      </c>
      <c r="AU74" s="913">
        <v>15.200000000000001</v>
      </c>
      <c r="AV74" s="913">
        <v>15.31</v>
      </c>
      <c r="AW74" s="913">
        <v>15.414999999999999</v>
      </c>
      <c r="AX74" s="913">
        <v>15.515000000000001</v>
      </c>
      <c r="AY74" s="913">
        <v>15.620000000000001</v>
      </c>
      <c r="AZ74" s="913">
        <v>15.719999999999999</v>
      </c>
      <c r="BA74" s="913">
        <v>15.824999999999999</v>
      </c>
      <c r="BB74" s="913">
        <v>15.925000000000001</v>
      </c>
      <c r="BC74" s="913">
        <v>16.03</v>
      </c>
      <c r="BD74" s="913">
        <v>16.125</v>
      </c>
      <c r="BE74" s="913">
        <v>16.23</v>
      </c>
      <c r="BF74" s="913">
        <v>16.329999999999998</v>
      </c>
      <c r="BG74" s="913">
        <v>16.43</v>
      </c>
      <c r="BH74" s="913">
        <v>16.53</v>
      </c>
      <c r="BI74" s="913">
        <v>16.63</v>
      </c>
      <c r="BJ74" s="913">
        <v>16.73</v>
      </c>
      <c r="BK74" s="913">
        <v>16.829999999999998</v>
      </c>
      <c r="BL74" s="913">
        <v>16.93</v>
      </c>
      <c r="BM74" s="913">
        <v>17.03</v>
      </c>
      <c r="BN74" s="913">
        <v>17.125</v>
      </c>
      <c r="BO74" s="913">
        <v>17.225000000000001</v>
      </c>
      <c r="BP74" s="913">
        <v>17.325000000000003</v>
      </c>
      <c r="BQ74" s="913">
        <v>17.420000000000002</v>
      </c>
      <c r="BR74" s="913">
        <v>17.515000000000001</v>
      </c>
      <c r="BS74" s="913">
        <v>17.619999999999997</v>
      </c>
      <c r="BT74" s="914">
        <v>17.715000000000003</v>
      </c>
      <c r="BU74" s="913">
        <v>17.810000000000002</v>
      </c>
      <c r="BV74" s="913">
        <v>17.905000000000001</v>
      </c>
      <c r="BW74" s="913">
        <v>18.005000000000003</v>
      </c>
      <c r="BX74" s="913">
        <v>18.100000000000001</v>
      </c>
      <c r="BY74" s="913">
        <v>18.195</v>
      </c>
      <c r="BZ74" s="913">
        <v>18.29</v>
      </c>
      <c r="CA74" s="913">
        <v>18.384999999999998</v>
      </c>
      <c r="CB74" s="913">
        <v>18.48</v>
      </c>
      <c r="CC74" s="913">
        <v>18.575000000000003</v>
      </c>
      <c r="CD74" s="913">
        <v>18.664999999999999</v>
      </c>
      <c r="CE74" s="913">
        <v>18.759999999999998</v>
      </c>
      <c r="CF74" s="913">
        <v>18.854999999999997</v>
      </c>
      <c r="CG74" s="913">
        <v>18.95</v>
      </c>
      <c r="CH74" s="913">
        <v>19.04</v>
      </c>
      <c r="CI74" s="913">
        <v>19.134999999999998</v>
      </c>
      <c r="CJ74" s="913">
        <v>19.225000000000001</v>
      </c>
      <c r="CK74" s="913">
        <v>19.315000000000001</v>
      </c>
      <c r="CL74" s="913">
        <v>19.405000000000001</v>
      </c>
      <c r="CM74" s="913">
        <v>19.5</v>
      </c>
      <c r="CN74" s="913">
        <v>19.585000000000001</v>
      </c>
      <c r="CO74" s="913">
        <v>19.68</v>
      </c>
      <c r="CP74" s="913">
        <v>19.77</v>
      </c>
      <c r="CQ74" s="913">
        <v>19.855</v>
      </c>
      <c r="CR74" s="913">
        <v>19.945</v>
      </c>
      <c r="CS74" s="913">
        <v>20.035</v>
      </c>
      <c r="CT74" s="913">
        <v>20.12</v>
      </c>
      <c r="CU74" s="913">
        <v>20.21</v>
      </c>
      <c r="CV74" s="913">
        <v>20.295000000000002</v>
      </c>
      <c r="CW74" s="913">
        <v>20.380000000000003</v>
      </c>
      <c r="CX74" s="913">
        <v>20.47</v>
      </c>
      <c r="CY74" s="913">
        <v>20.555</v>
      </c>
      <c r="CZ74" s="913">
        <v>20.64</v>
      </c>
      <c r="DA74" s="913">
        <v>20.725000000000001</v>
      </c>
      <c r="DB74" s="913">
        <v>20.805</v>
      </c>
      <c r="DC74" s="913">
        <v>20.89</v>
      </c>
      <c r="DD74" s="913">
        <v>20.975000000000001</v>
      </c>
      <c r="DE74" s="913">
        <v>21.06</v>
      </c>
      <c r="DF74" s="913">
        <v>21.14</v>
      </c>
      <c r="DG74" s="913">
        <v>21.225000000000001</v>
      </c>
      <c r="DH74" s="913">
        <v>21.305</v>
      </c>
      <c r="DI74" s="913">
        <v>21.39</v>
      </c>
      <c r="DJ74" s="913">
        <v>21.47</v>
      </c>
      <c r="DK74" s="913">
        <v>21.549999999999997</v>
      </c>
      <c r="DL74" s="913">
        <v>21.63</v>
      </c>
      <c r="DM74" s="913">
        <v>21.71</v>
      </c>
      <c r="DN74" s="913">
        <v>21.79</v>
      </c>
      <c r="DO74" s="913">
        <v>21.87</v>
      </c>
      <c r="DP74" s="913">
        <v>21.945</v>
      </c>
      <c r="DQ74" s="913">
        <v>22.024999999999999</v>
      </c>
      <c r="DR74" s="913">
        <v>22.1</v>
      </c>
    </row>
    <row r="75" spans="1:122" s="127" customFormat="1" ht="12.75">
      <c r="A75" s="917">
        <v>73</v>
      </c>
      <c r="B75" s="913"/>
      <c r="C75" s="913"/>
      <c r="D75" s="913"/>
      <c r="E75" s="913"/>
      <c r="F75" s="913"/>
      <c r="G75" s="913"/>
      <c r="H75" s="913"/>
      <c r="I75" s="913"/>
      <c r="J75" s="913"/>
      <c r="K75" s="913"/>
      <c r="L75" s="913"/>
      <c r="M75" s="913"/>
      <c r="N75" s="913"/>
      <c r="O75" s="913"/>
      <c r="P75" s="913"/>
      <c r="Q75" s="913"/>
      <c r="R75" s="913"/>
      <c r="S75" s="913"/>
      <c r="T75" s="913"/>
      <c r="U75" s="913"/>
      <c r="V75" s="913"/>
      <c r="W75" s="913">
        <v>11.925000000000001</v>
      </c>
      <c r="X75" s="913">
        <v>12.045</v>
      </c>
      <c r="Y75" s="913">
        <v>12.185</v>
      </c>
      <c r="Z75" s="913">
        <v>12.35</v>
      </c>
      <c r="AA75" s="913">
        <v>12.434999999999999</v>
      </c>
      <c r="AB75" s="913">
        <v>12.57</v>
      </c>
      <c r="AC75" s="913">
        <v>12.654999999999999</v>
      </c>
      <c r="AD75" s="913">
        <v>12.695</v>
      </c>
      <c r="AE75" s="913">
        <v>12.795</v>
      </c>
      <c r="AF75" s="913">
        <v>12.945</v>
      </c>
      <c r="AG75" s="913">
        <v>13.05</v>
      </c>
      <c r="AH75" s="913">
        <v>13.175000000000001</v>
      </c>
      <c r="AI75" s="913">
        <v>13.295</v>
      </c>
      <c r="AJ75" s="913">
        <v>13.425000000000001</v>
      </c>
      <c r="AK75" s="913">
        <v>13.56</v>
      </c>
      <c r="AL75" s="913">
        <v>13.705</v>
      </c>
      <c r="AM75" s="913">
        <v>13.835000000000001</v>
      </c>
      <c r="AN75" s="913">
        <v>13.94</v>
      </c>
      <c r="AO75" s="913">
        <v>14.03</v>
      </c>
      <c r="AP75" s="913">
        <v>14.105</v>
      </c>
      <c r="AQ75" s="913">
        <v>14.175000000000001</v>
      </c>
      <c r="AR75" s="913">
        <v>14.265000000000001</v>
      </c>
      <c r="AS75" s="913">
        <v>14.33</v>
      </c>
      <c r="AT75" s="913">
        <v>14.41</v>
      </c>
      <c r="AU75" s="913">
        <v>14.504999999999999</v>
      </c>
      <c r="AV75" s="913">
        <v>14.62</v>
      </c>
      <c r="AW75" s="913">
        <v>14.715</v>
      </c>
      <c r="AX75" s="913">
        <v>14.815</v>
      </c>
      <c r="AY75" s="913">
        <v>14.914999999999999</v>
      </c>
      <c r="AZ75" s="913">
        <v>15.01</v>
      </c>
      <c r="BA75" s="913">
        <v>15.11</v>
      </c>
      <c r="BB75" s="913">
        <v>15.205000000000002</v>
      </c>
      <c r="BC75" s="913">
        <v>15.305</v>
      </c>
      <c r="BD75" s="913">
        <v>15.399999999999999</v>
      </c>
      <c r="BE75" s="913">
        <v>15.494999999999999</v>
      </c>
      <c r="BF75" s="913">
        <v>15.594999999999999</v>
      </c>
      <c r="BG75" s="913">
        <v>15.690000000000001</v>
      </c>
      <c r="BH75" s="913">
        <v>15.79</v>
      </c>
      <c r="BI75" s="913">
        <v>15.885</v>
      </c>
      <c r="BJ75" s="913">
        <v>15.984999999999999</v>
      </c>
      <c r="BK75" s="913">
        <v>16.080000000000002</v>
      </c>
      <c r="BL75" s="913">
        <v>16.175000000000001</v>
      </c>
      <c r="BM75" s="913">
        <v>16.27</v>
      </c>
      <c r="BN75" s="913">
        <v>16.365000000000002</v>
      </c>
      <c r="BO75" s="913">
        <v>16.46</v>
      </c>
      <c r="BP75" s="913">
        <v>16.555</v>
      </c>
      <c r="BQ75" s="913">
        <v>16.649999999999999</v>
      </c>
      <c r="BR75" s="913">
        <v>16.745000000000001</v>
      </c>
      <c r="BS75" s="913">
        <v>16.84</v>
      </c>
      <c r="BT75" s="914">
        <v>16.934999999999999</v>
      </c>
      <c r="BU75" s="913">
        <v>17.03</v>
      </c>
      <c r="BV75" s="913">
        <v>17.125</v>
      </c>
      <c r="BW75" s="913">
        <v>17.215</v>
      </c>
      <c r="BX75" s="913">
        <v>17.305</v>
      </c>
      <c r="BY75" s="913">
        <v>17.399999999999999</v>
      </c>
      <c r="BZ75" s="913">
        <v>17.495000000000001</v>
      </c>
      <c r="CA75" s="913">
        <v>17.585000000000001</v>
      </c>
      <c r="CB75" s="913">
        <v>17.674999999999997</v>
      </c>
      <c r="CC75" s="913">
        <v>17.77</v>
      </c>
      <c r="CD75" s="913">
        <v>17.86</v>
      </c>
      <c r="CE75" s="913">
        <v>17.950000000000003</v>
      </c>
      <c r="CF75" s="913">
        <v>18.04</v>
      </c>
      <c r="CG75" s="913">
        <v>18.134999999999998</v>
      </c>
      <c r="CH75" s="913">
        <v>18.22</v>
      </c>
      <c r="CI75" s="913">
        <v>18.314999999999998</v>
      </c>
      <c r="CJ75" s="913">
        <v>18.399999999999999</v>
      </c>
      <c r="CK75" s="913">
        <v>18.490000000000002</v>
      </c>
      <c r="CL75" s="913">
        <v>18.579999999999998</v>
      </c>
      <c r="CM75" s="913">
        <v>18.664999999999999</v>
      </c>
      <c r="CN75" s="913">
        <v>18.755000000000003</v>
      </c>
      <c r="CO75" s="913">
        <v>18.84</v>
      </c>
      <c r="CP75" s="913">
        <v>18.925000000000001</v>
      </c>
      <c r="CQ75" s="913">
        <v>19.015000000000001</v>
      </c>
      <c r="CR75" s="913">
        <v>19.100000000000001</v>
      </c>
      <c r="CS75" s="913">
        <v>19.185000000000002</v>
      </c>
      <c r="CT75" s="913">
        <v>19.270000000000003</v>
      </c>
      <c r="CU75" s="913">
        <v>19.355</v>
      </c>
      <c r="CV75" s="913">
        <v>19.440000000000001</v>
      </c>
      <c r="CW75" s="913">
        <v>19.524999999999999</v>
      </c>
      <c r="CX75" s="913">
        <v>19.61</v>
      </c>
      <c r="CY75" s="913">
        <v>19.695</v>
      </c>
      <c r="CZ75" s="913">
        <v>19.774999999999999</v>
      </c>
      <c r="DA75" s="913">
        <v>19.86</v>
      </c>
      <c r="DB75" s="913">
        <v>19.945</v>
      </c>
      <c r="DC75" s="913">
        <v>20.024999999999999</v>
      </c>
      <c r="DD75" s="913">
        <v>20.11</v>
      </c>
      <c r="DE75" s="913">
        <v>20.184999999999999</v>
      </c>
      <c r="DF75" s="913">
        <v>20.27</v>
      </c>
      <c r="DG75" s="913">
        <v>20.350000000000001</v>
      </c>
      <c r="DH75" s="913">
        <v>20.43</v>
      </c>
      <c r="DI75" s="913">
        <v>20.509999999999998</v>
      </c>
      <c r="DJ75" s="913">
        <v>20.585000000000001</v>
      </c>
      <c r="DK75" s="913">
        <v>20.67</v>
      </c>
      <c r="DL75" s="913">
        <v>20.744999999999997</v>
      </c>
      <c r="DM75" s="913">
        <v>20.824999999999999</v>
      </c>
      <c r="DN75" s="913">
        <v>20.9</v>
      </c>
      <c r="DO75" s="913">
        <v>20.975000000000001</v>
      </c>
      <c r="DP75" s="913">
        <v>21.055</v>
      </c>
      <c r="DQ75" s="913">
        <v>21.130000000000003</v>
      </c>
      <c r="DR75" s="913">
        <v>21.204999999999998</v>
      </c>
    </row>
    <row r="76" spans="1:122" s="127" customFormat="1" ht="12.75">
      <c r="A76" s="917">
        <v>74</v>
      </c>
      <c r="B76" s="913"/>
      <c r="C76" s="913"/>
      <c r="D76" s="913"/>
      <c r="E76" s="913"/>
      <c r="F76" s="913"/>
      <c r="G76" s="913"/>
      <c r="H76" s="913"/>
      <c r="I76" s="913"/>
      <c r="J76" s="913"/>
      <c r="K76" s="913"/>
      <c r="L76" s="913"/>
      <c r="M76" s="913"/>
      <c r="N76" s="913"/>
      <c r="O76" s="913"/>
      <c r="P76" s="913"/>
      <c r="Q76" s="913"/>
      <c r="R76" s="913"/>
      <c r="S76" s="913"/>
      <c r="T76" s="913"/>
      <c r="U76" s="913"/>
      <c r="V76" s="913"/>
      <c r="W76" s="913">
        <v>11.34</v>
      </c>
      <c r="X76" s="913">
        <v>11.465</v>
      </c>
      <c r="Y76" s="913">
        <v>11.59</v>
      </c>
      <c r="Z76" s="913">
        <v>11.745000000000001</v>
      </c>
      <c r="AA76" s="913">
        <v>11.83</v>
      </c>
      <c r="AB76" s="913">
        <v>11.945</v>
      </c>
      <c r="AC76" s="913">
        <v>12.025</v>
      </c>
      <c r="AD76" s="913">
        <v>12.06</v>
      </c>
      <c r="AE76" s="913">
        <v>12.17</v>
      </c>
      <c r="AF76" s="913">
        <v>12.305</v>
      </c>
      <c r="AG76" s="913">
        <v>12.404999999999999</v>
      </c>
      <c r="AH76" s="913">
        <v>12.504999999999999</v>
      </c>
      <c r="AI76" s="913">
        <v>12.620000000000001</v>
      </c>
      <c r="AJ76" s="913">
        <v>12.754999999999999</v>
      </c>
      <c r="AK76" s="913">
        <v>12.885</v>
      </c>
      <c r="AL76" s="913">
        <v>13.01</v>
      </c>
      <c r="AM76" s="913">
        <v>13.135</v>
      </c>
      <c r="AN76" s="913">
        <v>13.234999999999999</v>
      </c>
      <c r="AO76" s="913">
        <v>13.335000000000001</v>
      </c>
      <c r="AP76" s="913">
        <v>13.395</v>
      </c>
      <c r="AQ76" s="913">
        <v>13.48</v>
      </c>
      <c r="AR76" s="913">
        <v>13.559999999999999</v>
      </c>
      <c r="AS76" s="913">
        <v>13.635</v>
      </c>
      <c r="AT76" s="913">
        <v>13.73</v>
      </c>
      <c r="AU76" s="913">
        <v>13.83</v>
      </c>
      <c r="AV76" s="913">
        <v>13.92</v>
      </c>
      <c r="AW76" s="913">
        <v>14.02</v>
      </c>
      <c r="AX76" s="913">
        <v>14.115</v>
      </c>
      <c r="AY76" s="913">
        <v>14.205</v>
      </c>
      <c r="AZ76" s="913">
        <v>14.305</v>
      </c>
      <c r="BA76" s="913">
        <v>14.395</v>
      </c>
      <c r="BB76" s="913">
        <v>14.49</v>
      </c>
      <c r="BC76" s="913">
        <v>14.585000000000001</v>
      </c>
      <c r="BD76" s="913">
        <v>14.68</v>
      </c>
      <c r="BE76" s="913">
        <v>14.77</v>
      </c>
      <c r="BF76" s="913">
        <v>14.865</v>
      </c>
      <c r="BG76" s="913">
        <v>14.96</v>
      </c>
      <c r="BH76" s="913">
        <v>15.05</v>
      </c>
      <c r="BI76" s="913">
        <v>15.145</v>
      </c>
      <c r="BJ76" s="913">
        <v>15.24</v>
      </c>
      <c r="BK76" s="913">
        <v>15.335000000000001</v>
      </c>
      <c r="BL76" s="913">
        <v>15.425000000000001</v>
      </c>
      <c r="BM76" s="913">
        <v>15.52</v>
      </c>
      <c r="BN76" s="913">
        <v>15.61</v>
      </c>
      <c r="BO76" s="913">
        <v>15.7</v>
      </c>
      <c r="BP76" s="913">
        <v>15.795000000000002</v>
      </c>
      <c r="BQ76" s="913">
        <v>15.89</v>
      </c>
      <c r="BR76" s="913">
        <v>15.975</v>
      </c>
      <c r="BS76" s="913">
        <v>16.07</v>
      </c>
      <c r="BT76" s="914">
        <v>16.16</v>
      </c>
      <c r="BU76" s="913">
        <v>16.25</v>
      </c>
      <c r="BV76" s="913">
        <v>16.34</v>
      </c>
      <c r="BW76" s="913">
        <v>16.435000000000002</v>
      </c>
      <c r="BX76" s="913">
        <v>16.52</v>
      </c>
      <c r="BY76" s="913">
        <v>16.614999999999998</v>
      </c>
      <c r="BZ76" s="913">
        <v>16.7</v>
      </c>
      <c r="CA76" s="913">
        <v>16.795000000000002</v>
      </c>
      <c r="CB76" s="913">
        <v>16.88</v>
      </c>
      <c r="CC76" s="913">
        <v>16.965</v>
      </c>
      <c r="CD76" s="913">
        <v>17.060000000000002</v>
      </c>
      <c r="CE76" s="913">
        <v>17.145</v>
      </c>
      <c r="CF76" s="913">
        <v>17.23</v>
      </c>
      <c r="CG76" s="913">
        <v>17.325000000000003</v>
      </c>
      <c r="CH76" s="913">
        <v>17.41</v>
      </c>
      <c r="CI76" s="913">
        <v>17.495000000000001</v>
      </c>
      <c r="CJ76" s="913">
        <v>17.579999999999998</v>
      </c>
      <c r="CK76" s="913">
        <v>17.664999999999999</v>
      </c>
      <c r="CL76" s="913">
        <v>17.754999999999999</v>
      </c>
      <c r="CM76" s="913">
        <v>17.84</v>
      </c>
      <c r="CN76" s="913">
        <v>17.925000000000001</v>
      </c>
      <c r="CO76" s="913">
        <v>18.010000000000002</v>
      </c>
      <c r="CP76" s="913">
        <v>18.094999999999999</v>
      </c>
      <c r="CQ76" s="913">
        <v>18.18</v>
      </c>
      <c r="CR76" s="913">
        <v>18.265000000000001</v>
      </c>
      <c r="CS76" s="913">
        <v>18.350000000000001</v>
      </c>
      <c r="CT76" s="913">
        <v>18.435000000000002</v>
      </c>
      <c r="CU76" s="913">
        <v>18.509999999999998</v>
      </c>
      <c r="CV76" s="913">
        <v>18.594999999999999</v>
      </c>
      <c r="CW76" s="913">
        <v>18.68</v>
      </c>
      <c r="CX76" s="913">
        <v>18.759999999999998</v>
      </c>
      <c r="CY76" s="913">
        <v>18.84</v>
      </c>
      <c r="CZ76" s="913">
        <v>18.920000000000002</v>
      </c>
      <c r="DA76" s="913">
        <v>19.005000000000003</v>
      </c>
      <c r="DB76" s="913">
        <v>19.079999999999998</v>
      </c>
      <c r="DC76" s="913">
        <v>19.164999999999999</v>
      </c>
      <c r="DD76" s="913">
        <v>19.240000000000002</v>
      </c>
      <c r="DE76" s="913">
        <v>19.324999999999999</v>
      </c>
      <c r="DF76" s="913">
        <v>19.399999999999999</v>
      </c>
      <c r="DG76" s="913">
        <v>19.479999999999997</v>
      </c>
      <c r="DH76" s="913">
        <v>19.555</v>
      </c>
      <c r="DI76" s="913">
        <v>19.634999999999998</v>
      </c>
      <c r="DJ76" s="913">
        <v>19.715</v>
      </c>
      <c r="DK76" s="913">
        <v>19.79</v>
      </c>
      <c r="DL76" s="913">
        <v>19.864999999999998</v>
      </c>
      <c r="DM76" s="913">
        <v>19.939999999999998</v>
      </c>
      <c r="DN76" s="913">
        <v>20.02</v>
      </c>
      <c r="DO76" s="913">
        <v>20.094999999999999</v>
      </c>
      <c r="DP76" s="913">
        <v>20.170000000000002</v>
      </c>
      <c r="DQ76" s="913">
        <v>20.244999999999997</v>
      </c>
      <c r="DR76" s="913">
        <v>20.32</v>
      </c>
    </row>
    <row r="77" spans="1:122" s="127" customFormat="1" ht="12.75">
      <c r="A77" s="917">
        <v>75</v>
      </c>
      <c r="B77" s="913"/>
      <c r="C77" s="913"/>
      <c r="D77" s="913"/>
      <c r="E77" s="913"/>
      <c r="F77" s="913"/>
      <c r="G77" s="913"/>
      <c r="H77" s="913"/>
      <c r="I77" s="913"/>
      <c r="J77" s="913"/>
      <c r="K77" s="913"/>
      <c r="L77" s="913"/>
      <c r="M77" s="913"/>
      <c r="N77" s="913"/>
      <c r="O77" s="913"/>
      <c r="P77" s="913"/>
      <c r="Q77" s="913"/>
      <c r="R77" s="913"/>
      <c r="S77" s="913"/>
      <c r="T77" s="913"/>
      <c r="U77" s="913"/>
      <c r="V77" s="913"/>
      <c r="W77" s="913">
        <v>10.785</v>
      </c>
      <c r="X77" s="913">
        <v>10.895</v>
      </c>
      <c r="Y77" s="913">
        <v>11.004999999999999</v>
      </c>
      <c r="Z77" s="913">
        <v>11.155000000000001</v>
      </c>
      <c r="AA77" s="913">
        <v>11.219999999999999</v>
      </c>
      <c r="AB77" s="913">
        <v>11.33</v>
      </c>
      <c r="AC77" s="913">
        <v>11.404999999999999</v>
      </c>
      <c r="AD77" s="913">
        <v>11.45</v>
      </c>
      <c r="AE77" s="913">
        <v>11.545</v>
      </c>
      <c r="AF77" s="913">
        <v>11.67</v>
      </c>
      <c r="AG77" s="913">
        <v>11.76</v>
      </c>
      <c r="AH77" s="913">
        <v>11.850000000000001</v>
      </c>
      <c r="AI77" s="913">
        <v>11.965</v>
      </c>
      <c r="AJ77" s="913">
        <v>12.09</v>
      </c>
      <c r="AK77" s="913">
        <v>12.215</v>
      </c>
      <c r="AL77" s="913">
        <v>12.335000000000001</v>
      </c>
      <c r="AM77" s="913">
        <v>12.455</v>
      </c>
      <c r="AN77" s="913">
        <v>12.55</v>
      </c>
      <c r="AO77" s="913">
        <v>12.635</v>
      </c>
      <c r="AP77" s="913">
        <v>12.715</v>
      </c>
      <c r="AQ77" s="913">
        <v>12.79</v>
      </c>
      <c r="AR77" s="913">
        <v>12.875</v>
      </c>
      <c r="AS77" s="913">
        <v>12.96</v>
      </c>
      <c r="AT77" s="913">
        <v>13.05</v>
      </c>
      <c r="AU77" s="913">
        <v>13.14</v>
      </c>
      <c r="AV77" s="913">
        <v>13.239999999999998</v>
      </c>
      <c r="AW77" s="913">
        <v>13.33</v>
      </c>
      <c r="AX77" s="913">
        <v>13.42</v>
      </c>
      <c r="AY77" s="913">
        <v>13.510000000000002</v>
      </c>
      <c r="AZ77" s="913">
        <v>13.595000000000001</v>
      </c>
      <c r="BA77" s="913">
        <v>13.690000000000001</v>
      </c>
      <c r="BB77" s="913">
        <v>13.780000000000001</v>
      </c>
      <c r="BC77" s="913">
        <v>13.870000000000001</v>
      </c>
      <c r="BD77" s="913">
        <v>13.965</v>
      </c>
      <c r="BE77" s="913">
        <v>14.055</v>
      </c>
      <c r="BF77" s="913">
        <v>14.14</v>
      </c>
      <c r="BG77" s="913">
        <v>14.234999999999999</v>
      </c>
      <c r="BH77" s="913">
        <v>14.324999999999999</v>
      </c>
      <c r="BI77" s="913">
        <v>14.41</v>
      </c>
      <c r="BJ77" s="913">
        <v>14.504999999999999</v>
      </c>
      <c r="BK77" s="913">
        <v>14.594999999999999</v>
      </c>
      <c r="BL77" s="913">
        <v>14.68</v>
      </c>
      <c r="BM77" s="913">
        <v>14.774999999999999</v>
      </c>
      <c r="BN77" s="913">
        <v>14.86</v>
      </c>
      <c r="BO77" s="913">
        <v>14.95</v>
      </c>
      <c r="BP77" s="913">
        <v>15.035</v>
      </c>
      <c r="BQ77" s="913">
        <v>15.129999999999999</v>
      </c>
      <c r="BR77" s="913">
        <v>15.215</v>
      </c>
      <c r="BS77" s="913">
        <v>15.305</v>
      </c>
      <c r="BT77" s="914">
        <v>15.39</v>
      </c>
      <c r="BU77" s="913">
        <v>15.48</v>
      </c>
      <c r="BV77" s="913">
        <v>15.57</v>
      </c>
      <c r="BW77" s="913">
        <v>15.654999999999999</v>
      </c>
      <c r="BX77" s="913">
        <v>15.74</v>
      </c>
      <c r="BY77" s="913">
        <v>15.83</v>
      </c>
      <c r="BZ77" s="913">
        <v>15.914999999999999</v>
      </c>
      <c r="CA77" s="913">
        <v>16</v>
      </c>
      <c r="CB77" s="913">
        <v>16.09</v>
      </c>
      <c r="CC77" s="913">
        <v>16.175000000000001</v>
      </c>
      <c r="CD77" s="913">
        <v>16.265000000000001</v>
      </c>
      <c r="CE77" s="913">
        <v>16.350000000000001</v>
      </c>
      <c r="CF77" s="913">
        <v>16.435000000000002</v>
      </c>
      <c r="CG77" s="913">
        <v>16.52</v>
      </c>
      <c r="CH77" s="913">
        <v>16.600000000000001</v>
      </c>
      <c r="CI77" s="913">
        <v>16.684999999999999</v>
      </c>
      <c r="CJ77" s="913">
        <v>16.77</v>
      </c>
      <c r="CK77" s="913">
        <v>16.855</v>
      </c>
      <c r="CL77" s="913">
        <v>16.935000000000002</v>
      </c>
      <c r="CM77" s="913">
        <v>17.02</v>
      </c>
      <c r="CN77" s="913">
        <v>17.105</v>
      </c>
      <c r="CO77" s="913">
        <v>17.184999999999999</v>
      </c>
      <c r="CP77" s="913">
        <v>17.27</v>
      </c>
      <c r="CQ77" s="913">
        <v>17.350000000000001</v>
      </c>
      <c r="CR77" s="913">
        <v>17.43</v>
      </c>
      <c r="CS77" s="913">
        <v>17.515000000000001</v>
      </c>
      <c r="CT77" s="913">
        <v>17.594999999999999</v>
      </c>
      <c r="CU77" s="913">
        <v>17.674999999999997</v>
      </c>
      <c r="CV77" s="913">
        <v>17.754999999999999</v>
      </c>
      <c r="CW77" s="913">
        <v>17.835000000000001</v>
      </c>
      <c r="CX77" s="913">
        <v>17.914999999999999</v>
      </c>
      <c r="CY77" s="913">
        <v>17.994999999999997</v>
      </c>
      <c r="CZ77" s="913">
        <v>18.075000000000003</v>
      </c>
      <c r="DA77" s="913">
        <v>18.149999999999999</v>
      </c>
      <c r="DB77" s="913">
        <v>18.229999999999997</v>
      </c>
      <c r="DC77" s="913">
        <v>18.310000000000002</v>
      </c>
      <c r="DD77" s="913">
        <v>18.384999999999998</v>
      </c>
      <c r="DE77" s="913">
        <v>18.46</v>
      </c>
      <c r="DF77" s="913">
        <v>18.54</v>
      </c>
      <c r="DG77" s="913">
        <v>18.614999999999998</v>
      </c>
      <c r="DH77" s="913">
        <v>18.695</v>
      </c>
      <c r="DI77" s="913">
        <v>18.77</v>
      </c>
      <c r="DJ77" s="913">
        <v>18.844999999999999</v>
      </c>
      <c r="DK77" s="913">
        <v>18.920000000000002</v>
      </c>
      <c r="DL77" s="913">
        <v>18.994999999999997</v>
      </c>
      <c r="DM77" s="913">
        <v>19.07</v>
      </c>
      <c r="DN77" s="913">
        <v>19.14</v>
      </c>
      <c r="DO77" s="913">
        <v>19.215</v>
      </c>
      <c r="DP77" s="913">
        <v>19.285</v>
      </c>
      <c r="DQ77" s="913">
        <v>19.36</v>
      </c>
      <c r="DR77" s="913">
        <v>19.43</v>
      </c>
    </row>
    <row r="78" spans="1:122" s="127" customFormat="1" ht="12.75">
      <c r="A78" s="917">
        <v>76</v>
      </c>
      <c r="B78" s="913"/>
      <c r="C78" s="913"/>
      <c r="D78" s="913"/>
      <c r="E78" s="913"/>
      <c r="F78" s="913"/>
      <c r="G78" s="913"/>
      <c r="H78" s="913"/>
      <c r="I78" s="913"/>
      <c r="J78" s="913"/>
      <c r="K78" s="913"/>
      <c r="L78" s="913"/>
      <c r="M78" s="913"/>
      <c r="N78" s="913"/>
      <c r="O78" s="913"/>
      <c r="P78" s="913"/>
      <c r="Q78" s="913"/>
      <c r="R78" s="913"/>
      <c r="S78" s="913"/>
      <c r="T78" s="913"/>
      <c r="U78" s="913"/>
      <c r="V78" s="913"/>
      <c r="W78" s="913">
        <v>10.23</v>
      </c>
      <c r="X78" s="913">
        <v>10.324999999999999</v>
      </c>
      <c r="Y78" s="913">
        <v>10.435</v>
      </c>
      <c r="Z78" s="913">
        <v>10.565000000000001</v>
      </c>
      <c r="AA78" s="913">
        <v>10.629999999999999</v>
      </c>
      <c r="AB78" s="913">
        <v>10.725000000000001</v>
      </c>
      <c r="AC78" s="913">
        <v>10.809999999999999</v>
      </c>
      <c r="AD78" s="913">
        <v>10.85</v>
      </c>
      <c r="AE78" s="913">
        <v>10.925000000000001</v>
      </c>
      <c r="AF78" s="913">
        <v>11.04</v>
      </c>
      <c r="AG78" s="913">
        <v>11.120000000000001</v>
      </c>
      <c r="AH78" s="913">
        <v>11.215</v>
      </c>
      <c r="AI78" s="913">
        <v>11.32</v>
      </c>
      <c r="AJ78" s="913">
        <v>11.435</v>
      </c>
      <c r="AK78" s="913">
        <v>11.555</v>
      </c>
      <c r="AL78" s="913">
        <v>11.675000000000001</v>
      </c>
      <c r="AM78" s="913">
        <v>11.79</v>
      </c>
      <c r="AN78" s="913">
        <v>11.870000000000001</v>
      </c>
      <c r="AO78" s="913">
        <v>11.965</v>
      </c>
      <c r="AP78" s="913">
        <v>12.035</v>
      </c>
      <c r="AQ78" s="913">
        <v>12.115</v>
      </c>
      <c r="AR78" s="913">
        <v>12.205</v>
      </c>
      <c r="AS78" s="913">
        <v>12.29</v>
      </c>
      <c r="AT78" s="913">
        <v>12.379999999999999</v>
      </c>
      <c r="AU78" s="913">
        <v>12.469999999999999</v>
      </c>
      <c r="AV78" s="913">
        <v>12.55</v>
      </c>
      <c r="AW78" s="913">
        <v>12.64</v>
      </c>
      <c r="AX78" s="913">
        <v>12.73</v>
      </c>
      <c r="AY78" s="913">
        <v>12.815000000000001</v>
      </c>
      <c r="AZ78" s="913">
        <v>12.905000000000001</v>
      </c>
      <c r="BA78" s="913">
        <v>12.995000000000001</v>
      </c>
      <c r="BB78" s="913">
        <v>13.074999999999999</v>
      </c>
      <c r="BC78" s="913">
        <v>13.164999999999999</v>
      </c>
      <c r="BD78" s="913">
        <v>13.25</v>
      </c>
      <c r="BE78" s="913">
        <v>13.34</v>
      </c>
      <c r="BF78" s="913">
        <v>13.425000000000001</v>
      </c>
      <c r="BG78" s="913">
        <v>13.510000000000002</v>
      </c>
      <c r="BH78" s="913">
        <v>13.600000000000001</v>
      </c>
      <c r="BI78" s="913">
        <v>13.685</v>
      </c>
      <c r="BJ78" s="913">
        <v>13.77</v>
      </c>
      <c r="BK78" s="913">
        <v>13.86</v>
      </c>
      <c r="BL78" s="913">
        <v>13.945</v>
      </c>
      <c r="BM78" s="913">
        <v>14.030000000000001</v>
      </c>
      <c r="BN78" s="913">
        <v>14.120000000000001</v>
      </c>
      <c r="BO78" s="913">
        <v>14.205</v>
      </c>
      <c r="BP78" s="913">
        <v>14.29</v>
      </c>
      <c r="BQ78" s="913">
        <v>14.375</v>
      </c>
      <c r="BR78" s="913">
        <v>14.465</v>
      </c>
      <c r="BS78" s="913">
        <v>14.545</v>
      </c>
      <c r="BT78" s="914">
        <v>14.629999999999999</v>
      </c>
      <c r="BU78" s="913">
        <v>14.715</v>
      </c>
      <c r="BV78" s="913">
        <v>14.8</v>
      </c>
      <c r="BW78" s="913">
        <v>14.885000000000002</v>
      </c>
      <c r="BX78" s="913">
        <v>14.97</v>
      </c>
      <c r="BY78" s="913">
        <v>15.05</v>
      </c>
      <c r="BZ78" s="913">
        <v>15.135000000000002</v>
      </c>
      <c r="CA78" s="913">
        <v>15.219999999999999</v>
      </c>
      <c r="CB78" s="913">
        <v>15.305</v>
      </c>
      <c r="CC78" s="913">
        <v>15.385</v>
      </c>
      <c r="CD78" s="913">
        <v>15.47</v>
      </c>
      <c r="CE78" s="913">
        <v>15.555</v>
      </c>
      <c r="CF78" s="913">
        <v>15.64</v>
      </c>
      <c r="CG78" s="913">
        <v>15.719999999999999</v>
      </c>
      <c r="CH78" s="913">
        <v>15.8</v>
      </c>
      <c r="CI78" s="913">
        <v>15.879999999999999</v>
      </c>
      <c r="CJ78" s="913">
        <v>15.965</v>
      </c>
      <c r="CK78" s="913">
        <v>16.049999999999997</v>
      </c>
      <c r="CL78" s="913">
        <v>16.125</v>
      </c>
      <c r="CM78" s="913">
        <v>16.21</v>
      </c>
      <c r="CN78" s="913">
        <v>16.285</v>
      </c>
      <c r="CO78" s="913">
        <v>16.369999999999997</v>
      </c>
      <c r="CP78" s="913">
        <v>16.45</v>
      </c>
      <c r="CQ78" s="913">
        <v>16.524999999999999</v>
      </c>
      <c r="CR78" s="913">
        <v>16.61</v>
      </c>
      <c r="CS78" s="913">
        <v>16.684999999999999</v>
      </c>
      <c r="CT78" s="913">
        <v>16.759999999999998</v>
      </c>
      <c r="CU78" s="913">
        <v>16.844999999999999</v>
      </c>
      <c r="CV78" s="913">
        <v>16.920000000000002</v>
      </c>
      <c r="CW78" s="913">
        <v>16.994999999999997</v>
      </c>
      <c r="CX78" s="913">
        <v>17.075000000000003</v>
      </c>
      <c r="CY78" s="913">
        <v>17.155000000000001</v>
      </c>
      <c r="CZ78" s="913">
        <v>17.23</v>
      </c>
      <c r="DA78" s="913">
        <v>17.305</v>
      </c>
      <c r="DB78" s="913">
        <v>17.384999999999998</v>
      </c>
      <c r="DC78" s="913">
        <v>17.46</v>
      </c>
      <c r="DD78" s="913">
        <v>17.535</v>
      </c>
      <c r="DE78" s="913">
        <v>17.61</v>
      </c>
      <c r="DF78" s="913">
        <v>17.685000000000002</v>
      </c>
      <c r="DG78" s="913">
        <v>17.760000000000002</v>
      </c>
      <c r="DH78" s="913">
        <v>17.835000000000001</v>
      </c>
      <c r="DI78" s="913">
        <v>17.905000000000001</v>
      </c>
      <c r="DJ78" s="913">
        <v>17.98</v>
      </c>
      <c r="DK78" s="913">
        <v>18.05</v>
      </c>
      <c r="DL78" s="913">
        <v>18.125</v>
      </c>
      <c r="DM78" s="913">
        <v>18.200000000000003</v>
      </c>
      <c r="DN78" s="913">
        <v>18.27</v>
      </c>
      <c r="DO78" s="913">
        <v>18.34</v>
      </c>
      <c r="DP78" s="913">
        <v>18.414999999999999</v>
      </c>
      <c r="DQ78" s="913">
        <v>18.48</v>
      </c>
      <c r="DR78" s="913">
        <v>18.555</v>
      </c>
    </row>
    <row r="79" spans="1:122" s="127" customFormat="1" ht="12.75">
      <c r="A79" s="917">
        <v>77</v>
      </c>
      <c r="B79" s="913"/>
      <c r="C79" s="913"/>
      <c r="D79" s="913"/>
      <c r="E79" s="913"/>
      <c r="F79" s="913"/>
      <c r="G79" s="913"/>
      <c r="H79" s="913"/>
      <c r="I79" s="913"/>
      <c r="J79" s="913"/>
      <c r="K79" s="913"/>
      <c r="L79" s="913"/>
      <c r="M79" s="913"/>
      <c r="N79" s="913"/>
      <c r="O79" s="913"/>
      <c r="P79" s="913"/>
      <c r="Q79" s="913"/>
      <c r="R79" s="913"/>
      <c r="S79" s="913"/>
      <c r="T79" s="913"/>
      <c r="U79" s="913"/>
      <c r="V79" s="913"/>
      <c r="W79" s="913">
        <v>9.6850000000000005</v>
      </c>
      <c r="X79" s="913">
        <v>9.7800000000000011</v>
      </c>
      <c r="Y79" s="913">
        <v>9.870000000000001</v>
      </c>
      <c r="Z79" s="913">
        <v>9.9849999999999994</v>
      </c>
      <c r="AA79" s="913">
        <v>10.045</v>
      </c>
      <c r="AB79" s="913">
        <v>10.145</v>
      </c>
      <c r="AC79" s="913">
        <v>10.215</v>
      </c>
      <c r="AD79" s="913">
        <v>10.25</v>
      </c>
      <c r="AE79" s="913">
        <v>10.32</v>
      </c>
      <c r="AF79" s="913">
        <v>10.42</v>
      </c>
      <c r="AG79" s="913">
        <v>10.5</v>
      </c>
      <c r="AH79" s="913">
        <v>10.59</v>
      </c>
      <c r="AI79" s="913">
        <v>10.69</v>
      </c>
      <c r="AJ79" s="913">
        <v>10.8</v>
      </c>
      <c r="AK79" s="913">
        <v>10.914999999999999</v>
      </c>
      <c r="AL79" s="913">
        <v>11.035</v>
      </c>
      <c r="AM79" s="913">
        <v>11.125</v>
      </c>
      <c r="AN79" s="913">
        <v>11.215</v>
      </c>
      <c r="AO79" s="913">
        <v>11.3</v>
      </c>
      <c r="AP79" s="913">
        <v>11.38</v>
      </c>
      <c r="AQ79" s="913">
        <v>11.465</v>
      </c>
      <c r="AR79" s="913">
        <v>11.545</v>
      </c>
      <c r="AS79" s="913">
        <v>11.625</v>
      </c>
      <c r="AT79" s="913">
        <v>11.71</v>
      </c>
      <c r="AU79" s="913">
        <v>11.795</v>
      </c>
      <c r="AV79" s="913">
        <v>11.879999999999999</v>
      </c>
      <c r="AW79" s="913">
        <v>11.96</v>
      </c>
      <c r="AX79" s="913">
        <v>12.05</v>
      </c>
      <c r="AY79" s="913">
        <v>12.129999999999999</v>
      </c>
      <c r="AZ79" s="913">
        <v>12.215</v>
      </c>
      <c r="BA79" s="913">
        <v>12.3</v>
      </c>
      <c r="BB79" s="913">
        <v>12.385000000000002</v>
      </c>
      <c r="BC79" s="913">
        <v>12.465</v>
      </c>
      <c r="BD79" s="913">
        <v>12.55</v>
      </c>
      <c r="BE79" s="913">
        <v>12.635000000000002</v>
      </c>
      <c r="BF79" s="913">
        <v>12.715</v>
      </c>
      <c r="BG79" s="913">
        <v>12.805</v>
      </c>
      <c r="BH79" s="913">
        <v>12.885000000000002</v>
      </c>
      <c r="BI79" s="913">
        <v>12.97</v>
      </c>
      <c r="BJ79" s="913">
        <v>13.055</v>
      </c>
      <c r="BK79" s="913">
        <v>13.135</v>
      </c>
      <c r="BL79" s="913">
        <v>13.219999999999999</v>
      </c>
      <c r="BM79" s="913">
        <v>13.3</v>
      </c>
      <c r="BN79" s="913">
        <v>13.385</v>
      </c>
      <c r="BO79" s="913">
        <v>13.465</v>
      </c>
      <c r="BP79" s="913">
        <v>13.55</v>
      </c>
      <c r="BQ79" s="913">
        <v>13.635</v>
      </c>
      <c r="BR79" s="913">
        <v>13.715</v>
      </c>
      <c r="BS79" s="913">
        <v>13.8</v>
      </c>
      <c r="BT79" s="914">
        <v>13.879999999999999</v>
      </c>
      <c r="BU79" s="913">
        <v>13.965</v>
      </c>
      <c r="BV79" s="913">
        <v>14.04</v>
      </c>
      <c r="BW79" s="913">
        <v>14.125</v>
      </c>
      <c r="BX79" s="913">
        <v>14.205</v>
      </c>
      <c r="BY79" s="913">
        <v>14.29</v>
      </c>
      <c r="BZ79" s="913">
        <v>14.370000000000001</v>
      </c>
      <c r="CA79" s="913">
        <v>14.445</v>
      </c>
      <c r="CB79" s="913">
        <v>14.530000000000001</v>
      </c>
      <c r="CC79" s="913">
        <v>14.61</v>
      </c>
      <c r="CD79" s="913">
        <v>14.69</v>
      </c>
      <c r="CE79" s="913">
        <v>14.77</v>
      </c>
      <c r="CF79" s="913">
        <v>14.85</v>
      </c>
      <c r="CG79" s="913">
        <v>14.93</v>
      </c>
      <c r="CH79" s="913">
        <v>15.01</v>
      </c>
      <c r="CI79" s="913">
        <v>15.085000000000001</v>
      </c>
      <c r="CJ79" s="913">
        <v>15.17</v>
      </c>
      <c r="CK79" s="913">
        <v>15.245000000000001</v>
      </c>
      <c r="CL79" s="913">
        <v>15.324999999999999</v>
      </c>
      <c r="CM79" s="913">
        <v>15.399999999999999</v>
      </c>
      <c r="CN79" s="913">
        <v>15.48</v>
      </c>
      <c r="CO79" s="913">
        <v>15.56</v>
      </c>
      <c r="CP79" s="913">
        <v>15.635000000000002</v>
      </c>
      <c r="CQ79" s="913">
        <v>15.715</v>
      </c>
      <c r="CR79" s="913">
        <v>15.79</v>
      </c>
      <c r="CS79" s="913">
        <v>15.865</v>
      </c>
      <c r="CT79" s="913">
        <v>15.940000000000001</v>
      </c>
      <c r="CU79" s="913">
        <v>16.02</v>
      </c>
      <c r="CV79" s="913">
        <v>16.094999999999999</v>
      </c>
      <c r="CW79" s="913">
        <v>16.170000000000002</v>
      </c>
      <c r="CX79" s="913">
        <v>16.245000000000001</v>
      </c>
      <c r="CY79" s="913">
        <v>16.32</v>
      </c>
      <c r="CZ79" s="913">
        <v>16.395</v>
      </c>
      <c r="DA79" s="913">
        <v>16.47</v>
      </c>
      <c r="DB79" s="913">
        <v>16.545000000000002</v>
      </c>
      <c r="DC79" s="913">
        <v>16.615000000000002</v>
      </c>
      <c r="DD79" s="913">
        <v>16.690000000000001</v>
      </c>
      <c r="DE79" s="913">
        <v>16.765000000000001</v>
      </c>
      <c r="DF79" s="913">
        <v>16.84</v>
      </c>
      <c r="DG79" s="913">
        <v>16.905000000000001</v>
      </c>
      <c r="DH79" s="913">
        <v>16.98</v>
      </c>
      <c r="DI79" s="913">
        <v>17.055</v>
      </c>
      <c r="DJ79" s="913">
        <v>17.119999999999997</v>
      </c>
      <c r="DK79" s="913">
        <v>17.195</v>
      </c>
      <c r="DL79" s="913">
        <v>17.265000000000001</v>
      </c>
      <c r="DM79" s="913">
        <v>17.335000000000001</v>
      </c>
      <c r="DN79" s="913">
        <v>17.405000000000001</v>
      </c>
      <c r="DO79" s="913">
        <v>17.475000000000001</v>
      </c>
      <c r="DP79" s="913">
        <v>17.545000000000002</v>
      </c>
      <c r="DQ79" s="913">
        <v>17.61</v>
      </c>
      <c r="DR79" s="913">
        <v>17.685000000000002</v>
      </c>
    </row>
    <row r="80" spans="1:122" s="127" customFormat="1" ht="12.75">
      <c r="A80" s="917">
        <v>78</v>
      </c>
      <c r="B80" s="913"/>
      <c r="C80" s="913"/>
      <c r="D80" s="913"/>
      <c r="E80" s="913"/>
      <c r="F80" s="913"/>
      <c r="G80" s="913"/>
      <c r="H80" s="913"/>
      <c r="I80" s="913"/>
      <c r="J80" s="913"/>
      <c r="K80" s="913"/>
      <c r="L80" s="913"/>
      <c r="M80" s="913"/>
      <c r="N80" s="913"/>
      <c r="O80" s="913"/>
      <c r="P80" s="913"/>
      <c r="Q80" s="913"/>
      <c r="R80" s="913"/>
      <c r="S80" s="913"/>
      <c r="T80" s="913"/>
      <c r="U80" s="913"/>
      <c r="V80" s="913"/>
      <c r="W80" s="913">
        <v>9.1549999999999994</v>
      </c>
      <c r="X80" s="913">
        <v>9.23</v>
      </c>
      <c r="Y80" s="913">
        <v>9.3049999999999997</v>
      </c>
      <c r="Z80" s="913">
        <v>9.42</v>
      </c>
      <c r="AA80" s="913">
        <v>9.48</v>
      </c>
      <c r="AB80" s="913">
        <v>9.57</v>
      </c>
      <c r="AC80" s="913">
        <v>9.629999999999999</v>
      </c>
      <c r="AD80" s="913">
        <v>9.6649999999999991</v>
      </c>
      <c r="AE80" s="913">
        <v>9.7199999999999989</v>
      </c>
      <c r="AF80" s="913">
        <v>9.82</v>
      </c>
      <c r="AG80" s="913">
        <v>9.9</v>
      </c>
      <c r="AH80" s="913">
        <v>9.9749999999999996</v>
      </c>
      <c r="AI80" s="913">
        <v>10.074999999999999</v>
      </c>
      <c r="AJ80" s="913">
        <v>10.18</v>
      </c>
      <c r="AK80" s="913">
        <v>10.295000000000002</v>
      </c>
      <c r="AL80" s="913">
        <v>10.39</v>
      </c>
      <c r="AM80" s="913">
        <v>10.49</v>
      </c>
      <c r="AN80" s="913">
        <v>10.57</v>
      </c>
      <c r="AO80" s="913">
        <v>10.655000000000001</v>
      </c>
      <c r="AP80" s="913">
        <v>10.73</v>
      </c>
      <c r="AQ80" s="913">
        <v>10.809999999999999</v>
      </c>
      <c r="AR80" s="913">
        <v>10.895</v>
      </c>
      <c r="AS80" s="913">
        <v>10.975</v>
      </c>
      <c r="AT80" s="913">
        <v>11.055</v>
      </c>
      <c r="AU80" s="913">
        <v>11.135</v>
      </c>
      <c r="AV80" s="913">
        <v>11.219999999999999</v>
      </c>
      <c r="AW80" s="913">
        <v>11.3</v>
      </c>
      <c r="AX80" s="913">
        <v>11.379999999999999</v>
      </c>
      <c r="AY80" s="913">
        <v>11.46</v>
      </c>
      <c r="AZ80" s="913">
        <v>11.54</v>
      </c>
      <c r="BA80" s="913">
        <v>11.620000000000001</v>
      </c>
      <c r="BB80" s="913">
        <v>11.695</v>
      </c>
      <c r="BC80" s="913">
        <v>11.775</v>
      </c>
      <c r="BD80" s="913">
        <v>11.86</v>
      </c>
      <c r="BE80" s="913">
        <v>11.940000000000001</v>
      </c>
      <c r="BF80" s="913">
        <v>12.02</v>
      </c>
      <c r="BG80" s="913">
        <v>12.1</v>
      </c>
      <c r="BH80" s="913">
        <v>12.18</v>
      </c>
      <c r="BI80" s="913">
        <v>12.26</v>
      </c>
      <c r="BJ80" s="913">
        <v>12.34</v>
      </c>
      <c r="BK80" s="913">
        <v>12.42</v>
      </c>
      <c r="BL80" s="913">
        <v>12.5</v>
      </c>
      <c r="BM80" s="913">
        <v>12.585000000000001</v>
      </c>
      <c r="BN80" s="913">
        <v>12.66</v>
      </c>
      <c r="BO80" s="913">
        <v>12.74</v>
      </c>
      <c r="BP80" s="913">
        <v>12.82</v>
      </c>
      <c r="BQ80" s="913">
        <v>12.895</v>
      </c>
      <c r="BR80" s="913">
        <v>12.98</v>
      </c>
      <c r="BS80" s="913">
        <v>13.06</v>
      </c>
      <c r="BT80" s="914">
        <v>13.135</v>
      </c>
      <c r="BU80" s="913">
        <v>13.215</v>
      </c>
      <c r="BV80" s="913">
        <v>13.295</v>
      </c>
      <c r="BW80" s="913">
        <v>13.370000000000001</v>
      </c>
      <c r="BX80" s="913">
        <v>13.455</v>
      </c>
      <c r="BY80" s="913">
        <v>13.530000000000001</v>
      </c>
      <c r="BZ80" s="913">
        <v>13.61</v>
      </c>
      <c r="CA80" s="913">
        <v>13.685</v>
      </c>
      <c r="CB80" s="913">
        <v>13.765000000000001</v>
      </c>
      <c r="CC80" s="913">
        <v>13.84</v>
      </c>
      <c r="CD80" s="913">
        <v>13.92</v>
      </c>
      <c r="CE80" s="913">
        <v>13.994999999999999</v>
      </c>
      <c r="CF80" s="913">
        <v>14.074999999999999</v>
      </c>
      <c r="CG80" s="913">
        <v>14.149999999999999</v>
      </c>
      <c r="CH80" s="913">
        <v>14.225</v>
      </c>
      <c r="CI80" s="913">
        <v>14.305</v>
      </c>
      <c r="CJ80" s="913">
        <v>14.379999999999999</v>
      </c>
      <c r="CK80" s="913">
        <v>14.455</v>
      </c>
      <c r="CL80" s="913">
        <v>14.530000000000001</v>
      </c>
      <c r="CM80" s="913">
        <v>14.61</v>
      </c>
      <c r="CN80" s="913">
        <v>14.684999999999999</v>
      </c>
      <c r="CO80" s="913">
        <v>14.76</v>
      </c>
      <c r="CP80" s="913">
        <v>14.835000000000001</v>
      </c>
      <c r="CQ80" s="913">
        <v>14.905000000000001</v>
      </c>
      <c r="CR80" s="913">
        <v>14.98</v>
      </c>
      <c r="CS80" s="913">
        <v>15.055</v>
      </c>
      <c r="CT80" s="913">
        <v>15.129999999999999</v>
      </c>
      <c r="CU80" s="913">
        <v>15.205</v>
      </c>
      <c r="CV80" s="913">
        <v>15.275</v>
      </c>
      <c r="CW80" s="913">
        <v>15.35</v>
      </c>
      <c r="CX80" s="913">
        <v>15.425000000000001</v>
      </c>
      <c r="CY80" s="913">
        <v>15.495000000000001</v>
      </c>
      <c r="CZ80" s="913">
        <v>15.57</v>
      </c>
      <c r="DA80" s="913">
        <v>15.645</v>
      </c>
      <c r="DB80" s="913">
        <v>15.71</v>
      </c>
      <c r="DC80" s="913">
        <v>15.785</v>
      </c>
      <c r="DD80" s="913">
        <v>15.855</v>
      </c>
      <c r="DE80" s="913">
        <v>15.925000000000001</v>
      </c>
      <c r="DF80" s="913">
        <v>15.995000000000001</v>
      </c>
      <c r="DG80" s="913">
        <v>16.07</v>
      </c>
      <c r="DH80" s="913">
        <v>16.134999999999998</v>
      </c>
      <c r="DI80" s="913">
        <v>16.204999999999998</v>
      </c>
      <c r="DJ80" s="913">
        <v>16.274999999999999</v>
      </c>
      <c r="DK80" s="913">
        <v>16.344999999999999</v>
      </c>
      <c r="DL80" s="913">
        <v>16.41</v>
      </c>
      <c r="DM80" s="913">
        <v>16.484999999999999</v>
      </c>
      <c r="DN80" s="913">
        <v>16.55</v>
      </c>
      <c r="DO80" s="913">
        <v>16.62</v>
      </c>
      <c r="DP80" s="913">
        <v>16.685000000000002</v>
      </c>
      <c r="DQ80" s="913">
        <v>16.75</v>
      </c>
      <c r="DR80" s="913">
        <v>16.814999999999998</v>
      </c>
    </row>
    <row r="81" spans="1:122" s="127" customFormat="1" ht="12.75">
      <c r="A81" s="917">
        <v>79</v>
      </c>
      <c r="B81" s="913"/>
      <c r="C81" s="913"/>
      <c r="D81" s="913"/>
      <c r="E81" s="913"/>
      <c r="F81" s="913"/>
      <c r="G81" s="913"/>
      <c r="H81" s="913"/>
      <c r="I81" s="913"/>
      <c r="J81" s="913"/>
      <c r="K81" s="913"/>
      <c r="L81" s="913"/>
      <c r="M81" s="913"/>
      <c r="N81" s="913"/>
      <c r="O81" s="913"/>
      <c r="P81" s="913"/>
      <c r="Q81" s="913"/>
      <c r="R81" s="913"/>
      <c r="S81" s="913"/>
      <c r="T81" s="913"/>
      <c r="U81" s="913"/>
      <c r="V81" s="913"/>
      <c r="W81" s="913">
        <v>8.6349999999999998</v>
      </c>
      <c r="X81" s="913">
        <v>8.6850000000000005</v>
      </c>
      <c r="Y81" s="913">
        <v>8.77</v>
      </c>
      <c r="Z81" s="913">
        <v>8.879999999999999</v>
      </c>
      <c r="AA81" s="913">
        <v>8.9250000000000007</v>
      </c>
      <c r="AB81" s="913">
        <v>9</v>
      </c>
      <c r="AC81" s="913">
        <v>9.06</v>
      </c>
      <c r="AD81" s="913">
        <v>9.08</v>
      </c>
      <c r="AE81" s="913">
        <v>9.1449999999999996</v>
      </c>
      <c r="AF81" s="913">
        <v>9.2399999999999984</v>
      </c>
      <c r="AG81" s="913">
        <v>9.3099999999999987</v>
      </c>
      <c r="AH81" s="913">
        <v>9.3849999999999998</v>
      </c>
      <c r="AI81" s="913">
        <v>9.48</v>
      </c>
      <c r="AJ81" s="913">
        <v>9.58</v>
      </c>
      <c r="AK81" s="913">
        <v>9.67</v>
      </c>
      <c r="AL81" s="913">
        <v>9.7750000000000004</v>
      </c>
      <c r="AM81" s="913">
        <v>9.86</v>
      </c>
      <c r="AN81" s="913">
        <v>9.9450000000000003</v>
      </c>
      <c r="AO81" s="913">
        <v>10.025</v>
      </c>
      <c r="AP81" s="913">
        <v>10.100000000000001</v>
      </c>
      <c r="AQ81" s="913">
        <v>10.18</v>
      </c>
      <c r="AR81" s="913">
        <v>10.254999999999999</v>
      </c>
      <c r="AS81" s="913">
        <v>10.335000000000001</v>
      </c>
      <c r="AT81" s="913">
        <v>10.41</v>
      </c>
      <c r="AU81" s="913">
        <v>10.49</v>
      </c>
      <c r="AV81" s="913">
        <v>10.559999999999999</v>
      </c>
      <c r="AW81" s="913">
        <v>10.64</v>
      </c>
      <c r="AX81" s="913">
        <v>10.715</v>
      </c>
      <c r="AY81" s="913">
        <v>10.795</v>
      </c>
      <c r="AZ81" s="913">
        <v>10.870000000000001</v>
      </c>
      <c r="BA81" s="913">
        <v>10.95</v>
      </c>
      <c r="BB81" s="913">
        <v>11.025</v>
      </c>
      <c r="BC81" s="913">
        <v>11.100000000000001</v>
      </c>
      <c r="BD81" s="913">
        <v>11.18</v>
      </c>
      <c r="BE81" s="913">
        <v>11.254999999999999</v>
      </c>
      <c r="BF81" s="913">
        <v>11.335000000000001</v>
      </c>
      <c r="BG81" s="913">
        <v>11.41</v>
      </c>
      <c r="BH81" s="913">
        <v>11.489999999999998</v>
      </c>
      <c r="BI81" s="913">
        <v>11.565</v>
      </c>
      <c r="BJ81" s="913">
        <v>11.64</v>
      </c>
      <c r="BK81" s="913">
        <v>11.715</v>
      </c>
      <c r="BL81" s="913">
        <v>11.795</v>
      </c>
      <c r="BM81" s="913">
        <v>11.870000000000001</v>
      </c>
      <c r="BN81" s="913">
        <v>11.95</v>
      </c>
      <c r="BO81" s="913">
        <v>12.025</v>
      </c>
      <c r="BP81" s="913">
        <v>12.105</v>
      </c>
      <c r="BQ81" s="913">
        <v>12.175000000000001</v>
      </c>
      <c r="BR81" s="913">
        <v>12.254999999999999</v>
      </c>
      <c r="BS81" s="913">
        <v>12.33</v>
      </c>
      <c r="BT81" s="914">
        <v>12.405000000000001</v>
      </c>
      <c r="BU81" s="913">
        <v>12.484999999999999</v>
      </c>
      <c r="BV81" s="913">
        <v>12.56</v>
      </c>
      <c r="BW81" s="913">
        <v>12.629999999999999</v>
      </c>
      <c r="BX81" s="913">
        <v>12.71</v>
      </c>
      <c r="BY81" s="913">
        <v>12.785</v>
      </c>
      <c r="BZ81" s="913">
        <v>12.86</v>
      </c>
      <c r="CA81" s="913">
        <v>12.94</v>
      </c>
      <c r="CB81" s="913">
        <v>13.01</v>
      </c>
      <c r="CC81" s="913">
        <v>13.085000000000001</v>
      </c>
      <c r="CD81" s="913">
        <v>13.16</v>
      </c>
      <c r="CE81" s="913">
        <v>13.234999999999999</v>
      </c>
      <c r="CF81" s="913">
        <v>13.31</v>
      </c>
      <c r="CG81" s="913">
        <v>13.385000000000002</v>
      </c>
      <c r="CH81" s="913">
        <v>13.46</v>
      </c>
      <c r="CI81" s="913">
        <v>13.530000000000001</v>
      </c>
      <c r="CJ81" s="913">
        <v>13.605</v>
      </c>
      <c r="CK81" s="913">
        <v>13.68</v>
      </c>
      <c r="CL81" s="913">
        <v>13.75</v>
      </c>
      <c r="CM81" s="913">
        <v>13.824999999999999</v>
      </c>
      <c r="CN81" s="913">
        <v>13.899999999999999</v>
      </c>
      <c r="CO81" s="913">
        <v>13.969999999999999</v>
      </c>
      <c r="CP81" s="913">
        <v>14.045</v>
      </c>
      <c r="CQ81" s="913">
        <v>14.115</v>
      </c>
      <c r="CR81" s="913">
        <v>14.190000000000001</v>
      </c>
      <c r="CS81" s="913">
        <v>14.254999999999999</v>
      </c>
      <c r="CT81" s="913">
        <v>14.33</v>
      </c>
      <c r="CU81" s="913">
        <v>14.399999999999999</v>
      </c>
      <c r="CV81" s="913">
        <v>14.475</v>
      </c>
      <c r="CW81" s="913">
        <v>14.54</v>
      </c>
      <c r="CX81" s="913">
        <v>14.61</v>
      </c>
      <c r="CY81" s="913">
        <v>14.684999999999999</v>
      </c>
      <c r="CZ81" s="913">
        <v>14.754999999999999</v>
      </c>
      <c r="DA81" s="913">
        <v>14.824999999999999</v>
      </c>
      <c r="DB81" s="913">
        <v>14.895</v>
      </c>
      <c r="DC81" s="913">
        <v>14.96</v>
      </c>
      <c r="DD81" s="913">
        <v>15.03</v>
      </c>
      <c r="DE81" s="913">
        <v>15.1</v>
      </c>
      <c r="DF81" s="913">
        <v>15.17</v>
      </c>
      <c r="DG81" s="913">
        <v>15.234999999999999</v>
      </c>
      <c r="DH81" s="913">
        <v>15.305</v>
      </c>
      <c r="DI81" s="913">
        <v>15.370000000000001</v>
      </c>
      <c r="DJ81" s="913">
        <v>15.435</v>
      </c>
      <c r="DK81" s="913">
        <v>15.504999999999999</v>
      </c>
      <c r="DL81" s="913">
        <v>15.574999999999999</v>
      </c>
      <c r="DM81" s="913">
        <v>15.64</v>
      </c>
      <c r="DN81" s="913">
        <v>15.705</v>
      </c>
      <c r="DO81" s="913">
        <v>15.775</v>
      </c>
      <c r="DP81" s="913">
        <v>15.835000000000001</v>
      </c>
      <c r="DQ81" s="913">
        <v>15.9</v>
      </c>
      <c r="DR81" s="913">
        <v>15.965</v>
      </c>
    </row>
    <row r="82" spans="1:122" s="127" customFormat="1" ht="12.75">
      <c r="A82" s="917">
        <v>80</v>
      </c>
      <c r="B82" s="913"/>
      <c r="C82" s="913"/>
      <c r="D82" s="913"/>
      <c r="E82" s="913"/>
      <c r="F82" s="913"/>
      <c r="G82" s="913"/>
      <c r="H82" s="913"/>
      <c r="I82" s="913"/>
      <c r="J82" s="913"/>
      <c r="K82" s="913"/>
      <c r="L82" s="913"/>
      <c r="M82" s="913"/>
      <c r="N82" s="913"/>
      <c r="O82" s="913"/>
      <c r="P82" s="913"/>
      <c r="Q82" s="913"/>
      <c r="R82" s="913"/>
      <c r="S82" s="913"/>
      <c r="T82" s="913"/>
      <c r="U82" s="913"/>
      <c r="V82" s="913"/>
      <c r="W82" s="913">
        <v>8.1150000000000002</v>
      </c>
      <c r="X82" s="913">
        <v>8.16</v>
      </c>
      <c r="Y82" s="913">
        <v>8.25</v>
      </c>
      <c r="Z82" s="913">
        <v>8.3450000000000006</v>
      </c>
      <c r="AA82" s="913">
        <v>8.379999999999999</v>
      </c>
      <c r="AB82" s="913">
        <v>8.4450000000000003</v>
      </c>
      <c r="AC82" s="913">
        <v>8.49</v>
      </c>
      <c r="AD82" s="913">
        <v>8.52</v>
      </c>
      <c r="AE82" s="913">
        <v>8.59</v>
      </c>
      <c r="AF82" s="913">
        <v>8.67</v>
      </c>
      <c r="AG82" s="913">
        <v>8.74</v>
      </c>
      <c r="AH82" s="913">
        <v>8.8099999999999987</v>
      </c>
      <c r="AI82" s="913">
        <v>8.91</v>
      </c>
      <c r="AJ82" s="913">
        <v>8.9899999999999984</v>
      </c>
      <c r="AK82" s="913">
        <v>9.08</v>
      </c>
      <c r="AL82" s="913">
        <v>9.17</v>
      </c>
      <c r="AM82" s="913">
        <v>9.26</v>
      </c>
      <c r="AN82" s="913">
        <v>9.3449999999999989</v>
      </c>
      <c r="AO82" s="913">
        <v>9.4149999999999991</v>
      </c>
      <c r="AP82" s="913">
        <v>9.4849999999999994</v>
      </c>
      <c r="AQ82" s="913">
        <v>9.5549999999999997</v>
      </c>
      <c r="AR82" s="913">
        <v>9.6300000000000008</v>
      </c>
      <c r="AS82" s="913">
        <v>9.7050000000000001</v>
      </c>
      <c r="AT82" s="913">
        <v>9.7799999999999994</v>
      </c>
      <c r="AU82" s="913">
        <v>9.8550000000000004</v>
      </c>
      <c r="AV82" s="913">
        <v>9.9250000000000007</v>
      </c>
      <c r="AW82" s="913">
        <v>9.995000000000001</v>
      </c>
      <c r="AX82" s="913">
        <v>10.074999999999999</v>
      </c>
      <c r="AY82" s="913">
        <v>10.145</v>
      </c>
      <c r="AZ82" s="913">
        <v>10.215</v>
      </c>
      <c r="BA82" s="913">
        <v>10.295000000000002</v>
      </c>
      <c r="BB82" s="913">
        <v>10.364999999999998</v>
      </c>
      <c r="BC82" s="913">
        <v>10.44</v>
      </c>
      <c r="BD82" s="913">
        <v>10.515000000000001</v>
      </c>
      <c r="BE82" s="913">
        <v>10.59</v>
      </c>
      <c r="BF82" s="913">
        <v>10.66</v>
      </c>
      <c r="BG82" s="913">
        <v>10.734999999999999</v>
      </c>
      <c r="BH82" s="913">
        <v>10.81</v>
      </c>
      <c r="BI82" s="913">
        <v>10.885000000000002</v>
      </c>
      <c r="BJ82" s="913">
        <v>10.955</v>
      </c>
      <c r="BK82" s="913">
        <v>11.030000000000001</v>
      </c>
      <c r="BL82" s="913">
        <v>11.105</v>
      </c>
      <c r="BM82" s="913">
        <v>11.18</v>
      </c>
      <c r="BN82" s="913">
        <v>11.25</v>
      </c>
      <c r="BO82" s="913">
        <v>11.324999999999999</v>
      </c>
      <c r="BP82" s="913">
        <v>11.395</v>
      </c>
      <c r="BQ82" s="913">
        <v>11.469999999999999</v>
      </c>
      <c r="BR82" s="913">
        <v>11.545</v>
      </c>
      <c r="BS82" s="913">
        <v>11.620000000000001</v>
      </c>
      <c r="BT82" s="914">
        <v>11.690000000000001</v>
      </c>
      <c r="BU82" s="913">
        <v>11.765000000000001</v>
      </c>
      <c r="BV82" s="913">
        <v>11.835000000000001</v>
      </c>
      <c r="BW82" s="913">
        <v>11.91</v>
      </c>
      <c r="BX82" s="913">
        <v>11.98</v>
      </c>
      <c r="BY82" s="913">
        <v>12.055</v>
      </c>
      <c r="BZ82" s="913">
        <v>12.125</v>
      </c>
      <c r="CA82" s="913">
        <v>12.2</v>
      </c>
      <c r="CB82" s="913">
        <v>12.27</v>
      </c>
      <c r="CC82" s="913">
        <v>12.34</v>
      </c>
      <c r="CD82" s="913">
        <v>12.414999999999999</v>
      </c>
      <c r="CE82" s="913">
        <v>12.484999999999999</v>
      </c>
      <c r="CF82" s="913">
        <v>12.559999999999999</v>
      </c>
      <c r="CG82" s="913">
        <v>12.629999999999999</v>
      </c>
      <c r="CH82" s="913">
        <v>12.7</v>
      </c>
      <c r="CI82" s="913">
        <v>12.775</v>
      </c>
      <c r="CJ82" s="913">
        <v>12.84</v>
      </c>
      <c r="CK82" s="913">
        <v>12.91</v>
      </c>
      <c r="CL82" s="913">
        <v>12.984999999999999</v>
      </c>
      <c r="CM82" s="913">
        <v>13.055</v>
      </c>
      <c r="CN82" s="913">
        <v>13.120000000000001</v>
      </c>
      <c r="CO82" s="913">
        <v>13.195</v>
      </c>
      <c r="CP82" s="913">
        <v>13.265000000000001</v>
      </c>
      <c r="CQ82" s="913">
        <v>13.335000000000001</v>
      </c>
      <c r="CR82" s="913">
        <v>13.4</v>
      </c>
      <c r="CS82" s="913">
        <v>13.475000000000001</v>
      </c>
      <c r="CT82" s="913">
        <v>13.54</v>
      </c>
      <c r="CU82" s="913">
        <v>13.61</v>
      </c>
      <c r="CV82" s="913">
        <v>13.68</v>
      </c>
      <c r="CW82" s="913">
        <v>13.745000000000001</v>
      </c>
      <c r="CX82" s="913">
        <v>13.815000000000001</v>
      </c>
      <c r="CY82" s="913">
        <v>13.885</v>
      </c>
      <c r="CZ82" s="913">
        <v>13.95</v>
      </c>
      <c r="DA82" s="913">
        <v>14.02</v>
      </c>
      <c r="DB82" s="913">
        <v>14.085000000000001</v>
      </c>
      <c r="DC82" s="913">
        <v>14.154999999999999</v>
      </c>
      <c r="DD82" s="913">
        <v>14.219999999999999</v>
      </c>
      <c r="DE82" s="913">
        <v>14.285</v>
      </c>
      <c r="DF82" s="913">
        <v>14.355</v>
      </c>
      <c r="DG82" s="913">
        <v>14.42</v>
      </c>
      <c r="DH82" s="913">
        <v>14.484999999999999</v>
      </c>
      <c r="DI82" s="913">
        <v>14.545</v>
      </c>
      <c r="DJ82" s="913">
        <v>14.61</v>
      </c>
      <c r="DK82" s="913">
        <v>14.68</v>
      </c>
      <c r="DL82" s="913">
        <v>14.745000000000001</v>
      </c>
      <c r="DM82" s="913">
        <v>14.81</v>
      </c>
      <c r="DN82" s="913">
        <v>14.870000000000001</v>
      </c>
      <c r="DO82" s="913">
        <v>14.934999999999999</v>
      </c>
      <c r="DP82" s="913">
        <v>15</v>
      </c>
      <c r="DQ82" s="913">
        <v>15.06</v>
      </c>
      <c r="DR82" s="913">
        <v>15.125</v>
      </c>
    </row>
    <row r="83" spans="1:122" s="127" customFormat="1" ht="12.75">
      <c r="A83" s="917">
        <v>81</v>
      </c>
      <c r="B83" s="913"/>
      <c r="C83" s="913"/>
      <c r="D83" s="913"/>
      <c r="E83" s="913"/>
      <c r="F83" s="913"/>
      <c r="G83" s="913"/>
      <c r="H83" s="913"/>
      <c r="I83" s="913"/>
      <c r="J83" s="913"/>
      <c r="K83" s="913"/>
      <c r="L83" s="913"/>
      <c r="M83" s="913"/>
      <c r="N83" s="913"/>
      <c r="O83" s="913"/>
      <c r="P83" s="913"/>
      <c r="Q83" s="913"/>
      <c r="R83" s="913"/>
      <c r="S83" s="913"/>
      <c r="T83" s="913"/>
      <c r="U83" s="913"/>
      <c r="V83" s="913"/>
      <c r="W83" s="913">
        <v>7.6199999999999992</v>
      </c>
      <c r="X83" s="913">
        <v>7.6749999999999998</v>
      </c>
      <c r="Y83" s="913">
        <v>7.74</v>
      </c>
      <c r="Z83" s="913">
        <v>7.82</v>
      </c>
      <c r="AA83" s="913">
        <v>7.8449999999999998</v>
      </c>
      <c r="AB83" s="913">
        <v>7.91</v>
      </c>
      <c r="AC83" s="913">
        <v>7.9550000000000001</v>
      </c>
      <c r="AD83" s="913">
        <v>7.9850000000000003</v>
      </c>
      <c r="AE83" s="913">
        <v>8.0350000000000001</v>
      </c>
      <c r="AF83" s="913">
        <v>8.1199999999999992</v>
      </c>
      <c r="AG83" s="913">
        <v>8.1850000000000005</v>
      </c>
      <c r="AH83" s="913">
        <v>8.254999999999999</v>
      </c>
      <c r="AI83" s="913">
        <v>8.3350000000000009</v>
      </c>
      <c r="AJ83" s="913">
        <v>8.4250000000000007</v>
      </c>
      <c r="AK83" s="913">
        <v>8.504999999999999</v>
      </c>
      <c r="AL83" s="913">
        <v>8.5949999999999989</v>
      </c>
      <c r="AM83" s="913">
        <v>8.6750000000000007</v>
      </c>
      <c r="AN83" s="913">
        <v>8.745000000000001</v>
      </c>
      <c r="AO83" s="913">
        <v>8.8150000000000013</v>
      </c>
      <c r="AP83" s="913">
        <v>8.8849999999999998</v>
      </c>
      <c r="AQ83" s="913">
        <v>8.9550000000000001</v>
      </c>
      <c r="AR83" s="913">
        <v>9.0250000000000004</v>
      </c>
      <c r="AS83" s="913">
        <v>9.0949999999999989</v>
      </c>
      <c r="AT83" s="913">
        <v>9.1649999999999991</v>
      </c>
      <c r="AU83" s="913">
        <v>9.2349999999999994</v>
      </c>
      <c r="AV83" s="913">
        <v>9.3000000000000007</v>
      </c>
      <c r="AW83" s="913">
        <v>9.370000000000001</v>
      </c>
      <c r="AX83" s="913">
        <v>9.4400000000000013</v>
      </c>
      <c r="AY83" s="913">
        <v>9.51</v>
      </c>
      <c r="AZ83" s="913">
        <v>9.5850000000000009</v>
      </c>
      <c r="BA83" s="913">
        <v>9.6550000000000011</v>
      </c>
      <c r="BB83" s="913">
        <v>9.7249999999999996</v>
      </c>
      <c r="BC83" s="913">
        <v>9.7949999999999999</v>
      </c>
      <c r="BD83" s="913">
        <v>9.8650000000000002</v>
      </c>
      <c r="BE83" s="913">
        <v>9.9350000000000005</v>
      </c>
      <c r="BF83" s="913">
        <v>10.004999999999999</v>
      </c>
      <c r="BG83" s="913">
        <v>10.074999999999999</v>
      </c>
      <c r="BH83" s="913">
        <v>10.145</v>
      </c>
      <c r="BI83" s="913">
        <v>10.219999999999999</v>
      </c>
      <c r="BJ83" s="913">
        <v>10.29</v>
      </c>
      <c r="BK83" s="913">
        <v>10.36</v>
      </c>
      <c r="BL83" s="913">
        <v>10.43</v>
      </c>
      <c r="BM83" s="913">
        <v>10.5</v>
      </c>
      <c r="BN83" s="913">
        <v>10.57</v>
      </c>
      <c r="BO83" s="913">
        <v>10.64</v>
      </c>
      <c r="BP83" s="913">
        <v>10.715</v>
      </c>
      <c r="BQ83" s="913">
        <v>10.78</v>
      </c>
      <c r="BR83" s="913">
        <v>10.85</v>
      </c>
      <c r="BS83" s="913">
        <v>10.92</v>
      </c>
      <c r="BT83" s="914">
        <v>10.99</v>
      </c>
      <c r="BU83" s="913">
        <v>11.06</v>
      </c>
      <c r="BV83" s="913">
        <v>11.129999999999999</v>
      </c>
      <c r="BW83" s="913">
        <v>11.2</v>
      </c>
      <c r="BX83" s="913">
        <v>11.27</v>
      </c>
      <c r="BY83" s="913">
        <v>11.34</v>
      </c>
      <c r="BZ83" s="913">
        <v>11.41</v>
      </c>
      <c r="CA83" s="913">
        <v>11.475000000000001</v>
      </c>
      <c r="CB83" s="913">
        <v>11.545</v>
      </c>
      <c r="CC83" s="913">
        <v>11.614999999999998</v>
      </c>
      <c r="CD83" s="913">
        <v>11.684999999999999</v>
      </c>
      <c r="CE83" s="913">
        <v>11.754999999999999</v>
      </c>
      <c r="CF83" s="913">
        <v>11.824999999999999</v>
      </c>
      <c r="CG83" s="913">
        <v>11.895</v>
      </c>
      <c r="CH83" s="913">
        <v>11.96</v>
      </c>
      <c r="CI83" s="913">
        <v>12.030000000000001</v>
      </c>
      <c r="CJ83" s="913">
        <v>12.094999999999999</v>
      </c>
      <c r="CK83" s="913">
        <v>12.164999999999999</v>
      </c>
      <c r="CL83" s="913">
        <v>12.234999999999999</v>
      </c>
      <c r="CM83" s="913">
        <v>12.3</v>
      </c>
      <c r="CN83" s="913">
        <v>12.370000000000001</v>
      </c>
      <c r="CO83" s="913">
        <v>12.435</v>
      </c>
      <c r="CP83" s="913">
        <v>12.504999999999999</v>
      </c>
      <c r="CQ83" s="913">
        <v>12.57</v>
      </c>
      <c r="CR83" s="913">
        <v>12.635</v>
      </c>
      <c r="CS83" s="913">
        <v>12.705</v>
      </c>
      <c r="CT83" s="913">
        <v>12.77</v>
      </c>
      <c r="CU83" s="913">
        <v>12.835000000000001</v>
      </c>
      <c r="CV83" s="913">
        <v>12.899999999999999</v>
      </c>
      <c r="CW83" s="913">
        <v>12.965</v>
      </c>
      <c r="CX83" s="913">
        <v>13.030000000000001</v>
      </c>
      <c r="CY83" s="913">
        <v>13.1</v>
      </c>
      <c r="CZ83" s="913">
        <v>13.164999999999999</v>
      </c>
      <c r="DA83" s="913">
        <v>13.225</v>
      </c>
      <c r="DB83" s="913">
        <v>13.29</v>
      </c>
      <c r="DC83" s="913">
        <v>13.355</v>
      </c>
      <c r="DD83" s="913">
        <v>13.425000000000001</v>
      </c>
      <c r="DE83" s="913">
        <v>13.484999999999999</v>
      </c>
      <c r="DF83" s="913">
        <v>13.55</v>
      </c>
      <c r="DG83" s="913">
        <v>13.614999999999998</v>
      </c>
      <c r="DH83" s="913">
        <v>13.675000000000001</v>
      </c>
      <c r="DI83" s="913">
        <v>13.74</v>
      </c>
      <c r="DJ83" s="913">
        <v>13.8</v>
      </c>
      <c r="DK83" s="913">
        <v>13.865</v>
      </c>
      <c r="DL83" s="913">
        <v>13.93</v>
      </c>
      <c r="DM83" s="913">
        <v>13.99</v>
      </c>
      <c r="DN83" s="913">
        <v>14.05</v>
      </c>
      <c r="DO83" s="913">
        <v>14.11</v>
      </c>
      <c r="DP83" s="913">
        <v>14.175000000000001</v>
      </c>
      <c r="DQ83" s="913">
        <v>14.234999999999999</v>
      </c>
      <c r="DR83" s="913">
        <v>14.295</v>
      </c>
    </row>
    <row r="84" spans="1:122" s="127" customFormat="1" ht="12.75">
      <c r="A84" s="917">
        <v>82</v>
      </c>
      <c r="B84" s="913"/>
      <c r="C84" s="913"/>
      <c r="D84" s="913"/>
      <c r="E84" s="913"/>
      <c r="F84" s="913"/>
      <c r="G84" s="913"/>
      <c r="H84" s="913"/>
      <c r="I84" s="913"/>
      <c r="J84" s="913"/>
      <c r="K84" s="913"/>
      <c r="L84" s="913"/>
      <c r="M84" s="913"/>
      <c r="N84" s="913"/>
      <c r="O84" s="913"/>
      <c r="P84" s="913"/>
      <c r="Q84" s="913"/>
      <c r="R84" s="913"/>
      <c r="S84" s="913"/>
      <c r="T84" s="913"/>
      <c r="U84" s="913"/>
      <c r="V84" s="913"/>
      <c r="W84" s="913">
        <v>7.15</v>
      </c>
      <c r="X84" s="913">
        <v>7.1850000000000005</v>
      </c>
      <c r="Y84" s="913">
        <v>7.2449999999999992</v>
      </c>
      <c r="Z84" s="913">
        <v>7.3100000000000005</v>
      </c>
      <c r="AA84" s="913">
        <v>7.33</v>
      </c>
      <c r="AB84" s="913">
        <v>7.3949999999999996</v>
      </c>
      <c r="AC84" s="913">
        <v>7.4399999999999995</v>
      </c>
      <c r="AD84" s="913">
        <v>7.4600000000000009</v>
      </c>
      <c r="AE84" s="913">
        <v>7.51</v>
      </c>
      <c r="AF84" s="913">
        <v>7.5849999999999991</v>
      </c>
      <c r="AG84" s="913">
        <v>7.665</v>
      </c>
      <c r="AH84" s="913">
        <v>7.7100000000000009</v>
      </c>
      <c r="AI84" s="913">
        <v>7.8049999999999997</v>
      </c>
      <c r="AJ84" s="913">
        <v>7.875</v>
      </c>
      <c r="AK84" s="913">
        <v>7.9649999999999999</v>
      </c>
      <c r="AL84" s="913">
        <v>8.0399999999999991</v>
      </c>
      <c r="AM84" s="913">
        <v>8.1050000000000004</v>
      </c>
      <c r="AN84" s="913">
        <v>8.1750000000000007</v>
      </c>
      <c r="AO84" s="913">
        <v>8.24</v>
      </c>
      <c r="AP84" s="913">
        <v>8.3049999999999997</v>
      </c>
      <c r="AQ84" s="913">
        <v>8.375</v>
      </c>
      <c r="AR84" s="913">
        <v>8.44</v>
      </c>
      <c r="AS84" s="913">
        <v>8.5</v>
      </c>
      <c r="AT84" s="913">
        <v>8.57</v>
      </c>
      <c r="AU84" s="913">
        <v>8.6349999999999998</v>
      </c>
      <c r="AV84" s="913">
        <v>8.7050000000000001</v>
      </c>
      <c r="AW84" s="913">
        <v>8.77</v>
      </c>
      <c r="AX84" s="913">
        <v>8.8350000000000009</v>
      </c>
      <c r="AY84" s="913">
        <v>8.9050000000000011</v>
      </c>
      <c r="AZ84" s="913">
        <v>8.9699999999999989</v>
      </c>
      <c r="BA84" s="913">
        <v>9.0350000000000001</v>
      </c>
      <c r="BB84" s="913">
        <v>9.1050000000000004</v>
      </c>
      <c r="BC84" s="913">
        <v>9.1750000000000007</v>
      </c>
      <c r="BD84" s="913">
        <v>9.2349999999999994</v>
      </c>
      <c r="BE84" s="913">
        <v>9.3049999999999997</v>
      </c>
      <c r="BF84" s="913">
        <v>9.375</v>
      </c>
      <c r="BG84" s="913">
        <v>9.4400000000000013</v>
      </c>
      <c r="BH84" s="913">
        <v>9.504999999999999</v>
      </c>
      <c r="BI84" s="913">
        <v>9.57</v>
      </c>
      <c r="BJ84" s="913">
        <v>9.64</v>
      </c>
      <c r="BK84" s="913">
        <v>9.7100000000000009</v>
      </c>
      <c r="BL84" s="913">
        <v>9.7750000000000004</v>
      </c>
      <c r="BM84" s="913">
        <v>9.84</v>
      </c>
      <c r="BN84" s="913">
        <v>9.91</v>
      </c>
      <c r="BO84" s="913">
        <v>9.9749999999999996</v>
      </c>
      <c r="BP84" s="913">
        <v>10.045</v>
      </c>
      <c r="BQ84" s="913">
        <v>10.11</v>
      </c>
      <c r="BR84" s="913">
        <v>10.175000000000001</v>
      </c>
      <c r="BS84" s="913">
        <v>10.245000000000001</v>
      </c>
      <c r="BT84" s="914">
        <v>10.309999999999999</v>
      </c>
      <c r="BU84" s="913">
        <v>10.379999999999999</v>
      </c>
      <c r="BV84" s="913">
        <v>10.445</v>
      </c>
      <c r="BW84" s="913">
        <v>10.510000000000002</v>
      </c>
      <c r="BX84" s="913">
        <v>10.574999999999999</v>
      </c>
      <c r="BY84" s="913">
        <v>10.645</v>
      </c>
      <c r="BZ84" s="913">
        <v>10.71</v>
      </c>
      <c r="CA84" s="913">
        <v>10.780000000000001</v>
      </c>
      <c r="CB84" s="913">
        <v>10.84</v>
      </c>
      <c r="CC84" s="913">
        <v>10.91</v>
      </c>
      <c r="CD84" s="913">
        <v>10.975</v>
      </c>
      <c r="CE84" s="913">
        <v>11.04</v>
      </c>
      <c r="CF84" s="913">
        <v>11.105</v>
      </c>
      <c r="CG84" s="913">
        <v>11.17</v>
      </c>
      <c r="CH84" s="913">
        <v>11.24</v>
      </c>
      <c r="CI84" s="913">
        <v>11.305</v>
      </c>
      <c r="CJ84" s="913">
        <v>11.365</v>
      </c>
      <c r="CK84" s="913">
        <v>11.434999999999999</v>
      </c>
      <c r="CL84" s="913">
        <v>11.5</v>
      </c>
      <c r="CM84" s="913">
        <v>11.56</v>
      </c>
      <c r="CN84" s="913">
        <v>11.625</v>
      </c>
      <c r="CO84" s="913">
        <v>11.695</v>
      </c>
      <c r="CP84" s="913">
        <v>11.754999999999999</v>
      </c>
      <c r="CQ84" s="913">
        <v>11.82</v>
      </c>
      <c r="CR84" s="913">
        <v>11.885000000000002</v>
      </c>
      <c r="CS84" s="913">
        <v>11.945</v>
      </c>
      <c r="CT84" s="913">
        <v>12.015000000000001</v>
      </c>
      <c r="CU84" s="913">
        <v>12.08</v>
      </c>
      <c r="CV84" s="913">
        <v>12.14</v>
      </c>
      <c r="CW84" s="913">
        <v>12.205</v>
      </c>
      <c r="CX84" s="913">
        <v>12.265000000000001</v>
      </c>
      <c r="CY84" s="913">
        <v>12.33</v>
      </c>
      <c r="CZ84" s="913">
        <v>12.39</v>
      </c>
      <c r="DA84" s="913">
        <v>12.455</v>
      </c>
      <c r="DB84" s="913">
        <v>12.515000000000001</v>
      </c>
      <c r="DC84" s="913">
        <v>12.58</v>
      </c>
      <c r="DD84" s="913">
        <v>12.64</v>
      </c>
      <c r="DE84" s="913">
        <v>12.705</v>
      </c>
      <c r="DF84" s="913">
        <v>12.765000000000001</v>
      </c>
      <c r="DG84" s="913">
        <v>12.82</v>
      </c>
      <c r="DH84" s="913">
        <v>12.885</v>
      </c>
      <c r="DI84" s="913">
        <v>12.945</v>
      </c>
      <c r="DJ84" s="913">
        <v>13.005000000000001</v>
      </c>
      <c r="DK84" s="913">
        <v>13.07</v>
      </c>
      <c r="DL84" s="913">
        <v>13.125</v>
      </c>
      <c r="DM84" s="913">
        <v>13.185</v>
      </c>
      <c r="DN84" s="913">
        <v>13.245000000000001</v>
      </c>
      <c r="DO84" s="913">
        <v>13.305</v>
      </c>
      <c r="DP84" s="913">
        <v>13.365</v>
      </c>
      <c r="DQ84" s="913">
        <v>13.42</v>
      </c>
      <c r="DR84" s="913">
        <v>13.48</v>
      </c>
    </row>
    <row r="85" spans="1:122" s="127" customFormat="1" ht="12.75">
      <c r="A85" s="917">
        <v>83</v>
      </c>
      <c r="B85" s="913"/>
      <c r="C85" s="913"/>
      <c r="D85" s="913"/>
      <c r="E85" s="913"/>
      <c r="F85" s="913"/>
      <c r="G85" s="913"/>
      <c r="H85" s="913"/>
      <c r="I85" s="913"/>
      <c r="J85" s="913"/>
      <c r="K85" s="913"/>
      <c r="L85" s="913"/>
      <c r="M85" s="913"/>
      <c r="N85" s="913"/>
      <c r="O85" s="913"/>
      <c r="P85" s="913"/>
      <c r="Q85" s="913"/>
      <c r="R85" s="913"/>
      <c r="S85" s="913"/>
      <c r="T85" s="913"/>
      <c r="U85" s="913"/>
      <c r="V85" s="913"/>
      <c r="W85" s="913">
        <v>6.6850000000000005</v>
      </c>
      <c r="X85" s="913">
        <v>6.71</v>
      </c>
      <c r="Y85" s="913">
        <v>6.76</v>
      </c>
      <c r="Z85" s="913">
        <v>6.8100000000000005</v>
      </c>
      <c r="AA85" s="913">
        <v>6.84</v>
      </c>
      <c r="AB85" s="913">
        <v>6.91</v>
      </c>
      <c r="AC85" s="913">
        <v>6.93</v>
      </c>
      <c r="AD85" s="913">
        <v>6.96</v>
      </c>
      <c r="AE85" s="913">
        <v>7.0049999999999999</v>
      </c>
      <c r="AF85" s="913">
        <v>7.09</v>
      </c>
      <c r="AG85" s="913">
        <v>7.1449999999999996</v>
      </c>
      <c r="AH85" s="913">
        <v>7.2</v>
      </c>
      <c r="AI85" s="913">
        <v>7.28</v>
      </c>
      <c r="AJ85" s="913">
        <v>7.36</v>
      </c>
      <c r="AK85" s="913">
        <v>7.4350000000000005</v>
      </c>
      <c r="AL85" s="913">
        <v>7.5</v>
      </c>
      <c r="AM85" s="913">
        <v>7.5600000000000005</v>
      </c>
      <c r="AN85" s="913">
        <v>7.6199999999999992</v>
      </c>
      <c r="AO85" s="913">
        <v>7.6850000000000005</v>
      </c>
      <c r="AP85" s="913">
        <v>7.75</v>
      </c>
      <c r="AQ85" s="913">
        <v>7.8100000000000005</v>
      </c>
      <c r="AR85" s="913">
        <v>7.875</v>
      </c>
      <c r="AS85" s="913">
        <v>7.9349999999999996</v>
      </c>
      <c r="AT85" s="913">
        <v>8</v>
      </c>
      <c r="AU85" s="913">
        <v>8.06</v>
      </c>
      <c r="AV85" s="913">
        <v>8.125</v>
      </c>
      <c r="AW85" s="913">
        <v>8.1849999999999987</v>
      </c>
      <c r="AX85" s="913">
        <v>8.25</v>
      </c>
      <c r="AY85" s="913">
        <v>8.3149999999999995</v>
      </c>
      <c r="AZ85" s="913">
        <v>8.375</v>
      </c>
      <c r="BA85" s="913">
        <v>8.44</v>
      </c>
      <c r="BB85" s="913">
        <v>8.504999999999999</v>
      </c>
      <c r="BC85" s="913">
        <v>8.5649999999999995</v>
      </c>
      <c r="BD85" s="913">
        <v>8.6300000000000008</v>
      </c>
      <c r="BE85" s="913">
        <v>8.6950000000000003</v>
      </c>
      <c r="BF85" s="913">
        <v>8.76</v>
      </c>
      <c r="BG85" s="913">
        <v>8.82</v>
      </c>
      <c r="BH85" s="913">
        <v>8.8850000000000016</v>
      </c>
      <c r="BI85" s="913">
        <v>8.9499999999999993</v>
      </c>
      <c r="BJ85" s="913">
        <v>9.01</v>
      </c>
      <c r="BK85" s="913">
        <v>9.08</v>
      </c>
      <c r="BL85" s="913">
        <v>9.14</v>
      </c>
      <c r="BM85" s="913">
        <v>9.2049999999999983</v>
      </c>
      <c r="BN85" s="913">
        <v>9.27</v>
      </c>
      <c r="BO85" s="913">
        <v>9.3350000000000009</v>
      </c>
      <c r="BP85" s="913">
        <v>9.3949999999999996</v>
      </c>
      <c r="BQ85" s="913">
        <v>9.4600000000000009</v>
      </c>
      <c r="BR85" s="913">
        <v>9.5249999999999986</v>
      </c>
      <c r="BS85" s="913">
        <v>9.5850000000000009</v>
      </c>
      <c r="BT85" s="914">
        <v>9.65</v>
      </c>
      <c r="BU85" s="913">
        <v>9.7149999999999999</v>
      </c>
      <c r="BV85" s="913">
        <v>9.7799999999999994</v>
      </c>
      <c r="BW85" s="913">
        <v>9.84</v>
      </c>
      <c r="BX85" s="913">
        <v>9.9050000000000011</v>
      </c>
      <c r="BY85" s="913">
        <v>9.9700000000000006</v>
      </c>
      <c r="BZ85" s="913">
        <v>10.035</v>
      </c>
      <c r="CA85" s="913">
        <v>10.094999999999999</v>
      </c>
      <c r="CB85" s="913">
        <v>10.155000000000001</v>
      </c>
      <c r="CC85" s="913">
        <v>10.219999999999999</v>
      </c>
      <c r="CD85" s="913">
        <v>10.285</v>
      </c>
      <c r="CE85" s="913">
        <v>10.35</v>
      </c>
      <c r="CF85" s="913">
        <v>10.41</v>
      </c>
      <c r="CG85" s="913">
        <v>10.475</v>
      </c>
      <c r="CH85" s="913">
        <v>10.535</v>
      </c>
      <c r="CI85" s="913">
        <v>10.594999999999999</v>
      </c>
      <c r="CJ85" s="913">
        <v>10.66</v>
      </c>
      <c r="CK85" s="913">
        <v>10.719999999999999</v>
      </c>
      <c r="CL85" s="913">
        <v>10.785</v>
      </c>
      <c r="CM85" s="913">
        <v>10.845000000000001</v>
      </c>
      <c r="CN85" s="913">
        <v>10.904999999999999</v>
      </c>
      <c r="CO85" s="913">
        <v>10.969999999999999</v>
      </c>
      <c r="CP85" s="913">
        <v>11.030000000000001</v>
      </c>
      <c r="CQ85" s="913">
        <v>11.09</v>
      </c>
      <c r="CR85" s="913">
        <v>11.154999999999999</v>
      </c>
      <c r="CS85" s="913">
        <v>11.215</v>
      </c>
      <c r="CT85" s="913">
        <v>11.275</v>
      </c>
      <c r="CU85" s="913">
        <v>11.34</v>
      </c>
      <c r="CV85" s="913">
        <v>11.399999999999999</v>
      </c>
      <c r="CW85" s="913">
        <v>11.46</v>
      </c>
      <c r="CX85" s="913">
        <v>11.515000000000001</v>
      </c>
      <c r="CY85" s="913">
        <v>11.58</v>
      </c>
      <c r="CZ85" s="913">
        <v>11.64</v>
      </c>
      <c r="DA85" s="913">
        <v>11.7</v>
      </c>
      <c r="DB85" s="913">
        <v>11.754999999999999</v>
      </c>
      <c r="DC85" s="913">
        <v>11.815000000000001</v>
      </c>
      <c r="DD85" s="913">
        <v>11.879999999999999</v>
      </c>
      <c r="DE85" s="913">
        <v>11.94</v>
      </c>
      <c r="DF85" s="913">
        <v>11.995000000000001</v>
      </c>
      <c r="DG85" s="913">
        <v>12.055</v>
      </c>
      <c r="DH85" s="913">
        <v>12.11</v>
      </c>
      <c r="DI85" s="913">
        <v>12.17</v>
      </c>
      <c r="DJ85" s="913">
        <v>12.225000000000001</v>
      </c>
      <c r="DK85" s="913">
        <v>12.285</v>
      </c>
      <c r="DL85" s="913">
        <v>12.344999999999999</v>
      </c>
      <c r="DM85" s="913">
        <v>12.4</v>
      </c>
      <c r="DN85" s="913">
        <v>12.455</v>
      </c>
      <c r="DO85" s="913">
        <v>12.515000000000001</v>
      </c>
      <c r="DP85" s="913">
        <v>12.57</v>
      </c>
      <c r="DQ85" s="913">
        <v>12.629999999999999</v>
      </c>
      <c r="DR85" s="913">
        <v>12.684999999999999</v>
      </c>
    </row>
    <row r="86" spans="1:122" s="127" customFormat="1" ht="12.75">
      <c r="A86" s="917">
        <v>84</v>
      </c>
      <c r="B86" s="913"/>
      <c r="C86" s="913"/>
      <c r="D86" s="913"/>
      <c r="E86" s="913"/>
      <c r="F86" s="913"/>
      <c r="G86" s="913"/>
      <c r="H86" s="913"/>
      <c r="I86" s="913"/>
      <c r="J86" s="913"/>
      <c r="K86" s="913"/>
      <c r="L86" s="913"/>
      <c r="M86" s="913"/>
      <c r="N86" s="913"/>
      <c r="O86" s="913"/>
      <c r="P86" s="913"/>
      <c r="Q86" s="913"/>
      <c r="R86" s="913"/>
      <c r="S86" s="913"/>
      <c r="T86" s="913"/>
      <c r="U86" s="913"/>
      <c r="V86" s="913"/>
      <c r="W86" s="913">
        <v>6.24</v>
      </c>
      <c r="X86" s="913">
        <v>6.2549999999999999</v>
      </c>
      <c r="Y86" s="913">
        <v>6.29</v>
      </c>
      <c r="Z86" s="913">
        <v>6.34</v>
      </c>
      <c r="AA86" s="913">
        <v>6.3699999999999992</v>
      </c>
      <c r="AB86" s="913">
        <v>6.4250000000000007</v>
      </c>
      <c r="AC86" s="913">
        <v>6.45</v>
      </c>
      <c r="AD86" s="913">
        <v>6.48</v>
      </c>
      <c r="AE86" s="913">
        <v>6.54</v>
      </c>
      <c r="AF86" s="913">
        <v>6.5949999999999998</v>
      </c>
      <c r="AG86" s="913">
        <v>6.66</v>
      </c>
      <c r="AH86" s="913">
        <v>6.7050000000000001</v>
      </c>
      <c r="AI86" s="913">
        <v>6.79</v>
      </c>
      <c r="AJ86" s="913">
        <v>6.86</v>
      </c>
      <c r="AK86" s="913">
        <v>6.92</v>
      </c>
      <c r="AL86" s="913">
        <v>6.98</v>
      </c>
      <c r="AM86" s="913">
        <v>7.0350000000000001</v>
      </c>
      <c r="AN86" s="913">
        <v>7.1</v>
      </c>
      <c r="AO86" s="913">
        <v>7.1549999999999994</v>
      </c>
      <c r="AP86" s="913">
        <v>7.2149999999999999</v>
      </c>
      <c r="AQ86" s="913">
        <v>7.27</v>
      </c>
      <c r="AR86" s="913">
        <v>7.335</v>
      </c>
      <c r="AS86" s="913">
        <v>7.39</v>
      </c>
      <c r="AT86" s="913">
        <v>7.45</v>
      </c>
      <c r="AU86" s="913">
        <v>7.51</v>
      </c>
      <c r="AV86" s="913">
        <v>7.57</v>
      </c>
      <c r="AW86" s="913">
        <v>7.63</v>
      </c>
      <c r="AX86" s="913">
        <v>7.69</v>
      </c>
      <c r="AY86" s="913">
        <v>7.75</v>
      </c>
      <c r="AZ86" s="913">
        <v>7.8100000000000005</v>
      </c>
      <c r="BA86" s="913">
        <v>7.87</v>
      </c>
      <c r="BB86" s="913">
        <v>7.93</v>
      </c>
      <c r="BC86" s="913">
        <v>7.99</v>
      </c>
      <c r="BD86" s="913">
        <v>8.0500000000000007</v>
      </c>
      <c r="BE86" s="913">
        <v>8.11</v>
      </c>
      <c r="BF86" s="913">
        <v>8.17</v>
      </c>
      <c r="BG86" s="913">
        <v>8.23</v>
      </c>
      <c r="BH86" s="913">
        <v>8.2899999999999991</v>
      </c>
      <c r="BI86" s="913">
        <v>8.3500000000000014</v>
      </c>
      <c r="BJ86" s="913">
        <v>8.41</v>
      </c>
      <c r="BK86" s="913">
        <v>8.4699999999999989</v>
      </c>
      <c r="BL86" s="913">
        <v>8.5300000000000011</v>
      </c>
      <c r="BM86" s="913">
        <v>8.59</v>
      </c>
      <c r="BN86" s="913">
        <v>8.6499999999999986</v>
      </c>
      <c r="BO86" s="913">
        <v>8.7149999999999999</v>
      </c>
      <c r="BP86" s="913">
        <v>8.7750000000000004</v>
      </c>
      <c r="BQ86" s="913">
        <v>8.8350000000000009</v>
      </c>
      <c r="BR86" s="913">
        <v>8.8949999999999996</v>
      </c>
      <c r="BS86" s="913">
        <v>8.9550000000000001</v>
      </c>
      <c r="BT86" s="914">
        <v>9.0150000000000006</v>
      </c>
      <c r="BU86" s="913">
        <v>9.0749999999999993</v>
      </c>
      <c r="BV86" s="913">
        <v>9.1349999999999998</v>
      </c>
      <c r="BW86" s="913">
        <v>9.1950000000000003</v>
      </c>
      <c r="BX86" s="913">
        <v>9.26</v>
      </c>
      <c r="BY86" s="913">
        <v>9.32</v>
      </c>
      <c r="BZ86" s="913">
        <v>9.379999999999999</v>
      </c>
      <c r="CA86" s="913">
        <v>9.4400000000000013</v>
      </c>
      <c r="CB86" s="913">
        <v>9.5</v>
      </c>
      <c r="CC86" s="913">
        <v>9.5599999999999987</v>
      </c>
      <c r="CD86" s="913">
        <v>9.6150000000000002</v>
      </c>
      <c r="CE86" s="913">
        <v>9.6750000000000007</v>
      </c>
      <c r="CF86" s="913">
        <v>9.7349999999999994</v>
      </c>
      <c r="CG86" s="913">
        <v>9.7949999999999999</v>
      </c>
      <c r="CH86" s="913">
        <v>9.86</v>
      </c>
      <c r="CI86" s="913">
        <v>9.92</v>
      </c>
      <c r="CJ86" s="913">
        <v>9.9750000000000014</v>
      </c>
      <c r="CK86" s="913">
        <v>10.035</v>
      </c>
      <c r="CL86" s="913">
        <v>10.094999999999999</v>
      </c>
      <c r="CM86" s="913">
        <v>10.155000000000001</v>
      </c>
      <c r="CN86" s="913">
        <v>10.210000000000001</v>
      </c>
      <c r="CO86" s="913">
        <v>10.27</v>
      </c>
      <c r="CP86" s="913">
        <v>10.33</v>
      </c>
      <c r="CQ86" s="913">
        <v>10.39</v>
      </c>
      <c r="CR86" s="913">
        <v>10.445</v>
      </c>
      <c r="CS86" s="913">
        <v>10.504999999999999</v>
      </c>
      <c r="CT86" s="913">
        <v>10.565000000000001</v>
      </c>
      <c r="CU86" s="913">
        <v>10.62</v>
      </c>
      <c r="CV86" s="913">
        <v>10.68</v>
      </c>
      <c r="CW86" s="913">
        <v>10.734999999999999</v>
      </c>
      <c r="CX86" s="913">
        <v>10.795</v>
      </c>
      <c r="CY86" s="913">
        <v>10.85</v>
      </c>
      <c r="CZ86" s="913">
        <v>10.91</v>
      </c>
      <c r="DA86" s="913">
        <v>10.969999999999999</v>
      </c>
      <c r="DB86" s="913">
        <v>11.02</v>
      </c>
      <c r="DC86" s="913">
        <v>11.074999999999999</v>
      </c>
      <c r="DD86" s="913">
        <v>11.135</v>
      </c>
      <c r="DE86" s="913">
        <v>11.190000000000001</v>
      </c>
      <c r="DF86" s="913">
        <v>11.25</v>
      </c>
      <c r="DG86" s="913">
        <v>11.305</v>
      </c>
      <c r="DH86" s="913">
        <v>11.36</v>
      </c>
      <c r="DI86" s="913">
        <v>11.414999999999999</v>
      </c>
      <c r="DJ86" s="913">
        <v>11.469999999999999</v>
      </c>
      <c r="DK86" s="913">
        <v>11.525</v>
      </c>
      <c r="DL86" s="913">
        <v>11.58</v>
      </c>
      <c r="DM86" s="913">
        <v>11.635</v>
      </c>
      <c r="DN86" s="913">
        <v>11.690000000000001</v>
      </c>
      <c r="DO86" s="913">
        <v>11.739999999999998</v>
      </c>
      <c r="DP86" s="913">
        <v>11.8</v>
      </c>
      <c r="DQ86" s="913">
        <v>11.855</v>
      </c>
      <c r="DR86" s="913">
        <v>11.904999999999999</v>
      </c>
    </row>
    <row r="87" spans="1:122" s="127" customFormat="1" ht="12.75">
      <c r="A87" s="917">
        <v>85</v>
      </c>
      <c r="B87" s="913"/>
      <c r="C87" s="913"/>
      <c r="D87" s="913"/>
      <c r="E87" s="913"/>
      <c r="F87" s="913"/>
      <c r="G87" s="913"/>
      <c r="H87" s="913"/>
      <c r="I87" s="913"/>
      <c r="J87" s="913"/>
      <c r="K87" s="913"/>
      <c r="L87" s="913"/>
      <c r="M87" s="913"/>
      <c r="N87" s="913"/>
      <c r="O87" s="913"/>
      <c r="P87" s="913"/>
      <c r="Q87" s="913"/>
      <c r="R87" s="913"/>
      <c r="S87" s="913"/>
      <c r="T87" s="913"/>
      <c r="U87" s="913"/>
      <c r="V87" s="913"/>
      <c r="W87" s="913">
        <v>5.8049999999999997</v>
      </c>
      <c r="X87" s="913">
        <v>5.8000000000000007</v>
      </c>
      <c r="Y87" s="913">
        <v>5.84</v>
      </c>
      <c r="Z87" s="913">
        <v>5.8949999999999996</v>
      </c>
      <c r="AA87" s="913">
        <v>5.915</v>
      </c>
      <c r="AB87" s="913">
        <v>5.9649999999999999</v>
      </c>
      <c r="AC87" s="913">
        <v>5.9950000000000001</v>
      </c>
      <c r="AD87" s="913">
        <v>6.0350000000000001</v>
      </c>
      <c r="AE87" s="913">
        <v>6.07</v>
      </c>
      <c r="AF87" s="913">
        <v>6.15</v>
      </c>
      <c r="AG87" s="913">
        <v>6.1899999999999995</v>
      </c>
      <c r="AH87" s="913">
        <v>6.24</v>
      </c>
      <c r="AI87" s="913">
        <v>6.3249999999999993</v>
      </c>
      <c r="AJ87" s="913">
        <v>6.375</v>
      </c>
      <c r="AK87" s="913">
        <v>6.4350000000000005</v>
      </c>
      <c r="AL87" s="913">
        <v>6.4850000000000003</v>
      </c>
      <c r="AM87" s="913">
        <v>6.5449999999999999</v>
      </c>
      <c r="AN87" s="913">
        <v>6.6</v>
      </c>
      <c r="AO87" s="913">
        <v>6.6549999999999994</v>
      </c>
      <c r="AP87" s="913">
        <v>6.71</v>
      </c>
      <c r="AQ87" s="913">
        <v>6.7650000000000006</v>
      </c>
      <c r="AR87" s="913">
        <v>6.8149999999999995</v>
      </c>
      <c r="AS87" s="913">
        <v>6.875</v>
      </c>
      <c r="AT87" s="913">
        <v>6.93</v>
      </c>
      <c r="AU87" s="913">
        <v>6.99</v>
      </c>
      <c r="AV87" s="913">
        <v>7.04</v>
      </c>
      <c r="AW87" s="913">
        <v>7.1</v>
      </c>
      <c r="AX87" s="913">
        <v>7.1550000000000002</v>
      </c>
      <c r="AY87" s="913">
        <v>7.21</v>
      </c>
      <c r="AZ87" s="913">
        <v>7.27</v>
      </c>
      <c r="BA87" s="913">
        <v>7.3250000000000002</v>
      </c>
      <c r="BB87" s="913">
        <v>7.38</v>
      </c>
      <c r="BC87" s="913">
        <v>7.4399999999999995</v>
      </c>
      <c r="BD87" s="913">
        <v>7.4950000000000001</v>
      </c>
      <c r="BE87" s="913">
        <v>7.5550000000000006</v>
      </c>
      <c r="BF87" s="913">
        <v>7.6099999999999994</v>
      </c>
      <c r="BG87" s="913">
        <v>7.665</v>
      </c>
      <c r="BH87" s="913">
        <v>7.7250000000000005</v>
      </c>
      <c r="BI87" s="913">
        <v>7.7799999999999994</v>
      </c>
      <c r="BJ87" s="913">
        <v>7.835</v>
      </c>
      <c r="BK87" s="913">
        <v>7.8950000000000005</v>
      </c>
      <c r="BL87" s="913">
        <v>7.9499999999999993</v>
      </c>
      <c r="BM87" s="913">
        <v>8.01</v>
      </c>
      <c r="BN87" s="913">
        <v>8.0650000000000013</v>
      </c>
      <c r="BO87" s="913">
        <v>8.1199999999999992</v>
      </c>
      <c r="BP87" s="913">
        <v>8.18</v>
      </c>
      <c r="BQ87" s="913">
        <v>8.24</v>
      </c>
      <c r="BR87" s="913">
        <v>8.2899999999999991</v>
      </c>
      <c r="BS87" s="913">
        <v>8.35</v>
      </c>
      <c r="BT87" s="914">
        <v>8.41</v>
      </c>
      <c r="BU87" s="913">
        <v>8.4649999999999999</v>
      </c>
      <c r="BV87" s="913">
        <v>8.52</v>
      </c>
      <c r="BW87" s="913">
        <v>8.58</v>
      </c>
      <c r="BX87" s="913">
        <v>8.6349999999999998</v>
      </c>
      <c r="BY87" s="913">
        <v>8.6950000000000003</v>
      </c>
      <c r="BZ87" s="913">
        <v>8.75</v>
      </c>
      <c r="CA87" s="913">
        <v>8.8049999999999997</v>
      </c>
      <c r="CB87" s="913">
        <v>8.8650000000000002</v>
      </c>
      <c r="CC87" s="913">
        <v>8.92</v>
      </c>
      <c r="CD87" s="913">
        <v>8.98</v>
      </c>
      <c r="CE87" s="913">
        <v>9.0350000000000001</v>
      </c>
      <c r="CF87" s="913">
        <v>9.09</v>
      </c>
      <c r="CG87" s="913">
        <v>9.15</v>
      </c>
      <c r="CH87" s="913">
        <v>9.2050000000000001</v>
      </c>
      <c r="CI87" s="913">
        <v>9.26</v>
      </c>
      <c r="CJ87" s="913">
        <v>9.3149999999999995</v>
      </c>
      <c r="CK87" s="913">
        <v>9.375</v>
      </c>
      <c r="CL87" s="913">
        <v>9.4250000000000007</v>
      </c>
      <c r="CM87" s="913">
        <v>9.4849999999999994</v>
      </c>
      <c r="CN87" s="913">
        <v>9.5399999999999991</v>
      </c>
      <c r="CO87" s="913">
        <v>9.6000000000000014</v>
      </c>
      <c r="CP87" s="913">
        <v>9.6499999999999986</v>
      </c>
      <c r="CQ87" s="913">
        <v>9.7050000000000001</v>
      </c>
      <c r="CR87" s="913">
        <v>9.7650000000000006</v>
      </c>
      <c r="CS87" s="913">
        <v>9.8149999999999995</v>
      </c>
      <c r="CT87" s="913">
        <v>9.875</v>
      </c>
      <c r="CU87" s="913">
        <v>9.93</v>
      </c>
      <c r="CV87" s="913">
        <v>9.98</v>
      </c>
      <c r="CW87" s="913">
        <v>10.039999999999999</v>
      </c>
      <c r="CX87" s="913">
        <v>10.095000000000001</v>
      </c>
      <c r="CY87" s="913">
        <v>10.145</v>
      </c>
      <c r="CZ87" s="913">
        <v>10.199999999999999</v>
      </c>
      <c r="DA87" s="913">
        <v>10.254999999999999</v>
      </c>
      <c r="DB87" s="913">
        <v>10.309999999999999</v>
      </c>
      <c r="DC87" s="913">
        <v>10.365</v>
      </c>
      <c r="DD87" s="913">
        <v>10.414999999999999</v>
      </c>
      <c r="DE87" s="913">
        <v>10.469999999999999</v>
      </c>
      <c r="DF87" s="913">
        <v>10.525</v>
      </c>
      <c r="DG87" s="913">
        <v>10.58</v>
      </c>
      <c r="DH87" s="913">
        <v>10.629999999999999</v>
      </c>
      <c r="DI87" s="913">
        <v>10.684999999999999</v>
      </c>
      <c r="DJ87" s="913">
        <v>10.734999999999999</v>
      </c>
      <c r="DK87" s="913">
        <v>10.79</v>
      </c>
      <c r="DL87" s="913">
        <v>10.84</v>
      </c>
      <c r="DM87" s="913">
        <v>10.89</v>
      </c>
      <c r="DN87" s="913">
        <v>10.945</v>
      </c>
      <c r="DO87" s="913">
        <v>10.995000000000001</v>
      </c>
      <c r="DP87" s="913">
        <v>11.05</v>
      </c>
      <c r="DQ87" s="913">
        <v>11.1</v>
      </c>
      <c r="DR87" s="913">
        <v>11.15</v>
      </c>
    </row>
    <row r="88" spans="1:122" s="127" customFormat="1" ht="12.75">
      <c r="A88" s="917">
        <v>86</v>
      </c>
      <c r="B88" s="913"/>
      <c r="C88" s="913"/>
      <c r="D88" s="913"/>
      <c r="E88" s="913"/>
      <c r="F88" s="913"/>
      <c r="G88" s="913"/>
      <c r="H88" s="913"/>
      <c r="I88" s="913"/>
      <c r="J88" s="913"/>
      <c r="K88" s="913"/>
      <c r="L88" s="913"/>
      <c r="M88" s="913"/>
      <c r="N88" s="913"/>
      <c r="O88" s="913"/>
      <c r="P88" s="913"/>
      <c r="Q88" s="913"/>
      <c r="R88" s="913"/>
      <c r="S88" s="913"/>
      <c r="T88" s="913"/>
      <c r="U88" s="913"/>
      <c r="V88" s="913"/>
      <c r="W88" s="913">
        <v>5.3800000000000008</v>
      </c>
      <c r="X88" s="913">
        <v>5.3800000000000008</v>
      </c>
      <c r="Y88" s="913">
        <v>5.43</v>
      </c>
      <c r="Z88" s="913">
        <v>5.46</v>
      </c>
      <c r="AA88" s="913">
        <v>5.4849999999999994</v>
      </c>
      <c r="AB88" s="913">
        <v>5.5350000000000001</v>
      </c>
      <c r="AC88" s="913">
        <v>5.58</v>
      </c>
      <c r="AD88" s="913">
        <v>5.5949999999999998</v>
      </c>
      <c r="AE88" s="913">
        <v>5.6449999999999996</v>
      </c>
      <c r="AF88" s="913">
        <v>5.7</v>
      </c>
      <c r="AG88" s="913">
        <v>5.76</v>
      </c>
      <c r="AH88" s="913">
        <v>5.8100000000000005</v>
      </c>
      <c r="AI88" s="913">
        <v>5.8650000000000002</v>
      </c>
      <c r="AJ88" s="913">
        <v>5.92</v>
      </c>
      <c r="AK88" s="913">
        <v>5.9700000000000006</v>
      </c>
      <c r="AL88" s="913">
        <v>6.0250000000000004</v>
      </c>
      <c r="AM88" s="913">
        <v>6.07</v>
      </c>
      <c r="AN88" s="913">
        <v>6.125</v>
      </c>
      <c r="AO88" s="913">
        <v>6.18</v>
      </c>
      <c r="AP88" s="913">
        <v>6.23</v>
      </c>
      <c r="AQ88" s="913">
        <v>6.2850000000000001</v>
      </c>
      <c r="AR88" s="913">
        <v>6.335</v>
      </c>
      <c r="AS88" s="913">
        <v>6.3900000000000006</v>
      </c>
      <c r="AT88" s="913">
        <v>6.4399999999999995</v>
      </c>
      <c r="AU88" s="913">
        <v>6.49</v>
      </c>
      <c r="AV88" s="913">
        <v>6.5449999999999999</v>
      </c>
      <c r="AW88" s="913">
        <v>6.6</v>
      </c>
      <c r="AX88" s="913">
        <v>6.65</v>
      </c>
      <c r="AY88" s="913">
        <v>6.7050000000000001</v>
      </c>
      <c r="AZ88" s="913">
        <v>6.7550000000000008</v>
      </c>
      <c r="BA88" s="913">
        <v>6.8100000000000005</v>
      </c>
      <c r="BB88" s="913">
        <v>6.8650000000000002</v>
      </c>
      <c r="BC88" s="913">
        <v>6.915</v>
      </c>
      <c r="BD88" s="913">
        <v>6.9700000000000006</v>
      </c>
      <c r="BE88" s="913">
        <v>7.0250000000000004</v>
      </c>
      <c r="BF88" s="913">
        <v>7.0749999999999993</v>
      </c>
      <c r="BG88" s="913">
        <v>7.1349999999999998</v>
      </c>
      <c r="BH88" s="913">
        <v>7.1850000000000005</v>
      </c>
      <c r="BI88" s="913">
        <v>7.2349999999999994</v>
      </c>
      <c r="BJ88" s="913">
        <v>7.2949999999999999</v>
      </c>
      <c r="BK88" s="913">
        <v>7.3450000000000006</v>
      </c>
      <c r="BL88" s="913">
        <v>7.3949999999999996</v>
      </c>
      <c r="BM88" s="913">
        <v>7.4550000000000001</v>
      </c>
      <c r="BN88" s="913">
        <v>7.5049999999999999</v>
      </c>
      <c r="BO88" s="913">
        <v>7.5549999999999997</v>
      </c>
      <c r="BP88" s="913">
        <v>7.6150000000000002</v>
      </c>
      <c r="BQ88" s="913">
        <v>7.6649999999999991</v>
      </c>
      <c r="BR88" s="913">
        <v>7.7249999999999996</v>
      </c>
      <c r="BS88" s="913">
        <v>7.7750000000000004</v>
      </c>
      <c r="BT88" s="914">
        <v>7.8249999999999993</v>
      </c>
      <c r="BU88" s="913">
        <v>7.8849999999999998</v>
      </c>
      <c r="BV88" s="913">
        <v>7.9350000000000005</v>
      </c>
      <c r="BW88" s="913">
        <v>7.99</v>
      </c>
      <c r="BX88" s="913">
        <v>8.0449999999999999</v>
      </c>
      <c r="BY88" s="913">
        <v>8.0949999999999989</v>
      </c>
      <c r="BZ88" s="913">
        <v>8.15</v>
      </c>
      <c r="CA88" s="913">
        <v>8.1999999999999993</v>
      </c>
      <c r="CB88" s="913">
        <v>8.26</v>
      </c>
      <c r="CC88" s="913">
        <v>8.31</v>
      </c>
      <c r="CD88" s="913">
        <v>8.3650000000000002</v>
      </c>
      <c r="CE88" s="913">
        <v>8.42</v>
      </c>
      <c r="CF88" s="913">
        <v>8.4700000000000006</v>
      </c>
      <c r="CG88" s="913">
        <v>8.5249999999999986</v>
      </c>
      <c r="CH88" s="913">
        <v>8.5749999999999993</v>
      </c>
      <c r="CI88" s="913">
        <v>8.629999999999999</v>
      </c>
      <c r="CJ88" s="913">
        <v>8.6849999999999987</v>
      </c>
      <c r="CK88" s="913">
        <v>8.7349999999999994</v>
      </c>
      <c r="CL88" s="913">
        <v>8.7899999999999991</v>
      </c>
      <c r="CM88" s="913">
        <v>8.84</v>
      </c>
      <c r="CN88" s="913">
        <v>8.8949999999999996</v>
      </c>
      <c r="CO88" s="913">
        <v>8.9499999999999993</v>
      </c>
      <c r="CP88" s="913">
        <v>9</v>
      </c>
      <c r="CQ88" s="913">
        <v>9.0549999999999997</v>
      </c>
      <c r="CR88" s="913">
        <v>9.1050000000000004</v>
      </c>
      <c r="CS88" s="913">
        <v>9.1550000000000011</v>
      </c>
      <c r="CT88" s="913">
        <v>9.2100000000000009</v>
      </c>
      <c r="CU88" s="913">
        <v>9.26</v>
      </c>
      <c r="CV88" s="913">
        <v>9.31</v>
      </c>
      <c r="CW88" s="913">
        <v>9.3649999999999984</v>
      </c>
      <c r="CX88" s="913">
        <v>9.4149999999999991</v>
      </c>
      <c r="CY88" s="913">
        <v>9.4649999999999999</v>
      </c>
      <c r="CZ88" s="913">
        <v>9.5150000000000006</v>
      </c>
      <c r="DA88" s="913">
        <v>9.57</v>
      </c>
      <c r="DB88" s="913">
        <v>9.620000000000001</v>
      </c>
      <c r="DC88" s="913">
        <v>9.67</v>
      </c>
      <c r="DD88" s="913">
        <v>9.7200000000000006</v>
      </c>
      <c r="DE88" s="913">
        <v>9.7749999999999986</v>
      </c>
      <c r="DF88" s="913">
        <v>9.8249999999999993</v>
      </c>
      <c r="DG88" s="913">
        <v>9.875</v>
      </c>
      <c r="DH88" s="913">
        <v>9.9250000000000007</v>
      </c>
      <c r="DI88" s="913">
        <v>9.9750000000000014</v>
      </c>
      <c r="DJ88" s="913">
        <v>10.025</v>
      </c>
      <c r="DK88" s="913">
        <v>10.074999999999999</v>
      </c>
      <c r="DL88" s="913">
        <v>10.125</v>
      </c>
      <c r="DM88" s="913">
        <v>10.175000000000001</v>
      </c>
      <c r="DN88" s="913">
        <v>10.219999999999999</v>
      </c>
      <c r="DO88" s="913">
        <v>10.27</v>
      </c>
      <c r="DP88" s="913">
        <v>10.32</v>
      </c>
      <c r="DQ88" s="913">
        <v>10.370000000000001</v>
      </c>
      <c r="DR88" s="913">
        <v>10.414999999999999</v>
      </c>
    </row>
    <row r="89" spans="1:122" s="127" customFormat="1" ht="12.75">
      <c r="A89" s="917">
        <v>87</v>
      </c>
      <c r="B89" s="913"/>
      <c r="C89" s="913"/>
      <c r="D89" s="913"/>
      <c r="E89" s="913"/>
      <c r="F89" s="913"/>
      <c r="G89" s="913"/>
      <c r="H89" s="913"/>
      <c r="I89" s="913"/>
      <c r="J89" s="913"/>
      <c r="K89" s="913"/>
      <c r="L89" s="913"/>
      <c r="M89" s="913"/>
      <c r="N89" s="913"/>
      <c r="O89" s="913"/>
      <c r="P89" s="913"/>
      <c r="Q89" s="913"/>
      <c r="R89" s="913"/>
      <c r="S89" s="913"/>
      <c r="T89" s="913"/>
      <c r="U89" s="913"/>
      <c r="V89" s="913"/>
      <c r="W89" s="913">
        <v>4.9949999999999992</v>
      </c>
      <c r="X89" s="913">
        <v>4.99</v>
      </c>
      <c r="Y89" s="913">
        <v>5.0199999999999996</v>
      </c>
      <c r="Z89" s="913">
        <v>5.0549999999999997</v>
      </c>
      <c r="AA89" s="913">
        <v>5.085</v>
      </c>
      <c r="AB89" s="913">
        <v>5.15</v>
      </c>
      <c r="AC89" s="913">
        <v>5.1550000000000002</v>
      </c>
      <c r="AD89" s="913">
        <v>5.2</v>
      </c>
      <c r="AE89" s="913">
        <v>5.2249999999999996</v>
      </c>
      <c r="AF89" s="913">
        <v>5.3</v>
      </c>
      <c r="AG89" s="913">
        <v>5.35</v>
      </c>
      <c r="AH89" s="913">
        <v>5.3949999999999996</v>
      </c>
      <c r="AI89" s="913">
        <v>5.4450000000000003</v>
      </c>
      <c r="AJ89" s="913">
        <v>5.49</v>
      </c>
      <c r="AK89" s="913">
        <v>5.5350000000000001</v>
      </c>
      <c r="AL89" s="913">
        <v>5.59</v>
      </c>
      <c r="AM89" s="913">
        <v>5.6349999999999998</v>
      </c>
      <c r="AN89" s="913">
        <v>5.6850000000000005</v>
      </c>
      <c r="AO89" s="913">
        <v>5.7349999999999994</v>
      </c>
      <c r="AP89" s="913">
        <v>5.7850000000000001</v>
      </c>
      <c r="AQ89" s="913">
        <v>5.83</v>
      </c>
      <c r="AR89" s="913">
        <v>5.88</v>
      </c>
      <c r="AS89" s="913">
        <v>5.93</v>
      </c>
      <c r="AT89" s="913">
        <v>5.9749999999999996</v>
      </c>
      <c r="AU89" s="913">
        <v>6.0250000000000004</v>
      </c>
      <c r="AV89" s="913">
        <v>6.0749999999999993</v>
      </c>
      <c r="AW89" s="913">
        <v>6.125</v>
      </c>
      <c r="AX89" s="913">
        <v>6.1750000000000007</v>
      </c>
      <c r="AY89" s="913">
        <v>6.2249999999999996</v>
      </c>
      <c r="AZ89" s="913">
        <v>6.2750000000000004</v>
      </c>
      <c r="BA89" s="913">
        <v>6.3249999999999993</v>
      </c>
      <c r="BB89" s="913">
        <v>6.375</v>
      </c>
      <c r="BC89" s="913">
        <v>6.4250000000000007</v>
      </c>
      <c r="BD89" s="913">
        <v>6.4700000000000006</v>
      </c>
      <c r="BE89" s="913">
        <v>6.52</v>
      </c>
      <c r="BF89" s="913">
        <v>6.57</v>
      </c>
      <c r="BG89" s="913">
        <v>6.6199999999999992</v>
      </c>
      <c r="BH89" s="913">
        <v>6.67</v>
      </c>
      <c r="BI89" s="913">
        <v>6.7200000000000006</v>
      </c>
      <c r="BJ89" s="913">
        <v>6.77</v>
      </c>
      <c r="BK89" s="913">
        <v>6.82</v>
      </c>
      <c r="BL89" s="913">
        <v>6.8699999999999992</v>
      </c>
      <c r="BM89" s="913">
        <v>6.92</v>
      </c>
      <c r="BN89" s="913">
        <v>6.9749999999999996</v>
      </c>
      <c r="BO89" s="913">
        <v>7.0250000000000004</v>
      </c>
      <c r="BP89" s="913">
        <v>7.08</v>
      </c>
      <c r="BQ89" s="913">
        <v>7.1300000000000008</v>
      </c>
      <c r="BR89" s="913">
        <v>7.18</v>
      </c>
      <c r="BS89" s="913">
        <v>7.23</v>
      </c>
      <c r="BT89" s="914">
        <v>7.2799999999999994</v>
      </c>
      <c r="BU89" s="913">
        <v>7.33</v>
      </c>
      <c r="BV89" s="913">
        <v>7.3800000000000008</v>
      </c>
      <c r="BW89" s="913">
        <v>7.43</v>
      </c>
      <c r="BX89" s="913">
        <v>7.48</v>
      </c>
      <c r="BY89" s="913">
        <v>7.5299999999999994</v>
      </c>
      <c r="BZ89" s="913">
        <v>7.58</v>
      </c>
      <c r="CA89" s="913">
        <v>7.63</v>
      </c>
      <c r="CB89" s="913">
        <v>7.68</v>
      </c>
      <c r="CC89" s="913">
        <v>7.73</v>
      </c>
      <c r="CD89" s="913">
        <v>7.7799999999999994</v>
      </c>
      <c r="CE89" s="913">
        <v>7.8250000000000002</v>
      </c>
      <c r="CF89" s="913">
        <v>7.875</v>
      </c>
      <c r="CG89" s="913">
        <v>7.93</v>
      </c>
      <c r="CH89" s="913">
        <v>7.9799999999999995</v>
      </c>
      <c r="CI89" s="913">
        <v>8.0299999999999994</v>
      </c>
      <c r="CJ89" s="913">
        <v>8.08</v>
      </c>
      <c r="CK89" s="913">
        <v>8.129999999999999</v>
      </c>
      <c r="CL89" s="913">
        <v>8.18</v>
      </c>
      <c r="CM89" s="913">
        <v>8.23</v>
      </c>
      <c r="CN89" s="913">
        <v>8.2799999999999994</v>
      </c>
      <c r="CO89" s="913">
        <v>8.3249999999999993</v>
      </c>
      <c r="CP89" s="913">
        <v>8.375</v>
      </c>
      <c r="CQ89" s="913">
        <v>8.4250000000000007</v>
      </c>
      <c r="CR89" s="913">
        <v>8.4749999999999996</v>
      </c>
      <c r="CS89" s="913">
        <v>8.5250000000000004</v>
      </c>
      <c r="CT89" s="913">
        <v>8.5749999999999993</v>
      </c>
      <c r="CU89" s="913">
        <v>8.620000000000001</v>
      </c>
      <c r="CV89" s="913">
        <v>8.6700000000000017</v>
      </c>
      <c r="CW89" s="913">
        <v>8.7199999999999989</v>
      </c>
      <c r="CX89" s="913">
        <v>8.77</v>
      </c>
      <c r="CY89" s="913">
        <v>8.8149999999999995</v>
      </c>
      <c r="CZ89" s="913">
        <v>8.8650000000000002</v>
      </c>
      <c r="DA89" s="913">
        <v>8.9149999999999991</v>
      </c>
      <c r="DB89" s="913">
        <v>8.9600000000000009</v>
      </c>
      <c r="DC89" s="913">
        <v>9.0100000000000016</v>
      </c>
      <c r="DD89" s="913">
        <v>9.0599999999999987</v>
      </c>
      <c r="DE89" s="913">
        <v>9.1000000000000014</v>
      </c>
      <c r="DF89" s="913">
        <v>9.1499999999999986</v>
      </c>
      <c r="DG89" s="913">
        <v>9.1999999999999993</v>
      </c>
      <c r="DH89" s="913">
        <v>9.245000000000001</v>
      </c>
      <c r="DI89" s="913">
        <v>9.2949999999999999</v>
      </c>
      <c r="DJ89" s="913">
        <v>9.34</v>
      </c>
      <c r="DK89" s="913">
        <v>9.39</v>
      </c>
      <c r="DL89" s="913">
        <v>9.43</v>
      </c>
      <c r="DM89" s="913">
        <v>9.48</v>
      </c>
      <c r="DN89" s="913">
        <v>9.5250000000000004</v>
      </c>
      <c r="DO89" s="913">
        <v>9.5749999999999993</v>
      </c>
      <c r="DP89" s="913">
        <v>9.620000000000001</v>
      </c>
      <c r="DQ89" s="913">
        <v>9.6649999999999991</v>
      </c>
      <c r="DR89" s="913">
        <v>9.7100000000000009</v>
      </c>
    </row>
    <row r="90" spans="1:122" s="127" customFormat="1" ht="12.75">
      <c r="A90" s="917">
        <v>88</v>
      </c>
      <c r="B90" s="913"/>
      <c r="C90" s="913"/>
      <c r="D90" s="913"/>
      <c r="E90" s="913"/>
      <c r="F90" s="913"/>
      <c r="G90" s="913"/>
      <c r="H90" s="913"/>
      <c r="I90" s="913"/>
      <c r="J90" s="913"/>
      <c r="K90" s="913"/>
      <c r="L90" s="913"/>
      <c r="M90" s="913"/>
      <c r="N90" s="913"/>
      <c r="O90" s="913"/>
      <c r="P90" s="913"/>
      <c r="Q90" s="913"/>
      <c r="R90" s="913"/>
      <c r="S90" s="913"/>
      <c r="T90" s="913"/>
      <c r="U90" s="913"/>
      <c r="V90" s="913"/>
      <c r="W90" s="913">
        <v>4.6399999999999997</v>
      </c>
      <c r="X90" s="913">
        <v>4.6099999999999994</v>
      </c>
      <c r="Y90" s="913">
        <v>4.6500000000000004</v>
      </c>
      <c r="Z90" s="913">
        <v>4.68</v>
      </c>
      <c r="AA90" s="913">
        <v>4.72</v>
      </c>
      <c r="AB90" s="913">
        <v>4.75</v>
      </c>
      <c r="AC90" s="913">
        <v>4.79</v>
      </c>
      <c r="AD90" s="913">
        <v>4.8100000000000005</v>
      </c>
      <c r="AE90" s="913">
        <v>4.8550000000000004</v>
      </c>
      <c r="AF90" s="913">
        <v>4.91</v>
      </c>
      <c r="AG90" s="913">
        <v>4.96</v>
      </c>
      <c r="AH90" s="913">
        <v>5.0049999999999999</v>
      </c>
      <c r="AI90" s="913">
        <v>5.0449999999999999</v>
      </c>
      <c r="AJ90" s="913">
        <v>5.09</v>
      </c>
      <c r="AK90" s="913">
        <v>5.1349999999999998</v>
      </c>
      <c r="AL90" s="913">
        <v>5.18</v>
      </c>
      <c r="AM90" s="913">
        <v>5.2249999999999996</v>
      </c>
      <c r="AN90" s="913">
        <v>5.27</v>
      </c>
      <c r="AO90" s="913">
        <v>5.32</v>
      </c>
      <c r="AP90" s="913">
        <v>5.3650000000000002</v>
      </c>
      <c r="AQ90" s="913">
        <v>5.4050000000000002</v>
      </c>
      <c r="AR90" s="913">
        <v>5.4550000000000001</v>
      </c>
      <c r="AS90" s="913">
        <v>5.5</v>
      </c>
      <c r="AT90" s="913">
        <v>5.5449999999999999</v>
      </c>
      <c r="AU90" s="913">
        <v>5.59</v>
      </c>
      <c r="AV90" s="913">
        <v>5.6400000000000006</v>
      </c>
      <c r="AW90" s="913">
        <v>5.68</v>
      </c>
      <c r="AX90" s="913">
        <v>5.73</v>
      </c>
      <c r="AY90" s="913">
        <v>5.7750000000000004</v>
      </c>
      <c r="AZ90" s="913">
        <v>5.82</v>
      </c>
      <c r="BA90" s="913">
        <v>5.8650000000000002</v>
      </c>
      <c r="BB90" s="913">
        <v>5.915</v>
      </c>
      <c r="BC90" s="913">
        <v>5.9550000000000001</v>
      </c>
      <c r="BD90" s="913">
        <v>6.0050000000000008</v>
      </c>
      <c r="BE90" s="913">
        <v>6.0549999999999997</v>
      </c>
      <c r="BF90" s="913">
        <v>6.0950000000000006</v>
      </c>
      <c r="BG90" s="913">
        <v>6.1449999999999996</v>
      </c>
      <c r="BH90" s="913">
        <v>6.1950000000000003</v>
      </c>
      <c r="BI90" s="913">
        <v>6.24</v>
      </c>
      <c r="BJ90" s="913">
        <v>6.2850000000000001</v>
      </c>
      <c r="BK90" s="913">
        <v>6.335</v>
      </c>
      <c r="BL90" s="913">
        <v>6.3800000000000008</v>
      </c>
      <c r="BM90" s="913">
        <v>6.4250000000000007</v>
      </c>
      <c r="BN90" s="913">
        <v>6.4749999999999996</v>
      </c>
      <c r="BO90" s="913">
        <v>6.52</v>
      </c>
      <c r="BP90" s="913">
        <v>6.5649999999999995</v>
      </c>
      <c r="BQ90" s="913">
        <v>6.6150000000000002</v>
      </c>
      <c r="BR90" s="913">
        <v>6.66</v>
      </c>
      <c r="BS90" s="913">
        <v>6.71</v>
      </c>
      <c r="BT90" s="914">
        <v>6.7550000000000008</v>
      </c>
      <c r="BU90" s="913">
        <v>6.8000000000000007</v>
      </c>
      <c r="BV90" s="913">
        <v>6.85</v>
      </c>
      <c r="BW90" s="913">
        <v>6.8949999999999996</v>
      </c>
      <c r="BX90" s="913">
        <v>6.9450000000000003</v>
      </c>
      <c r="BY90" s="913">
        <v>6.99</v>
      </c>
      <c r="BZ90" s="913">
        <v>7.0350000000000001</v>
      </c>
      <c r="CA90" s="913">
        <v>7.085</v>
      </c>
      <c r="CB90" s="913">
        <v>7.1300000000000008</v>
      </c>
      <c r="CC90" s="913">
        <v>7.1750000000000007</v>
      </c>
      <c r="CD90" s="913">
        <v>7.2249999999999996</v>
      </c>
      <c r="CE90" s="913">
        <v>7.27</v>
      </c>
      <c r="CF90" s="913">
        <v>7.3149999999999995</v>
      </c>
      <c r="CG90" s="913">
        <v>7.3650000000000002</v>
      </c>
      <c r="CH90" s="913">
        <v>7.41</v>
      </c>
      <c r="CI90" s="913">
        <v>7.4550000000000001</v>
      </c>
      <c r="CJ90" s="913">
        <v>7.5</v>
      </c>
      <c r="CK90" s="913">
        <v>7.5500000000000007</v>
      </c>
      <c r="CL90" s="913">
        <v>7.5949999999999998</v>
      </c>
      <c r="CM90" s="913">
        <v>7.6400000000000006</v>
      </c>
      <c r="CN90" s="913">
        <v>7.6899999999999995</v>
      </c>
      <c r="CO90" s="913">
        <v>7.7349999999999994</v>
      </c>
      <c r="CP90" s="913">
        <v>7.78</v>
      </c>
      <c r="CQ90" s="913">
        <v>7.8250000000000002</v>
      </c>
      <c r="CR90" s="913">
        <v>7.875</v>
      </c>
      <c r="CS90" s="913">
        <v>7.915</v>
      </c>
      <c r="CT90" s="913">
        <v>7.9649999999999999</v>
      </c>
      <c r="CU90" s="913">
        <v>8.01</v>
      </c>
      <c r="CV90" s="913">
        <v>8.0549999999999997</v>
      </c>
      <c r="CW90" s="913">
        <v>8.1</v>
      </c>
      <c r="CX90" s="913">
        <v>8.15</v>
      </c>
      <c r="CY90" s="913">
        <v>8.19</v>
      </c>
      <c r="CZ90" s="913">
        <v>8.2349999999999994</v>
      </c>
      <c r="DA90" s="913">
        <v>8.2799999999999994</v>
      </c>
      <c r="DB90" s="913">
        <v>8.3249999999999993</v>
      </c>
      <c r="DC90" s="913">
        <v>8.375</v>
      </c>
      <c r="DD90" s="913">
        <v>8.4149999999999991</v>
      </c>
      <c r="DE90" s="913">
        <v>8.4600000000000009</v>
      </c>
      <c r="DF90" s="913">
        <v>8.504999999999999</v>
      </c>
      <c r="DG90" s="913">
        <v>8.5500000000000007</v>
      </c>
      <c r="DH90" s="913">
        <v>8.59</v>
      </c>
      <c r="DI90" s="913">
        <v>8.64</v>
      </c>
      <c r="DJ90" s="913">
        <v>8.68</v>
      </c>
      <c r="DK90" s="913">
        <v>8.7250000000000014</v>
      </c>
      <c r="DL90" s="913">
        <v>8.7650000000000006</v>
      </c>
      <c r="DM90" s="913">
        <v>8.8150000000000013</v>
      </c>
      <c r="DN90" s="913">
        <v>8.8550000000000004</v>
      </c>
      <c r="DO90" s="913">
        <v>8.9</v>
      </c>
      <c r="DP90" s="913">
        <v>8.94</v>
      </c>
      <c r="DQ90" s="913">
        <v>8.9849999999999994</v>
      </c>
      <c r="DR90" s="913">
        <v>9.0250000000000004</v>
      </c>
    </row>
    <row r="91" spans="1:122" s="127" customFormat="1" ht="12.75">
      <c r="A91" s="917">
        <v>89</v>
      </c>
      <c r="B91" s="913"/>
      <c r="C91" s="913"/>
      <c r="D91" s="913"/>
      <c r="E91" s="913"/>
      <c r="F91" s="913"/>
      <c r="G91" s="913"/>
      <c r="H91" s="913"/>
      <c r="I91" s="913"/>
      <c r="J91" s="913"/>
      <c r="K91" s="913"/>
      <c r="L91" s="913"/>
      <c r="M91" s="913"/>
      <c r="N91" s="913"/>
      <c r="O91" s="913"/>
      <c r="P91" s="913"/>
      <c r="Q91" s="913"/>
      <c r="R91" s="913"/>
      <c r="S91" s="913"/>
      <c r="T91" s="913"/>
      <c r="U91" s="913"/>
      <c r="V91" s="913"/>
      <c r="W91" s="913">
        <v>4.2750000000000004</v>
      </c>
      <c r="X91" s="913">
        <v>4.2549999999999999</v>
      </c>
      <c r="Y91" s="913">
        <v>4.2949999999999999</v>
      </c>
      <c r="Z91" s="913">
        <v>4.3499999999999996</v>
      </c>
      <c r="AA91" s="913">
        <v>4.3499999999999996</v>
      </c>
      <c r="AB91" s="913">
        <v>4.4049999999999994</v>
      </c>
      <c r="AC91" s="913">
        <v>4.42</v>
      </c>
      <c r="AD91" s="913">
        <v>4.4649999999999999</v>
      </c>
      <c r="AE91" s="913">
        <v>4.5149999999999997</v>
      </c>
      <c r="AF91" s="913">
        <v>4.5549999999999997</v>
      </c>
      <c r="AG91" s="913">
        <v>4.5950000000000006</v>
      </c>
      <c r="AH91" s="913">
        <v>4.6400000000000006</v>
      </c>
      <c r="AI91" s="913">
        <v>4.6750000000000007</v>
      </c>
      <c r="AJ91" s="913">
        <v>4.7200000000000006</v>
      </c>
      <c r="AK91" s="913">
        <v>4.76</v>
      </c>
      <c r="AL91" s="913">
        <v>4.8</v>
      </c>
      <c r="AM91" s="913">
        <v>4.8449999999999998</v>
      </c>
      <c r="AN91" s="913">
        <v>4.8899999999999997</v>
      </c>
      <c r="AO91" s="913">
        <v>4.93</v>
      </c>
      <c r="AP91" s="913">
        <v>4.97</v>
      </c>
      <c r="AQ91" s="913">
        <v>5.0150000000000006</v>
      </c>
      <c r="AR91" s="913">
        <v>5.0549999999999997</v>
      </c>
      <c r="AS91" s="913">
        <v>5.0950000000000006</v>
      </c>
      <c r="AT91" s="913">
        <v>5.1400000000000006</v>
      </c>
      <c r="AU91" s="913">
        <v>5.18</v>
      </c>
      <c r="AV91" s="913">
        <v>5.2200000000000006</v>
      </c>
      <c r="AW91" s="913">
        <v>5.27</v>
      </c>
      <c r="AX91" s="913">
        <v>5.3100000000000005</v>
      </c>
      <c r="AY91" s="913">
        <v>5.35</v>
      </c>
      <c r="AZ91" s="913">
        <v>5.3949999999999996</v>
      </c>
      <c r="BA91" s="913">
        <v>5.4350000000000005</v>
      </c>
      <c r="BB91" s="913">
        <v>5.48</v>
      </c>
      <c r="BC91" s="913">
        <v>5.5250000000000004</v>
      </c>
      <c r="BD91" s="913">
        <v>5.5649999999999995</v>
      </c>
      <c r="BE91" s="913">
        <v>5.6050000000000004</v>
      </c>
      <c r="BF91" s="913">
        <v>5.6549999999999994</v>
      </c>
      <c r="BG91" s="913">
        <v>5.6950000000000003</v>
      </c>
      <c r="BH91" s="913">
        <v>5.74</v>
      </c>
      <c r="BI91" s="913">
        <v>5.7850000000000001</v>
      </c>
      <c r="BJ91" s="913">
        <v>5.8249999999999993</v>
      </c>
      <c r="BK91" s="913">
        <v>5.8699999999999992</v>
      </c>
      <c r="BL91" s="913">
        <v>5.9149999999999991</v>
      </c>
      <c r="BM91" s="913">
        <v>5.9550000000000001</v>
      </c>
      <c r="BN91" s="913">
        <v>6</v>
      </c>
      <c r="BO91" s="913">
        <v>6.0449999999999999</v>
      </c>
      <c r="BP91" s="913">
        <v>6.0850000000000009</v>
      </c>
      <c r="BQ91" s="913">
        <v>6.1300000000000008</v>
      </c>
      <c r="BR91" s="913">
        <v>6.1750000000000007</v>
      </c>
      <c r="BS91" s="913">
        <v>6.2200000000000006</v>
      </c>
      <c r="BT91" s="914">
        <v>6.26</v>
      </c>
      <c r="BU91" s="913">
        <v>6.3049999999999997</v>
      </c>
      <c r="BV91" s="913">
        <v>6.35</v>
      </c>
      <c r="BW91" s="913">
        <v>6.3900000000000006</v>
      </c>
      <c r="BX91" s="913">
        <v>6.4350000000000005</v>
      </c>
      <c r="BY91" s="913">
        <v>6.48</v>
      </c>
      <c r="BZ91" s="913">
        <v>6.52</v>
      </c>
      <c r="CA91" s="913">
        <v>6.5649999999999995</v>
      </c>
      <c r="CB91" s="913">
        <v>6.6099999999999994</v>
      </c>
      <c r="CC91" s="913">
        <v>6.6549999999999994</v>
      </c>
      <c r="CD91" s="913">
        <v>6.6950000000000003</v>
      </c>
      <c r="CE91" s="913">
        <v>6.7349999999999994</v>
      </c>
      <c r="CF91" s="913">
        <v>6.7850000000000001</v>
      </c>
      <c r="CG91" s="913">
        <v>6.8249999999999993</v>
      </c>
      <c r="CH91" s="913">
        <v>6.8650000000000002</v>
      </c>
      <c r="CI91" s="913">
        <v>6.9149999999999991</v>
      </c>
      <c r="CJ91" s="913">
        <v>6.9550000000000001</v>
      </c>
      <c r="CK91" s="913">
        <v>6.9949999999999992</v>
      </c>
      <c r="CL91" s="913">
        <v>7.04</v>
      </c>
      <c r="CM91" s="913">
        <v>7.0850000000000009</v>
      </c>
      <c r="CN91" s="913">
        <v>7.125</v>
      </c>
      <c r="CO91" s="913">
        <v>7.17</v>
      </c>
      <c r="CP91" s="913">
        <v>7.21</v>
      </c>
      <c r="CQ91" s="913">
        <v>7.2549999999999999</v>
      </c>
      <c r="CR91" s="913">
        <v>7.3000000000000007</v>
      </c>
      <c r="CS91" s="913">
        <v>7.34</v>
      </c>
      <c r="CT91" s="913">
        <v>7.3849999999999998</v>
      </c>
      <c r="CU91" s="913">
        <v>7.4249999999999998</v>
      </c>
      <c r="CV91" s="913">
        <v>7.4649999999999999</v>
      </c>
      <c r="CW91" s="913">
        <v>7.5049999999999999</v>
      </c>
      <c r="CX91" s="913">
        <v>7.5549999999999997</v>
      </c>
      <c r="CY91" s="913">
        <v>7.5950000000000006</v>
      </c>
      <c r="CZ91" s="913">
        <v>7.6349999999999998</v>
      </c>
      <c r="DA91" s="913">
        <v>7.68</v>
      </c>
      <c r="DB91" s="913">
        <v>7.72</v>
      </c>
      <c r="DC91" s="913">
        <v>7.76</v>
      </c>
      <c r="DD91" s="913">
        <v>7.8</v>
      </c>
      <c r="DE91" s="913">
        <v>7.8450000000000006</v>
      </c>
      <c r="DF91" s="913">
        <v>7.8849999999999998</v>
      </c>
      <c r="DG91" s="913">
        <v>7.9250000000000007</v>
      </c>
      <c r="DH91" s="913">
        <v>7.9649999999999999</v>
      </c>
      <c r="DI91" s="913">
        <v>8.01</v>
      </c>
      <c r="DJ91" s="913">
        <v>8.0500000000000007</v>
      </c>
      <c r="DK91" s="913">
        <v>8.09</v>
      </c>
      <c r="DL91" s="913">
        <v>8.129999999999999</v>
      </c>
      <c r="DM91" s="913">
        <v>8.17</v>
      </c>
      <c r="DN91" s="913">
        <v>8.2100000000000009</v>
      </c>
      <c r="DO91" s="913">
        <v>8.254999999999999</v>
      </c>
      <c r="DP91" s="913">
        <v>8.2949999999999999</v>
      </c>
      <c r="DQ91" s="913">
        <v>8.3349999999999991</v>
      </c>
      <c r="DR91" s="913">
        <v>8.370000000000001</v>
      </c>
    </row>
    <row r="92" spans="1:122" s="127" customFormat="1" ht="12.75">
      <c r="A92" s="917">
        <v>90</v>
      </c>
      <c r="B92" s="913"/>
      <c r="C92" s="913"/>
      <c r="D92" s="913"/>
      <c r="E92" s="913"/>
      <c r="F92" s="913"/>
      <c r="G92" s="913"/>
      <c r="H92" s="913"/>
      <c r="I92" s="913"/>
      <c r="J92" s="913"/>
      <c r="K92" s="913"/>
      <c r="L92" s="913"/>
      <c r="M92" s="913"/>
      <c r="N92" s="913"/>
      <c r="O92" s="913"/>
      <c r="P92" s="913"/>
      <c r="Q92" s="913"/>
      <c r="R92" s="913"/>
      <c r="S92" s="913"/>
      <c r="T92" s="913"/>
      <c r="U92" s="913"/>
      <c r="V92" s="913"/>
      <c r="W92" s="913">
        <v>3.9550000000000001</v>
      </c>
      <c r="X92" s="913">
        <v>3.9299999999999997</v>
      </c>
      <c r="Y92" s="913">
        <v>3.9950000000000001</v>
      </c>
      <c r="Z92" s="913">
        <v>4</v>
      </c>
      <c r="AA92" s="913">
        <v>4.0299999999999994</v>
      </c>
      <c r="AB92" s="913">
        <v>4.0649999999999995</v>
      </c>
      <c r="AC92" s="913">
        <v>4.0999999999999996</v>
      </c>
      <c r="AD92" s="913">
        <v>4.1450000000000005</v>
      </c>
      <c r="AE92" s="913">
        <v>4.1850000000000005</v>
      </c>
      <c r="AF92" s="913">
        <v>4.2200000000000006</v>
      </c>
      <c r="AG92" s="913">
        <v>4.26</v>
      </c>
      <c r="AH92" s="913">
        <v>4.2949999999999999</v>
      </c>
      <c r="AI92" s="913">
        <v>4.335</v>
      </c>
      <c r="AJ92" s="913">
        <v>4.375</v>
      </c>
      <c r="AK92" s="913">
        <v>4.415</v>
      </c>
      <c r="AL92" s="913">
        <v>4.45</v>
      </c>
      <c r="AM92" s="913">
        <v>4.49</v>
      </c>
      <c r="AN92" s="913">
        <v>4.5250000000000004</v>
      </c>
      <c r="AO92" s="913">
        <v>4.5649999999999995</v>
      </c>
      <c r="AP92" s="913">
        <v>4.5999999999999996</v>
      </c>
      <c r="AQ92" s="913">
        <v>4.6400000000000006</v>
      </c>
      <c r="AR92" s="913">
        <v>4.68</v>
      </c>
      <c r="AS92" s="913">
        <v>4.7200000000000006</v>
      </c>
      <c r="AT92" s="913">
        <v>4.76</v>
      </c>
      <c r="AU92" s="913">
        <v>4.8000000000000007</v>
      </c>
      <c r="AV92" s="913">
        <v>4.8350000000000009</v>
      </c>
      <c r="AW92" s="913">
        <v>4.875</v>
      </c>
      <c r="AX92" s="913">
        <v>4.9149999999999991</v>
      </c>
      <c r="AY92" s="913">
        <v>4.9550000000000001</v>
      </c>
      <c r="AZ92" s="913">
        <v>4.9949999999999992</v>
      </c>
      <c r="BA92" s="913">
        <v>5.0350000000000001</v>
      </c>
      <c r="BB92" s="913">
        <v>5.0749999999999993</v>
      </c>
      <c r="BC92" s="913">
        <v>5.1150000000000002</v>
      </c>
      <c r="BD92" s="913">
        <v>5.1549999999999994</v>
      </c>
      <c r="BE92" s="913">
        <v>5.1950000000000003</v>
      </c>
      <c r="BF92" s="913">
        <v>5.23</v>
      </c>
      <c r="BG92" s="913">
        <v>5.27</v>
      </c>
      <c r="BH92" s="913">
        <v>5.3100000000000005</v>
      </c>
      <c r="BI92" s="913">
        <v>5.35</v>
      </c>
      <c r="BJ92" s="913">
        <v>5.3900000000000006</v>
      </c>
      <c r="BK92" s="913">
        <v>5.43</v>
      </c>
      <c r="BL92" s="913">
        <v>5.4700000000000006</v>
      </c>
      <c r="BM92" s="913">
        <v>5.51</v>
      </c>
      <c r="BN92" s="913">
        <v>5.5500000000000007</v>
      </c>
      <c r="BO92" s="913">
        <v>5.59</v>
      </c>
      <c r="BP92" s="913">
        <v>5.6349999999999998</v>
      </c>
      <c r="BQ92" s="913">
        <v>5.6749999999999998</v>
      </c>
      <c r="BR92" s="913">
        <v>5.7149999999999999</v>
      </c>
      <c r="BS92" s="913">
        <v>5.7549999999999999</v>
      </c>
      <c r="BT92" s="914">
        <v>5.7949999999999999</v>
      </c>
      <c r="BU92" s="913">
        <v>5.835</v>
      </c>
      <c r="BV92" s="913">
        <v>5.875</v>
      </c>
      <c r="BW92" s="913">
        <v>5.915</v>
      </c>
      <c r="BX92" s="913">
        <v>5.9550000000000001</v>
      </c>
      <c r="BY92" s="913">
        <v>5.9950000000000001</v>
      </c>
      <c r="BZ92" s="913">
        <v>6.0350000000000001</v>
      </c>
      <c r="CA92" s="913">
        <v>6.0750000000000002</v>
      </c>
      <c r="CB92" s="913">
        <v>6.1150000000000002</v>
      </c>
      <c r="CC92" s="913">
        <v>6.1549999999999994</v>
      </c>
      <c r="CD92" s="913">
        <v>6.1950000000000003</v>
      </c>
      <c r="CE92" s="913">
        <v>6.2349999999999994</v>
      </c>
      <c r="CF92" s="913">
        <v>6.27</v>
      </c>
      <c r="CG92" s="913">
        <v>6.3149999999999995</v>
      </c>
      <c r="CH92" s="913">
        <v>6.3550000000000004</v>
      </c>
      <c r="CI92" s="913">
        <v>6.3949999999999996</v>
      </c>
      <c r="CJ92" s="913">
        <v>6.4350000000000005</v>
      </c>
      <c r="CK92" s="913">
        <v>6.4749999999999996</v>
      </c>
      <c r="CL92" s="913">
        <v>6.5150000000000006</v>
      </c>
      <c r="CM92" s="913">
        <v>6.5549999999999997</v>
      </c>
      <c r="CN92" s="913">
        <v>6.5950000000000006</v>
      </c>
      <c r="CO92" s="913">
        <v>6.6349999999999998</v>
      </c>
      <c r="CP92" s="913">
        <v>6.6750000000000007</v>
      </c>
      <c r="CQ92" s="913">
        <v>6.7149999999999999</v>
      </c>
      <c r="CR92" s="913">
        <v>6.75</v>
      </c>
      <c r="CS92" s="913">
        <v>6.79</v>
      </c>
      <c r="CT92" s="913">
        <v>6.83</v>
      </c>
      <c r="CU92" s="913">
        <v>6.8699999999999992</v>
      </c>
      <c r="CV92" s="913">
        <v>6.91</v>
      </c>
      <c r="CW92" s="913">
        <v>6.9450000000000003</v>
      </c>
      <c r="CX92" s="913">
        <v>6.98</v>
      </c>
      <c r="CY92" s="913">
        <v>7.02</v>
      </c>
      <c r="CZ92" s="913">
        <v>7.0600000000000005</v>
      </c>
      <c r="DA92" s="913">
        <v>7.1</v>
      </c>
      <c r="DB92" s="913">
        <v>7.1400000000000006</v>
      </c>
      <c r="DC92" s="913">
        <v>7.1749999999999998</v>
      </c>
      <c r="DD92" s="913">
        <v>7.2149999999999999</v>
      </c>
      <c r="DE92" s="913">
        <v>7.2549999999999999</v>
      </c>
      <c r="DF92" s="913">
        <v>7.2949999999999999</v>
      </c>
      <c r="DG92" s="913">
        <v>7.33</v>
      </c>
      <c r="DH92" s="913">
        <v>7.37</v>
      </c>
      <c r="DI92" s="913">
        <v>7.41</v>
      </c>
      <c r="DJ92" s="913">
        <v>7.4399999999999995</v>
      </c>
      <c r="DK92" s="913">
        <v>7.48</v>
      </c>
      <c r="DL92" s="913">
        <v>7.52</v>
      </c>
      <c r="DM92" s="913">
        <v>7.5549999999999997</v>
      </c>
      <c r="DN92" s="913">
        <v>7.5949999999999998</v>
      </c>
      <c r="DO92" s="913">
        <v>7.63</v>
      </c>
      <c r="DP92" s="913">
        <v>7.665</v>
      </c>
      <c r="DQ92" s="913">
        <v>7.7050000000000001</v>
      </c>
      <c r="DR92" s="913">
        <v>7.74</v>
      </c>
    </row>
    <row r="93" spans="1:122" s="127" customFormat="1" ht="12.75">
      <c r="A93" s="917">
        <v>91</v>
      </c>
      <c r="B93" s="913"/>
      <c r="C93" s="913"/>
      <c r="D93" s="913"/>
      <c r="E93" s="913"/>
      <c r="F93" s="913"/>
      <c r="G93" s="913"/>
      <c r="H93" s="913"/>
      <c r="I93" s="913"/>
      <c r="J93" s="913"/>
      <c r="K93" s="913"/>
      <c r="L93" s="913"/>
      <c r="M93" s="913"/>
      <c r="N93" s="913"/>
      <c r="O93" s="913"/>
      <c r="P93" s="913"/>
      <c r="Q93" s="913"/>
      <c r="R93" s="913"/>
      <c r="S93" s="913"/>
      <c r="T93" s="913"/>
      <c r="U93" s="913"/>
      <c r="V93" s="913"/>
      <c r="W93" s="913">
        <v>3.66</v>
      </c>
      <c r="X93" s="913">
        <v>3.645</v>
      </c>
      <c r="Y93" s="913">
        <v>3.665</v>
      </c>
      <c r="Z93" s="913">
        <v>3.7</v>
      </c>
      <c r="AA93" s="913">
        <v>3.71</v>
      </c>
      <c r="AB93" s="913">
        <v>3.7699999999999996</v>
      </c>
      <c r="AC93" s="913">
        <v>3.8149999999999999</v>
      </c>
      <c r="AD93" s="913">
        <v>3.84</v>
      </c>
      <c r="AE93" s="913">
        <v>3.875</v>
      </c>
      <c r="AF93" s="913">
        <v>3.91</v>
      </c>
      <c r="AG93" s="913">
        <v>3.9450000000000003</v>
      </c>
      <c r="AH93" s="913">
        <v>3.9799999999999995</v>
      </c>
      <c r="AI93" s="913">
        <v>4.0149999999999997</v>
      </c>
      <c r="AJ93" s="913">
        <v>4.05</v>
      </c>
      <c r="AK93" s="913">
        <v>4.085</v>
      </c>
      <c r="AL93" s="913">
        <v>4.12</v>
      </c>
      <c r="AM93" s="913">
        <v>4.1549999999999994</v>
      </c>
      <c r="AN93" s="913">
        <v>4.1950000000000003</v>
      </c>
      <c r="AO93" s="913">
        <v>4.2249999999999996</v>
      </c>
      <c r="AP93" s="913">
        <v>4.2650000000000006</v>
      </c>
      <c r="AQ93" s="913">
        <v>4.3</v>
      </c>
      <c r="AR93" s="913">
        <v>4.335</v>
      </c>
      <c r="AS93" s="913">
        <v>4.37</v>
      </c>
      <c r="AT93" s="913">
        <v>4.41</v>
      </c>
      <c r="AU93" s="913">
        <v>4.4399999999999995</v>
      </c>
      <c r="AV93" s="913">
        <v>4.4800000000000004</v>
      </c>
      <c r="AW93" s="913">
        <v>4.5150000000000006</v>
      </c>
      <c r="AX93" s="913">
        <v>4.5500000000000007</v>
      </c>
      <c r="AY93" s="913">
        <v>4.585</v>
      </c>
      <c r="AZ93" s="913">
        <v>4.625</v>
      </c>
      <c r="BA93" s="913">
        <v>4.66</v>
      </c>
      <c r="BB93" s="913">
        <v>4.6950000000000003</v>
      </c>
      <c r="BC93" s="913">
        <v>4.7349999999999994</v>
      </c>
      <c r="BD93" s="913">
        <v>4.7650000000000006</v>
      </c>
      <c r="BE93" s="913">
        <v>4.8049999999999997</v>
      </c>
      <c r="BF93" s="913">
        <v>4.84</v>
      </c>
      <c r="BG93" s="913">
        <v>4.875</v>
      </c>
      <c r="BH93" s="913">
        <v>4.915</v>
      </c>
      <c r="BI93" s="913">
        <v>4.95</v>
      </c>
      <c r="BJ93" s="913">
        <v>4.9849999999999994</v>
      </c>
      <c r="BK93" s="913">
        <v>5.0250000000000004</v>
      </c>
      <c r="BL93" s="913">
        <v>5.0600000000000005</v>
      </c>
      <c r="BM93" s="913">
        <v>5.0999999999999996</v>
      </c>
      <c r="BN93" s="913">
        <v>5.1349999999999998</v>
      </c>
      <c r="BO93" s="913">
        <v>5.17</v>
      </c>
      <c r="BP93" s="913">
        <v>5.21</v>
      </c>
      <c r="BQ93" s="913">
        <v>5.2450000000000001</v>
      </c>
      <c r="BR93" s="913">
        <v>5.28</v>
      </c>
      <c r="BS93" s="913">
        <v>5.32</v>
      </c>
      <c r="BT93" s="914">
        <v>5.3550000000000004</v>
      </c>
      <c r="BU93" s="913">
        <v>5.39</v>
      </c>
      <c r="BV93" s="913">
        <v>5.43</v>
      </c>
      <c r="BW93" s="913">
        <v>5.4649999999999999</v>
      </c>
      <c r="BX93" s="913">
        <v>5.5</v>
      </c>
      <c r="BY93" s="913">
        <v>5.54</v>
      </c>
      <c r="BZ93" s="913">
        <v>5.5750000000000002</v>
      </c>
      <c r="CA93" s="913">
        <v>5.61</v>
      </c>
      <c r="CB93" s="913">
        <v>5.65</v>
      </c>
      <c r="CC93" s="913">
        <v>5.6850000000000005</v>
      </c>
      <c r="CD93" s="913">
        <v>5.72</v>
      </c>
      <c r="CE93" s="913">
        <v>5.76</v>
      </c>
      <c r="CF93" s="913">
        <v>5.7949999999999999</v>
      </c>
      <c r="CG93" s="913">
        <v>5.83</v>
      </c>
      <c r="CH93" s="913">
        <v>5.8650000000000002</v>
      </c>
      <c r="CI93" s="913">
        <v>5.9050000000000002</v>
      </c>
      <c r="CJ93" s="913">
        <v>5.9399999999999995</v>
      </c>
      <c r="CK93" s="913">
        <v>5.9749999999999996</v>
      </c>
      <c r="CL93" s="913">
        <v>6.0150000000000006</v>
      </c>
      <c r="CM93" s="913">
        <v>6.0449999999999999</v>
      </c>
      <c r="CN93" s="913">
        <v>6.085</v>
      </c>
      <c r="CO93" s="913">
        <v>6.125</v>
      </c>
      <c r="CP93" s="913">
        <v>6.1550000000000002</v>
      </c>
      <c r="CQ93" s="913">
        <v>6.1950000000000003</v>
      </c>
      <c r="CR93" s="913">
        <v>6.23</v>
      </c>
      <c r="CS93" s="913">
        <v>6.2650000000000006</v>
      </c>
      <c r="CT93" s="913">
        <v>6.3000000000000007</v>
      </c>
      <c r="CU93" s="913">
        <v>6.34</v>
      </c>
      <c r="CV93" s="913">
        <v>6.37</v>
      </c>
      <c r="CW93" s="913">
        <v>6.41</v>
      </c>
      <c r="CX93" s="913">
        <v>6.4450000000000003</v>
      </c>
      <c r="CY93" s="913">
        <v>6.48</v>
      </c>
      <c r="CZ93" s="913">
        <v>6.5150000000000006</v>
      </c>
      <c r="DA93" s="913">
        <v>6.5500000000000007</v>
      </c>
      <c r="DB93" s="913">
        <v>6.585</v>
      </c>
      <c r="DC93" s="913">
        <v>6.625</v>
      </c>
      <c r="DD93" s="913">
        <v>6.6549999999999994</v>
      </c>
      <c r="DE93" s="913">
        <v>6.6899999999999995</v>
      </c>
      <c r="DF93" s="913">
        <v>6.7249999999999996</v>
      </c>
      <c r="DG93" s="913">
        <v>6.76</v>
      </c>
      <c r="DH93" s="913">
        <v>6.7949999999999999</v>
      </c>
      <c r="DI93" s="913">
        <v>6.83</v>
      </c>
      <c r="DJ93" s="913">
        <v>6.8650000000000002</v>
      </c>
      <c r="DK93" s="913">
        <v>6.9</v>
      </c>
      <c r="DL93" s="913">
        <v>6.9350000000000005</v>
      </c>
      <c r="DM93" s="913">
        <v>6.9649999999999999</v>
      </c>
      <c r="DN93" s="913">
        <v>7.0049999999999999</v>
      </c>
      <c r="DO93" s="913">
        <v>7.0350000000000001</v>
      </c>
      <c r="DP93" s="913">
        <v>7.07</v>
      </c>
      <c r="DQ93" s="913">
        <v>7.1</v>
      </c>
      <c r="DR93" s="913">
        <v>7.1349999999999998</v>
      </c>
    </row>
    <row r="94" spans="1:122" s="127" customFormat="1" ht="12.75">
      <c r="A94" s="917">
        <v>92</v>
      </c>
      <c r="B94" s="913"/>
      <c r="C94" s="913"/>
      <c r="D94" s="913"/>
      <c r="E94" s="913"/>
      <c r="F94" s="913"/>
      <c r="G94" s="913"/>
      <c r="H94" s="913"/>
      <c r="I94" s="913"/>
      <c r="J94" s="913"/>
      <c r="K94" s="913"/>
      <c r="L94" s="913"/>
      <c r="M94" s="913"/>
      <c r="N94" s="913"/>
      <c r="O94" s="913"/>
      <c r="P94" s="913"/>
      <c r="Q94" s="913"/>
      <c r="R94" s="913"/>
      <c r="S94" s="913"/>
      <c r="T94" s="913"/>
      <c r="U94" s="913"/>
      <c r="V94" s="913"/>
      <c r="W94" s="913">
        <v>3.415</v>
      </c>
      <c r="X94" s="913">
        <v>3.35</v>
      </c>
      <c r="Y94" s="913">
        <v>3.41</v>
      </c>
      <c r="Z94" s="913">
        <v>3.4050000000000002</v>
      </c>
      <c r="AA94" s="913">
        <v>3.4450000000000003</v>
      </c>
      <c r="AB94" s="913">
        <v>3.4950000000000001</v>
      </c>
      <c r="AC94" s="913">
        <v>3.5300000000000002</v>
      </c>
      <c r="AD94" s="913">
        <v>3.5649999999999999</v>
      </c>
      <c r="AE94" s="913">
        <v>3.59</v>
      </c>
      <c r="AF94" s="913">
        <v>3.625</v>
      </c>
      <c r="AG94" s="913">
        <v>3.66</v>
      </c>
      <c r="AH94" s="913">
        <v>3.6850000000000001</v>
      </c>
      <c r="AI94" s="913">
        <v>3.72</v>
      </c>
      <c r="AJ94" s="913">
        <v>3.7549999999999999</v>
      </c>
      <c r="AK94" s="913">
        <v>3.7849999999999997</v>
      </c>
      <c r="AL94" s="913">
        <v>3.8149999999999995</v>
      </c>
      <c r="AM94" s="913">
        <v>3.8449999999999998</v>
      </c>
      <c r="AN94" s="913">
        <v>3.88</v>
      </c>
      <c r="AO94" s="913">
        <v>3.915</v>
      </c>
      <c r="AP94" s="913">
        <v>3.9450000000000003</v>
      </c>
      <c r="AQ94" s="913">
        <v>3.9799999999999995</v>
      </c>
      <c r="AR94" s="913">
        <v>4.01</v>
      </c>
      <c r="AS94" s="913">
        <v>4.04</v>
      </c>
      <c r="AT94" s="913">
        <v>4.08</v>
      </c>
      <c r="AU94" s="913">
        <v>4.1100000000000003</v>
      </c>
      <c r="AV94" s="913">
        <v>4.1399999999999997</v>
      </c>
      <c r="AW94" s="913">
        <v>4.1749999999999998</v>
      </c>
      <c r="AX94" s="913">
        <v>4.2050000000000001</v>
      </c>
      <c r="AY94" s="913">
        <v>4.24</v>
      </c>
      <c r="AZ94" s="913">
        <v>4.2750000000000004</v>
      </c>
      <c r="BA94" s="913">
        <v>4.3049999999999997</v>
      </c>
      <c r="BB94" s="913">
        <v>4.34</v>
      </c>
      <c r="BC94" s="913">
        <v>4.375</v>
      </c>
      <c r="BD94" s="913">
        <v>4.4050000000000002</v>
      </c>
      <c r="BE94" s="913">
        <v>4.4399999999999995</v>
      </c>
      <c r="BF94" s="913">
        <v>4.4749999999999996</v>
      </c>
      <c r="BG94" s="913">
        <v>4.5049999999999999</v>
      </c>
      <c r="BH94" s="913">
        <v>4.54</v>
      </c>
      <c r="BI94" s="913">
        <v>4.5750000000000002</v>
      </c>
      <c r="BJ94" s="913">
        <v>4.6050000000000004</v>
      </c>
      <c r="BK94" s="913">
        <v>4.6400000000000006</v>
      </c>
      <c r="BL94" s="913">
        <v>4.6749999999999998</v>
      </c>
      <c r="BM94" s="913">
        <v>4.7050000000000001</v>
      </c>
      <c r="BN94" s="913">
        <v>4.74</v>
      </c>
      <c r="BO94" s="913">
        <v>4.7699999999999996</v>
      </c>
      <c r="BP94" s="913">
        <v>4.8049999999999997</v>
      </c>
      <c r="BQ94" s="913">
        <v>4.84</v>
      </c>
      <c r="BR94" s="913">
        <v>4.875</v>
      </c>
      <c r="BS94" s="913">
        <v>4.9050000000000002</v>
      </c>
      <c r="BT94" s="914">
        <v>4.9399999999999995</v>
      </c>
      <c r="BU94" s="913">
        <v>4.9749999999999996</v>
      </c>
      <c r="BV94" s="913">
        <v>5.0049999999999999</v>
      </c>
      <c r="BW94" s="913">
        <v>5.04</v>
      </c>
      <c r="BX94" s="913">
        <v>5.0750000000000002</v>
      </c>
      <c r="BY94" s="913">
        <v>5.1050000000000004</v>
      </c>
      <c r="BZ94" s="913">
        <v>5.1400000000000006</v>
      </c>
      <c r="CA94" s="913">
        <v>5.1749999999999998</v>
      </c>
      <c r="CB94" s="913">
        <v>5.2050000000000001</v>
      </c>
      <c r="CC94" s="913">
        <v>5.24</v>
      </c>
      <c r="CD94" s="913">
        <v>5.2750000000000004</v>
      </c>
      <c r="CE94" s="913">
        <v>5.3049999999999997</v>
      </c>
      <c r="CF94" s="913">
        <v>5.34</v>
      </c>
      <c r="CG94" s="913">
        <v>5.375</v>
      </c>
      <c r="CH94" s="913">
        <v>5.4050000000000002</v>
      </c>
      <c r="CI94" s="913">
        <v>5.4350000000000005</v>
      </c>
      <c r="CJ94" s="913">
        <v>5.4749999999999996</v>
      </c>
      <c r="CK94" s="913">
        <v>5.5049999999999999</v>
      </c>
      <c r="CL94" s="913">
        <v>5.5350000000000001</v>
      </c>
      <c r="CM94" s="913">
        <v>5.5750000000000002</v>
      </c>
      <c r="CN94" s="913">
        <v>5.6050000000000004</v>
      </c>
      <c r="CO94" s="913">
        <v>5.6349999999999998</v>
      </c>
      <c r="CP94" s="913">
        <v>5.67</v>
      </c>
      <c r="CQ94" s="913">
        <v>5.7</v>
      </c>
      <c r="CR94" s="913">
        <v>5.7350000000000003</v>
      </c>
      <c r="CS94" s="913">
        <v>5.77</v>
      </c>
      <c r="CT94" s="913">
        <v>5.8</v>
      </c>
      <c r="CU94" s="913">
        <v>5.83</v>
      </c>
      <c r="CV94" s="913">
        <v>5.8650000000000002</v>
      </c>
      <c r="CW94" s="913">
        <v>5.9</v>
      </c>
      <c r="CX94" s="913">
        <v>5.93</v>
      </c>
      <c r="CY94" s="913">
        <v>5.96</v>
      </c>
      <c r="CZ94" s="913">
        <v>5.9950000000000001</v>
      </c>
      <c r="DA94" s="913">
        <v>6.0250000000000004</v>
      </c>
      <c r="DB94" s="913">
        <v>6.0549999999999997</v>
      </c>
      <c r="DC94" s="913">
        <v>6.085</v>
      </c>
      <c r="DD94" s="913">
        <v>6.125</v>
      </c>
      <c r="DE94" s="913">
        <v>6.1550000000000002</v>
      </c>
      <c r="DF94" s="913">
        <v>6.1850000000000005</v>
      </c>
      <c r="DG94" s="913">
        <v>6.2149999999999999</v>
      </c>
      <c r="DH94" s="913">
        <v>6.25</v>
      </c>
      <c r="DI94" s="913">
        <v>6.2799999999999994</v>
      </c>
      <c r="DJ94" s="913">
        <v>6.3100000000000005</v>
      </c>
      <c r="DK94" s="913">
        <v>6.34</v>
      </c>
      <c r="DL94" s="913">
        <v>6.37</v>
      </c>
      <c r="DM94" s="913">
        <v>6.4049999999999994</v>
      </c>
      <c r="DN94" s="913">
        <v>6.4350000000000005</v>
      </c>
      <c r="DO94" s="913">
        <v>6.4649999999999999</v>
      </c>
      <c r="DP94" s="913">
        <v>6.4949999999999992</v>
      </c>
      <c r="DQ94" s="913">
        <v>6.5250000000000004</v>
      </c>
      <c r="DR94" s="913">
        <v>6.5549999999999997</v>
      </c>
    </row>
    <row r="95" spans="1:122" s="127" customFormat="1" ht="12.75">
      <c r="A95" s="917">
        <v>93</v>
      </c>
      <c r="B95" s="913"/>
      <c r="C95" s="913"/>
      <c r="D95" s="913"/>
      <c r="E95" s="913"/>
      <c r="F95" s="913"/>
      <c r="G95" s="913"/>
      <c r="H95" s="913"/>
      <c r="I95" s="913"/>
      <c r="J95" s="913"/>
      <c r="K95" s="913"/>
      <c r="L95" s="913"/>
      <c r="M95" s="913"/>
      <c r="N95" s="913"/>
      <c r="O95" s="913"/>
      <c r="P95" s="913"/>
      <c r="Q95" s="913"/>
      <c r="R95" s="913"/>
      <c r="S95" s="913"/>
      <c r="T95" s="913"/>
      <c r="U95" s="913"/>
      <c r="V95" s="913"/>
      <c r="W95" s="913">
        <v>3.1550000000000002</v>
      </c>
      <c r="X95" s="913">
        <v>3.12</v>
      </c>
      <c r="Y95" s="913">
        <v>3.1349999999999998</v>
      </c>
      <c r="Z95" s="913">
        <v>3.1749999999999998</v>
      </c>
      <c r="AA95" s="913">
        <v>3.2149999999999999</v>
      </c>
      <c r="AB95" s="913">
        <v>3.2450000000000001</v>
      </c>
      <c r="AC95" s="913">
        <v>3.27</v>
      </c>
      <c r="AD95" s="913">
        <v>3.3049999999999997</v>
      </c>
      <c r="AE95" s="913">
        <v>3.33</v>
      </c>
      <c r="AF95" s="913">
        <v>3.36</v>
      </c>
      <c r="AG95" s="913">
        <v>3.3899999999999997</v>
      </c>
      <c r="AH95" s="913">
        <v>3.42</v>
      </c>
      <c r="AI95" s="913">
        <v>3.4450000000000003</v>
      </c>
      <c r="AJ95" s="913">
        <v>3.4750000000000001</v>
      </c>
      <c r="AK95" s="913">
        <v>3.5049999999999999</v>
      </c>
      <c r="AL95" s="913">
        <v>3.5300000000000002</v>
      </c>
      <c r="AM95" s="913">
        <v>3.5599999999999996</v>
      </c>
      <c r="AN95" s="913">
        <v>3.59</v>
      </c>
      <c r="AO95" s="913">
        <v>3.62</v>
      </c>
      <c r="AP95" s="913">
        <v>3.6500000000000004</v>
      </c>
      <c r="AQ95" s="913">
        <v>3.6799999999999997</v>
      </c>
      <c r="AR95" s="913">
        <v>3.71</v>
      </c>
      <c r="AS95" s="913">
        <v>3.74</v>
      </c>
      <c r="AT95" s="913">
        <v>3.77</v>
      </c>
      <c r="AU95" s="913">
        <v>3.7949999999999999</v>
      </c>
      <c r="AV95" s="913">
        <v>3.8250000000000002</v>
      </c>
      <c r="AW95" s="913">
        <v>3.86</v>
      </c>
      <c r="AX95" s="913">
        <v>3.89</v>
      </c>
      <c r="AY95" s="913">
        <v>3.92</v>
      </c>
      <c r="AZ95" s="913">
        <v>3.95</v>
      </c>
      <c r="BA95" s="913">
        <v>3.98</v>
      </c>
      <c r="BB95" s="913">
        <v>4.01</v>
      </c>
      <c r="BC95" s="913">
        <v>4.04</v>
      </c>
      <c r="BD95" s="913">
        <v>4.07</v>
      </c>
      <c r="BE95" s="913">
        <v>4.0999999999999996</v>
      </c>
      <c r="BF95" s="913">
        <v>4.13</v>
      </c>
      <c r="BG95" s="913">
        <v>4.16</v>
      </c>
      <c r="BH95" s="913">
        <v>4.1899999999999995</v>
      </c>
      <c r="BI95" s="913">
        <v>4.2200000000000006</v>
      </c>
      <c r="BJ95" s="913">
        <v>4.25</v>
      </c>
      <c r="BK95" s="913">
        <v>4.2799999999999994</v>
      </c>
      <c r="BL95" s="913">
        <v>4.3100000000000005</v>
      </c>
      <c r="BM95" s="913">
        <v>4.34</v>
      </c>
      <c r="BN95" s="913">
        <v>4.3699999999999992</v>
      </c>
      <c r="BO95" s="913">
        <v>4.4000000000000004</v>
      </c>
      <c r="BP95" s="913">
        <v>4.43</v>
      </c>
      <c r="BQ95" s="913">
        <v>4.4600000000000009</v>
      </c>
      <c r="BR95" s="913">
        <v>4.49</v>
      </c>
      <c r="BS95" s="913">
        <v>4.5199999999999996</v>
      </c>
      <c r="BT95" s="914">
        <v>4.5500000000000007</v>
      </c>
      <c r="BU95" s="913">
        <v>4.58</v>
      </c>
      <c r="BV95" s="913">
        <v>4.6099999999999994</v>
      </c>
      <c r="BW95" s="913">
        <v>4.6400000000000006</v>
      </c>
      <c r="BX95" s="913">
        <v>4.67</v>
      </c>
      <c r="BY95" s="913">
        <v>4.6999999999999993</v>
      </c>
      <c r="BZ95" s="913">
        <v>4.7300000000000004</v>
      </c>
      <c r="CA95" s="913">
        <v>4.76</v>
      </c>
      <c r="CB95" s="913">
        <v>4.7899999999999991</v>
      </c>
      <c r="CC95" s="913">
        <v>4.82</v>
      </c>
      <c r="CD95" s="913">
        <v>4.8499999999999996</v>
      </c>
      <c r="CE95" s="913">
        <v>4.8800000000000008</v>
      </c>
      <c r="CF95" s="913">
        <v>4.91</v>
      </c>
      <c r="CG95" s="913">
        <v>4.9399999999999995</v>
      </c>
      <c r="CH95" s="913">
        <v>4.9700000000000006</v>
      </c>
      <c r="CI95" s="913">
        <v>5</v>
      </c>
      <c r="CJ95" s="913">
        <v>5.0299999999999994</v>
      </c>
      <c r="CK95" s="913">
        <v>5.0549999999999997</v>
      </c>
      <c r="CL95" s="913">
        <v>5.085</v>
      </c>
      <c r="CM95" s="913">
        <v>5.1150000000000002</v>
      </c>
      <c r="CN95" s="913">
        <v>5.1449999999999996</v>
      </c>
      <c r="CO95" s="913">
        <v>5.1750000000000007</v>
      </c>
      <c r="CP95" s="913">
        <v>5.2050000000000001</v>
      </c>
      <c r="CQ95" s="913">
        <v>5.2349999999999994</v>
      </c>
      <c r="CR95" s="913">
        <v>5.2650000000000006</v>
      </c>
      <c r="CS95" s="913">
        <v>5.2949999999999999</v>
      </c>
      <c r="CT95" s="913">
        <v>5.3249999999999993</v>
      </c>
      <c r="CU95" s="913">
        <v>5.35</v>
      </c>
      <c r="CV95" s="913">
        <v>5.38</v>
      </c>
      <c r="CW95" s="913">
        <v>5.41</v>
      </c>
      <c r="CX95" s="913">
        <v>5.4399999999999995</v>
      </c>
      <c r="CY95" s="913">
        <v>5.4700000000000006</v>
      </c>
      <c r="CZ95" s="913">
        <v>5.5</v>
      </c>
      <c r="DA95" s="913">
        <v>5.5250000000000004</v>
      </c>
      <c r="DB95" s="913">
        <v>5.5549999999999997</v>
      </c>
      <c r="DC95" s="913">
        <v>5.585</v>
      </c>
      <c r="DD95" s="913">
        <v>5.6150000000000002</v>
      </c>
      <c r="DE95" s="913">
        <v>5.6349999999999998</v>
      </c>
      <c r="DF95" s="913">
        <v>5.665</v>
      </c>
      <c r="DG95" s="913">
        <v>5.6950000000000003</v>
      </c>
      <c r="DH95" s="913">
        <v>5.7249999999999996</v>
      </c>
      <c r="DI95" s="913">
        <v>5.75</v>
      </c>
      <c r="DJ95" s="913">
        <v>5.78</v>
      </c>
      <c r="DK95" s="913">
        <v>5.81</v>
      </c>
      <c r="DL95" s="913">
        <v>5.84</v>
      </c>
      <c r="DM95" s="913">
        <v>5.86</v>
      </c>
      <c r="DN95" s="913">
        <v>5.89</v>
      </c>
      <c r="DO95" s="913">
        <v>5.92</v>
      </c>
      <c r="DP95" s="913">
        <v>5.9450000000000003</v>
      </c>
      <c r="DQ95" s="913">
        <v>5.9749999999999996</v>
      </c>
      <c r="DR95" s="913">
        <v>6.0049999999999999</v>
      </c>
    </row>
    <row r="96" spans="1:122" s="127" customFormat="1" ht="12.75">
      <c r="A96" s="917">
        <v>94</v>
      </c>
      <c r="B96" s="913"/>
      <c r="C96" s="913"/>
      <c r="D96" s="913"/>
      <c r="E96" s="913"/>
      <c r="F96" s="913"/>
      <c r="G96" s="913"/>
      <c r="H96" s="913"/>
      <c r="I96" s="913"/>
      <c r="J96" s="913"/>
      <c r="K96" s="913"/>
      <c r="L96" s="913"/>
      <c r="M96" s="913"/>
      <c r="N96" s="913"/>
      <c r="O96" s="913"/>
      <c r="P96" s="913"/>
      <c r="Q96" s="913"/>
      <c r="R96" s="913"/>
      <c r="S96" s="913"/>
      <c r="T96" s="913"/>
      <c r="U96" s="913"/>
      <c r="V96" s="913"/>
      <c r="W96" s="913">
        <v>2.9699999999999998</v>
      </c>
      <c r="X96" s="913">
        <v>2.86</v>
      </c>
      <c r="Y96" s="913">
        <v>2.915</v>
      </c>
      <c r="Z96" s="913">
        <v>2.9649999999999999</v>
      </c>
      <c r="AA96" s="913">
        <v>2.9850000000000003</v>
      </c>
      <c r="AB96" s="913">
        <v>3.01</v>
      </c>
      <c r="AC96" s="913">
        <v>3.04</v>
      </c>
      <c r="AD96" s="913">
        <v>3.0649999999999999</v>
      </c>
      <c r="AE96" s="913">
        <v>3.09</v>
      </c>
      <c r="AF96" s="913">
        <v>3.1150000000000002</v>
      </c>
      <c r="AG96" s="913">
        <v>3.1399999999999997</v>
      </c>
      <c r="AH96" s="913">
        <v>3.17</v>
      </c>
      <c r="AI96" s="913">
        <v>3.1950000000000003</v>
      </c>
      <c r="AJ96" s="913">
        <v>3.22</v>
      </c>
      <c r="AK96" s="913">
        <v>3.2450000000000001</v>
      </c>
      <c r="AL96" s="913">
        <v>3.2749999999999999</v>
      </c>
      <c r="AM96" s="913">
        <v>3.3</v>
      </c>
      <c r="AN96" s="913">
        <v>3.3250000000000002</v>
      </c>
      <c r="AO96" s="913">
        <v>3.3499999999999996</v>
      </c>
      <c r="AP96" s="913">
        <v>3.38</v>
      </c>
      <c r="AQ96" s="913">
        <v>3.4050000000000002</v>
      </c>
      <c r="AR96" s="913">
        <v>3.4299999999999997</v>
      </c>
      <c r="AS96" s="913">
        <v>3.46</v>
      </c>
      <c r="AT96" s="913">
        <v>3.4850000000000003</v>
      </c>
      <c r="AU96" s="913">
        <v>3.51</v>
      </c>
      <c r="AV96" s="913">
        <v>3.54</v>
      </c>
      <c r="AW96" s="913">
        <v>3.5649999999999999</v>
      </c>
      <c r="AX96" s="913">
        <v>3.59</v>
      </c>
      <c r="AY96" s="913">
        <v>3.62</v>
      </c>
      <c r="AZ96" s="913">
        <v>3.645</v>
      </c>
      <c r="BA96" s="913">
        <v>3.67</v>
      </c>
      <c r="BB96" s="913">
        <v>3.7</v>
      </c>
      <c r="BC96" s="913">
        <v>3.7250000000000001</v>
      </c>
      <c r="BD96" s="913">
        <v>3.75</v>
      </c>
      <c r="BE96" s="913">
        <v>3.78</v>
      </c>
      <c r="BF96" s="913">
        <v>3.8049999999999997</v>
      </c>
      <c r="BG96" s="913">
        <v>3.835</v>
      </c>
      <c r="BH96" s="913">
        <v>3.86</v>
      </c>
      <c r="BI96" s="913">
        <v>3.8849999999999998</v>
      </c>
      <c r="BJ96" s="913">
        <v>3.915</v>
      </c>
      <c r="BK96" s="913">
        <v>3.94</v>
      </c>
      <c r="BL96" s="913">
        <v>3.9699999999999998</v>
      </c>
      <c r="BM96" s="913">
        <v>3.9950000000000001</v>
      </c>
      <c r="BN96" s="913">
        <v>4.0199999999999996</v>
      </c>
      <c r="BO96" s="913">
        <v>4.05</v>
      </c>
      <c r="BP96" s="913">
        <v>4.0750000000000002</v>
      </c>
      <c r="BQ96" s="913">
        <v>4.1049999999999995</v>
      </c>
      <c r="BR96" s="913">
        <v>4.13</v>
      </c>
      <c r="BS96" s="913">
        <v>4.1550000000000002</v>
      </c>
      <c r="BT96" s="914">
        <v>4.1849999999999996</v>
      </c>
      <c r="BU96" s="913">
        <v>4.21</v>
      </c>
      <c r="BV96" s="913">
        <v>4.2350000000000003</v>
      </c>
      <c r="BW96" s="913">
        <v>4.2649999999999997</v>
      </c>
      <c r="BX96" s="913">
        <v>4.29</v>
      </c>
      <c r="BY96" s="913">
        <v>4.32</v>
      </c>
      <c r="BZ96" s="913">
        <v>4.3449999999999998</v>
      </c>
      <c r="CA96" s="913">
        <v>4.37</v>
      </c>
      <c r="CB96" s="913">
        <v>4.4000000000000004</v>
      </c>
      <c r="CC96" s="913">
        <v>4.42</v>
      </c>
      <c r="CD96" s="913">
        <v>4.45</v>
      </c>
      <c r="CE96" s="913">
        <v>4.4800000000000004</v>
      </c>
      <c r="CF96" s="913">
        <v>4.5</v>
      </c>
      <c r="CG96" s="913">
        <v>4.5299999999999994</v>
      </c>
      <c r="CH96" s="913">
        <v>4.5600000000000005</v>
      </c>
      <c r="CI96" s="913">
        <v>4.58</v>
      </c>
      <c r="CJ96" s="913">
        <v>4.6099999999999994</v>
      </c>
      <c r="CK96" s="913">
        <v>4.6349999999999998</v>
      </c>
      <c r="CL96" s="913">
        <v>4.66</v>
      </c>
      <c r="CM96" s="913">
        <v>4.6899999999999995</v>
      </c>
      <c r="CN96" s="913">
        <v>4.7149999999999999</v>
      </c>
      <c r="CO96" s="913">
        <v>4.74</v>
      </c>
      <c r="CP96" s="913">
        <v>4.7650000000000006</v>
      </c>
      <c r="CQ96" s="913">
        <v>4.7949999999999999</v>
      </c>
      <c r="CR96" s="913">
        <v>4.8149999999999995</v>
      </c>
      <c r="CS96" s="913">
        <v>4.8450000000000006</v>
      </c>
      <c r="CT96" s="913">
        <v>4.8699999999999992</v>
      </c>
      <c r="CU96" s="913">
        <v>4.8949999999999996</v>
      </c>
      <c r="CV96" s="913">
        <v>4.92</v>
      </c>
      <c r="CW96" s="913">
        <v>4.9499999999999993</v>
      </c>
      <c r="CX96" s="913">
        <v>4.9700000000000006</v>
      </c>
      <c r="CY96" s="913">
        <v>5</v>
      </c>
      <c r="CZ96" s="913">
        <v>5.0199999999999996</v>
      </c>
      <c r="DA96" s="913">
        <v>5.0500000000000007</v>
      </c>
      <c r="DB96" s="913">
        <v>5.0749999999999993</v>
      </c>
      <c r="DC96" s="913">
        <v>5.0999999999999996</v>
      </c>
      <c r="DD96" s="913">
        <v>5.125</v>
      </c>
      <c r="DE96" s="913">
        <v>5.15</v>
      </c>
      <c r="DF96" s="913">
        <v>5.1750000000000007</v>
      </c>
      <c r="DG96" s="913">
        <v>5.1999999999999993</v>
      </c>
      <c r="DH96" s="913">
        <v>5.2249999999999996</v>
      </c>
      <c r="DI96" s="913">
        <v>5.25</v>
      </c>
      <c r="DJ96" s="913">
        <v>5.2750000000000004</v>
      </c>
      <c r="DK96" s="913">
        <v>5.3</v>
      </c>
      <c r="DL96" s="913">
        <v>5.3249999999999993</v>
      </c>
      <c r="DM96" s="913">
        <v>5.35</v>
      </c>
      <c r="DN96" s="913">
        <v>5.37</v>
      </c>
      <c r="DO96" s="913">
        <v>5.4</v>
      </c>
      <c r="DP96" s="913">
        <v>5.42</v>
      </c>
      <c r="DQ96" s="913">
        <v>5.4450000000000003</v>
      </c>
      <c r="DR96" s="913">
        <v>5.4700000000000006</v>
      </c>
    </row>
    <row r="97" spans="1:122" s="127" customFormat="1" ht="12.75">
      <c r="A97" s="917">
        <v>95</v>
      </c>
      <c r="B97" s="913"/>
      <c r="C97" s="913"/>
      <c r="D97" s="913"/>
      <c r="E97" s="913"/>
      <c r="F97" s="913"/>
      <c r="G97" s="913"/>
      <c r="H97" s="913"/>
      <c r="I97" s="913"/>
      <c r="J97" s="913"/>
      <c r="K97" s="913"/>
      <c r="L97" s="913"/>
      <c r="M97" s="913"/>
      <c r="N97" s="913"/>
      <c r="O97" s="913"/>
      <c r="P97" s="913"/>
      <c r="Q97" s="913"/>
      <c r="R97" s="913"/>
      <c r="S97" s="913"/>
      <c r="T97" s="913"/>
      <c r="U97" s="913"/>
      <c r="V97" s="913"/>
      <c r="W97" s="913">
        <v>2.76</v>
      </c>
      <c r="X97" s="913">
        <v>2.66</v>
      </c>
      <c r="Y97" s="913">
        <v>2.7050000000000001</v>
      </c>
      <c r="Z97" s="913">
        <v>2.7549999999999999</v>
      </c>
      <c r="AA97" s="913">
        <v>2.7750000000000004</v>
      </c>
      <c r="AB97" s="913">
        <v>2.8</v>
      </c>
      <c r="AC97" s="913">
        <v>2.8200000000000003</v>
      </c>
      <c r="AD97" s="913">
        <v>2.8449999999999998</v>
      </c>
      <c r="AE97" s="913">
        <v>2.87</v>
      </c>
      <c r="AF97" s="913">
        <v>2.89</v>
      </c>
      <c r="AG97" s="913">
        <v>2.915</v>
      </c>
      <c r="AH97" s="913">
        <v>2.9400000000000004</v>
      </c>
      <c r="AI97" s="913">
        <v>2.96</v>
      </c>
      <c r="AJ97" s="913">
        <v>2.9849999999999999</v>
      </c>
      <c r="AK97" s="913">
        <v>3.01</v>
      </c>
      <c r="AL97" s="913">
        <v>3.0300000000000002</v>
      </c>
      <c r="AM97" s="913">
        <v>3.0549999999999997</v>
      </c>
      <c r="AN97" s="913">
        <v>3.08</v>
      </c>
      <c r="AO97" s="913">
        <v>3.105</v>
      </c>
      <c r="AP97" s="913">
        <v>3.125</v>
      </c>
      <c r="AQ97" s="913">
        <v>3.15</v>
      </c>
      <c r="AR97" s="913">
        <v>3.1749999999999998</v>
      </c>
      <c r="AS97" s="913">
        <v>3.1950000000000003</v>
      </c>
      <c r="AT97" s="913">
        <v>3.2199999999999998</v>
      </c>
      <c r="AU97" s="913">
        <v>3.2450000000000001</v>
      </c>
      <c r="AV97" s="913">
        <v>3.2649999999999997</v>
      </c>
      <c r="AW97" s="913">
        <v>3.2949999999999999</v>
      </c>
      <c r="AX97" s="913">
        <v>3.3149999999999999</v>
      </c>
      <c r="AY97" s="913">
        <v>3.335</v>
      </c>
      <c r="AZ97" s="913">
        <v>3.3650000000000002</v>
      </c>
      <c r="BA97" s="913">
        <v>3.3849999999999998</v>
      </c>
      <c r="BB97" s="913">
        <v>3.415</v>
      </c>
      <c r="BC97" s="913">
        <v>3.4350000000000001</v>
      </c>
      <c r="BD97" s="913">
        <v>3.4550000000000001</v>
      </c>
      <c r="BE97" s="913">
        <v>3.4850000000000003</v>
      </c>
      <c r="BF97" s="913">
        <v>3.5049999999999999</v>
      </c>
      <c r="BG97" s="913">
        <v>3.5250000000000004</v>
      </c>
      <c r="BH97" s="913">
        <v>3.5549999999999997</v>
      </c>
      <c r="BI97" s="913">
        <v>3.5750000000000002</v>
      </c>
      <c r="BJ97" s="913">
        <v>3.605</v>
      </c>
      <c r="BK97" s="913">
        <v>3.625</v>
      </c>
      <c r="BL97" s="913">
        <v>3.645</v>
      </c>
      <c r="BM97" s="913">
        <v>3.6749999999999998</v>
      </c>
      <c r="BN97" s="913">
        <v>3.6950000000000003</v>
      </c>
      <c r="BO97" s="913">
        <v>3.7149999999999999</v>
      </c>
      <c r="BP97" s="913">
        <v>3.7450000000000001</v>
      </c>
      <c r="BQ97" s="913">
        <v>3.7649999999999997</v>
      </c>
      <c r="BR97" s="913">
        <v>3.79</v>
      </c>
      <c r="BS97" s="913">
        <v>3.8150000000000004</v>
      </c>
      <c r="BT97" s="914">
        <v>3.835</v>
      </c>
      <c r="BU97" s="913">
        <v>3.8650000000000002</v>
      </c>
      <c r="BV97" s="913">
        <v>3.8849999999999998</v>
      </c>
      <c r="BW97" s="913">
        <v>3.9050000000000002</v>
      </c>
      <c r="BX97" s="913">
        <v>3.9350000000000005</v>
      </c>
      <c r="BY97" s="913">
        <v>3.9550000000000001</v>
      </c>
      <c r="BZ97" s="913">
        <v>3.9800000000000004</v>
      </c>
      <c r="CA97" s="913">
        <v>4</v>
      </c>
      <c r="CB97" s="913">
        <v>4.0250000000000004</v>
      </c>
      <c r="CC97" s="913">
        <v>4.05</v>
      </c>
      <c r="CD97" s="913">
        <v>4.07</v>
      </c>
      <c r="CE97" s="913">
        <v>4.0949999999999998</v>
      </c>
      <c r="CF97" s="913">
        <v>4.12</v>
      </c>
      <c r="CG97" s="913">
        <v>4.1399999999999997</v>
      </c>
      <c r="CH97" s="913">
        <v>4.17</v>
      </c>
      <c r="CI97" s="913">
        <v>4.1900000000000004</v>
      </c>
      <c r="CJ97" s="913">
        <v>4.21</v>
      </c>
      <c r="CK97" s="913">
        <v>4.2350000000000003</v>
      </c>
      <c r="CL97" s="913">
        <v>4.26</v>
      </c>
      <c r="CM97" s="913">
        <v>4.28</v>
      </c>
      <c r="CN97" s="913">
        <v>4.3049999999999997</v>
      </c>
      <c r="CO97" s="913">
        <v>4.3250000000000002</v>
      </c>
      <c r="CP97" s="913">
        <v>4.3499999999999996</v>
      </c>
      <c r="CQ97" s="913">
        <v>4.375</v>
      </c>
      <c r="CR97" s="913">
        <v>4.3949999999999996</v>
      </c>
      <c r="CS97" s="913">
        <v>4.415</v>
      </c>
      <c r="CT97" s="913">
        <v>4.4350000000000005</v>
      </c>
      <c r="CU97" s="913">
        <v>4.4649999999999999</v>
      </c>
      <c r="CV97" s="913">
        <v>4.4850000000000003</v>
      </c>
      <c r="CW97" s="913">
        <v>4.5049999999999999</v>
      </c>
      <c r="CX97" s="913">
        <v>4.53</v>
      </c>
      <c r="CY97" s="913">
        <v>4.55</v>
      </c>
      <c r="CZ97" s="913">
        <v>4.57</v>
      </c>
      <c r="DA97" s="913">
        <v>4.5949999999999998</v>
      </c>
      <c r="DB97" s="913">
        <v>4.62</v>
      </c>
      <c r="DC97" s="913">
        <v>4.6400000000000006</v>
      </c>
      <c r="DD97" s="913">
        <v>4.66</v>
      </c>
      <c r="DE97" s="913">
        <v>4.68</v>
      </c>
      <c r="DF97" s="913">
        <v>4.7050000000000001</v>
      </c>
      <c r="DG97" s="913">
        <v>4.7249999999999996</v>
      </c>
      <c r="DH97" s="913">
        <v>4.7450000000000001</v>
      </c>
      <c r="DI97" s="913">
        <v>4.7650000000000006</v>
      </c>
      <c r="DJ97" s="913">
        <v>4.7949999999999999</v>
      </c>
      <c r="DK97" s="913">
        <v>4.8149999999999995</v>
      </c>
      <c r="DL97" s="913">
        <v>4.835</v>
      </c>
      <c r="DM97" s="913">
        <v>4.8550000000000004</v>
      </c>
      <c r="DN97" s="913">
        <v>4.875</v>
      </c>
      <c r="DO97" s="913">
        <v>4.9000000000000004</v>
      </c>
      <c r="DP97" s="913">
        <v>4.92</v>
      </c>
      <c r="DQ97" s="913">
        <v>4.9399999999999995</v>
      </c>
      <c r="DR97" s="913">
        <v>4.96</v>
      </c>
    </row>
    <row r="98" spans="1:122" s="127" customFormat="1" ht="12.75">
      <c r="A98" s="917">
        <v>96</v>
      </c>
      <c r="B98" s="913"/>
      <c r="C98" s="913"/>
      <c r="D98" s="913"/>
      <c r="E98" s="913"/>
      <c r="F98" s="913"/>
      <c r="G98" s="913"/>
      <c r="H98" s="913"/>
      <c r="I98" s="913"/>
      <c r="J98" s="913"/>
      <c r="K98" s="913"/>
      <c r="L98" s="913"/>
      <c r="M98" s="913"/>
      <c r="N98" s="913"/>
      <c r="O98" s="913"/>
      <c r="P98" s="913"/>
      <c r="Q98" s="913"/>
      <c r="R98" s="913"/>
      <c r="S98" s="913"/>
      <c r="T98" s="913"/>
      <c r="U98" s="913"/>
      <c r="V98" s="913"/>
      <c r="W98" s="913">
        <v>2.5750000000000002</v>
      </c>
      <c r="X98" s="913">
        <v>2.4850000000000003</v>
      </c>
      <c r="Y98" s="913">
        <v>2.5300000000000002</v>
      </c>
      <c r="Z98" s="913">
        <v>2.5700000000000003</v>
      </c>
      <c r="AA98" s="913">
        <v>2.585</v>
      </c>
      <c r="AB98" s="913">
        <v>2.6100000000000003</v>
      </c>
      <c r="AC98" s="913">
        <v>2.625</v>
      </c>
      <c r="AD98" s="913">
        <v>2.65</v>
      </c>
      <c r="AE98" s="913">
        <v>2.67</v>
      </c>
      <c r="AF98" s="913">
        <v>2.69</v>
      </c>
      <c r="AG98" s="913">
        <v>2.7149999999999999</v>
      </c>
      <c r="AH98" s="913">
        <v>2.73</v>
      </c>
      <c r="AI98" s="913">
        <v>2.75</v>
      </c>
      <c r="AJ98" s="913">
        <v>2.7749999999999999</v>
      </c>
      <c r="AK98" s="913">
        <v>2.7949999999999999</v>
      </c>
      <c r="AL98" s="913">
        <v>2.82</v>
      </c>
      <c r="AM98" s="913">
        <v>2.84</v>
      </c>
      <c r="AN98" s="913">
        <v>2.86</v>
      </c>
      <c r="AO98" s="913">
        <v>2.88</v>
      </c>
      <c r="AP98" s="913">
        <v>2.9</v>
      </c>
      <c r="AQ98" s="913">
        <v>2.92</v>
      </c>
      <c r="AR98" s="913">
        <v>2.94</v>
      </c>
      <c r="AS98" s="913">
        <v>2.9649999999999999</v>
      </c>
      <c r="AT98" s="913">
        <v>2.9850000000000003</v>
      </c>
      <c r="AU98" s="913">
        <v>3.0049999999999999</v>
      </c>
      <c r="AV98" s="913">
        <v>3.0300000000000002</v>
      </c>
      <c r="AW98" s="913">
        <v>3.05</v>
      </c>
      <c r="AX98" s="913">
        <v>3.07</v>
      </c>
      <c r="AY98" s="913">
        <v>3.09</v>
      </c>
      <c r="AZ98" s="913">
        <v>3.11</v>
      </c>
      <c r="BA98" s="913">
        <v>3.1349999999999998</v>
      </c>
      <c r="BB98" s="913">
        <v>3.1550000000000002</v>
      </c>
      <c r="BC98" s="913">
        <v>3.1749999999999998</v>
      </c>
      <c r="BD98" s="913">
        <v>3.1950000000000003</v>
      </c>
      <c r="BE98" s="913">
        <v>3.2199999999999998</v>
      </c>
      <c r="BF98" s="913">
        <v>3.24</v>
      </c>
      <c r="BG98" s="913">
        <v>3.26</v>
      </c>
      <c r="BH98" s="913">
        <v>3.2800000000000002</v>
      </c>
      <c r="BI98" s="913">
        <v>3.3</v>
      </c>
      <c r="BJ98" s="913">
        <v>3.3250000000000002</v>
      </c>
      <c r="BK98" s="913">
        <v>3.3449999999999998</v>
      </c>
      <c r="BL98" s="913">
        <v>3.3650000000000002</v>
      </c>
      <c r="BM98" s="913">
        <v>3.39</v>
      </c>
      <c r="BN98" s="913">
        <v>3.41</v>
      </c>
      <c r="BO98" s="913">
        <v>3.43</v>
      </c>
      <c r="BP98" s="913">
        <v>3.45</v>
      </c>
      <c r="BQ98" s="913">
        <v>3.4699999999999998</v>
      </c>
      <c r="BR98" s="913">
        <v>3.49</v>
      </c>
      <c r="BS98" s="913">
        <v>3.51</v>
      </c>
      <c r="BT98" s="914">
        <v>3.5300000000000002</v>
      </c>
      <c r="BU98" s="913">
        <v>3.5550000000000002</v>
      </c>
      <c r="BV98" s="913">
        <v>3.5750000000000002</v>
      </c>
      <c r="BW98" s="913">
        <v>3.6</v>
      </c>
      <c r="BX98" s="913">
        <v>3.62</v>
      </c>
      <c r="BY98" s="913">
        <v>3.64</v>
      </c>
      <c r="BZ98" s="913">
        <v>3.66</v>
      </c>
      <c r="CA98" s="913">
        <v>3.68</v>
      </c>
      <c r="CB98" s="913">
        <v>3.7</v>
      </c>
      <c r="CC98" s="913">
        <v>3.7199999999999998</v>
      </c>
      <c r="CD98" s="913">
        <v>3.74</v>
      </c>
      <c r="CE98" s="913">
        <v>3.7650000000000001</v>
      </c>
      <c r="CF98" s="913">
        <v>3.7850000000000001</v>
      </c>
      <c r="CG98" s="913">
        <v>3.8050000000000002</v>
      </c>
      <c r="CH98" s="913">
        <v>3.8250000000000002</v>
      </c>
      <c r="CI98" s="913">
        <v>3.8450000000000002</v>
      </c>
      <c r="CJ98" s="913">
        <v>3.8650000000000002</v>
      </c>
      <c r="CK98" s="913">
        <v>3.8850000000000002</v>
      </c>
      <c r="CL98" s="913">
        <v>3.9050000000000002</v>
      </c>
      <c r="CM98" s="913">
        <v>3.9250000000000003</v>
      </c>
      <c r="CN98" s="913">
        <v>3.9449999999999998</v>
      </c>
      <c r="CO98" s="913">
        <v>3.9649999999999999</v>
      </c>
      <c r="CP98" s="913">
        <v>3.9849999999999999</v>
      </c>
      <c r="CQ98" s="913">
        <v>4</v>
      </c>
      <c r="CR98" s="913">
        <v>4.0199999999999996</v>
      </c>
      <c r="CS98" s="913">
        <v>4.04</v>
      </c>
      <c r="CT98" s="913">
        <v>4.0600000000000005</v>
      </c>
      <c r="CU98" s="913">
        <v>4.08</v>
      </c>
      <c r="CV98" s="913">
        <v>4.0999999999999996</v>
      </c>
      <c r="CW98" s="913">
        <v>4.12</v>
      </c>
      <c r="CX98" s="913">
        <v>4.1400000000000006</v>
      </c>
      <c r="CY98" s="913">
        <v>4.16</v>
      </c>
      <c r="CZ98" s="913">
        <v>4.18</v>
      </c>
      <c r="DA98" s="913">
        <v>4.1999999999999993</v>
      </c>
      <c r="DB98" s="913">
        <v>4.2149999999999999</v>
      </c>
      <c r="DC98" s="913">
        <v>4.2349999999999994</v>
      </c>
      <c r="DD98" s="913">
        <v>4.2549999999999999</v>
      </c>
      <c r="DE98" s="913">
        <v>4.2750000000000004</v>
      </c>
      <c r="DF98" s="913">
        <v>4.2949999999999999</v>
      </c>
      <c r="DG98" s="913">
        <v>4.3149999999999995</v>
      </c>
      <c r="DH98" s="913">
        <v>4.33</v>
      </c>
      <c r="DI98" s="913">
        <v>4.3499999999999996</v>
      </c>
      <c r="DJ98" s="913">
        <v>4.37</v>
      </c>
      <c r="DK98" s="913">
        <v>4.3899999999999997</v>
      </c>
      <c r="DL98" s="913">
        <v>4.41</v>
      </c>
      <c r="DM98" s="913">
        <v>4.4249999999999998</v>
      </c>
      <c r="DN98" s="913">
        <v>4.4450000000000003</v>
      </c>
      <c r="DO98" s="913">
        <v>4.4649999999999999</v>
      </c>
      <c r="DP98" s="913">
        <v>4.4850000000000003</v>
      </c>
      <c r="DQ98" s="913">
        <v>4.4950000000000001</v>
      </c>
      <c r="DR98" s="913">
        <v>4.5149999999999997</v>
      </c>
    </row>
    <row r="99" spans="1:122" s="127" customFormat="1" ht="12.75">
      <c r="A99" s="917">
        <v>97</v>
      </c>
      <c r="B99" s="913"/>
      <c r="C99" s="913"/>
      <c r="D99" s="913"/>
      <c r="E99" s="913"/>
      <c r="F99" s="913"/>
      <c r="G99" s="913"/>
      <c r="H99" s="913"/>
      <c r="I99" s="913"/>
      <c r="J99" s="913"/>
      <c r="K99" s="913"/>
      <c r="L99" s="913"/>
      <c r="M99" s="913"/>
      <c r="N99" s="913"/>
      <c r="O99" s="913"/>
      <c r="P99" s="913"/>
      <c r="Q99" s="913"/>
      <c r="R99" s="913"/>
      <c r="S99" s="913"/>
      <c r="T99" s="913"/>
      <c r="U99" s="913"/>
      <c r="V99" s="913"/>
      <c r="W99" s="913">
        <v>2.4</v>
      </c>
      <c r="X99" s="913">
        <v>2.3200000000000003</v>
      </c>
      <c r="Y99" s="913">
        <v>2.3650000000000002</v>
      </c>
      <c r="Z99" s="913">
        <v>2.4</v>
      </c>
      <c r="AA99" s="913">
        <v>2.415</v>
      </c>
      <c r="AB99" s="913">
        <v>2.4350000000000001</v>
      </c>
      <c r="AC99" s="913">
        <v>2.4550000000000001</v>
      </c>
      <c r="AD99" s="913">
        <v>2.4699999999999998</v>
      </c>
      <c r="AE99" s="913">
        <v>2.4900000000000002</v>
      </c>
      <c r="AF99" s="913">
        <v>2.5099999999999998</v>
      </c>
      <c r="AG99" s="913">
        <v>2.5300000000000002</v>
      </c>
      <c r="AH99" s="913">
        <v>2.5499999999999998</v>
      </c>
      <c r="AI99" s="913">
        <v>2.5649999999999999</v>
      </c>
      <c r="AJ99" s="913">
        <v>2.585</v>
      </c>
      <c r="AK99" s="913">
        <v>2.605</v>
      </c>
      <c r="AL99" s="913">
        <v>2.625</v>
      </c>
      <c r="AM99" s="913">
        <v>2.64</v>
      </c>
      <c r="AN99" s="913">
        <v>2.66</v>
      </c>
      <c r="AO99" s="913">
        <v>2.6799999999999997</v>
      </c>
      <c r="AP99" s="913">
        <v>2.7</v>
      </c>
      <c r="AQ99" s="913">
        <v>2.7199999999999998</v>
      </c>
      <c r="AR99" s="913">
        <v>2.74</v>
      </c>
      <c r="AS99" s="913">
        <v>2.7549999999999999</v>
      </c>
      <c r="AT99" s="913">
        <v>2.7750000000000004</v>
      </c>
      <c r="AU99" s="913">
        <v>2.7949999999999999</v>
      </c>
      <c r="AV99" s="913">
        <v>2.8150000000000004</v>
      </c>
      <c r="AW99" s="913">
        <v>2.83</v>
      </c>
      <c r="AX99" s="913">
        <v>2.85</v>
      </c>
      <c r="AY99" s="913">
        <v>2.87</v>
      </c>
      <c r="AZ99" s="913">
        <v>2.89</v>
      </c>
      <c r="BA99" s="913">
        <v>2.91</v>
      </c>
      <c r="BB99" s="913">
        <v>2.9299999999999997</v>
      </c>
      <c r="BC99" s="913">
        <v>2.95</v>
      </c>
      <c r="BD99" s="913">
        <v>2.9649999999999999</v>
      </c>
      <c r="BE99" s="913">
        <v>2.9850000000000003</v>
      </c>
      <c r="BF99" s="913">
        <v>3</v>
      </c>
      <c r="BG99" s="913">
        <v>3.02</v>
      </c>
      <c r="BH99" s="913">
        <v>3.04</v>
      </c>
      <c r="BI99" s="913">
        <v>3.06</v>
      </c>
      <c r="BJ99" s="913">
        <v>3.08</v>
      </c>
      <c r="BK99" s="913">
        <v>3.1</v>
      </c>
      <c r="BL99" s="913">
        <v>3.12</v>
      </c>
      <c r="BM99" s="913">
        <v>3.14</v>
      </c>
      <c r="BN99" s="913">
        <v>3.15</v>
      </c>
      <c r="BO99" s="913">
        <v>3.17</v>
      </c>
      <c r="BP99" s="913">
        <v>3.19</v>
      </c>
      <c r="BQ99" s="913">
        <v>3.21</v>
      </c>
      <c r="BR99" s="913">
        <v>3.23</v>
      </c>
      <c r="BS99" s="913">
        <v>3.25</v>
      </c>
      <c r="BT99" s="914">
        <v>3.2650000000000001</v>
      </c>
      <c r="BU99" s="913">
        <v>3.2850000000000001</v>
      </c>
      <c r="BV99" s="913">
        <v>3.3050000000000002</v>
      </c>
      <c r="BW99" s="913">
        <v>3.3200000000000003</v>
      </c>
      <c r="BX99" s="913">
        <v>3.34</v>
      </c>
      <c r="BY99" s="913">
        <v>3.36</v>
      </c>
      <c r="BZ99" s="913">
        <v>3.375</v>
      </c>
      <c r="CA99" s="913">
        <v>3.395</v>
      </c>
      <c r="CB99" s="913">
        <v>3.415</v>
      </c>
      <c r="CC99" s="913">
        <v>3.4350000000000001</v>
      </c>
      <c r="CD99" s="913">
        <v>3.4550000000000001</v>
      </c>
      <c r="CE99" s="913">
        <v>3.4649999999999999</v>
      </c>
      <c r="CF99" s="913">
        <v>3.4849999999999999</v>
      </c>
      <c r="CG99" s="913">
        <v>3.5049999999999999</v>
      </c>
      <c r="CH99" s="913">
        <v>3.5249999999999999</v>
      </c>
      <c r="CI99" s="913">
        <v>3.54</v>
      </c>
      <c r="CJ99" s="913">
        <v>3.56</v>
      </c>
      <c r="CK99" s="913">
        <v>3.5750000000000002</v>
      </c>
      <c r="CL99" s="913">
        <v>3.5949999999999998</v>
      </c>
      <c r="CM99" s="913">
        <v>3.6100000000000003</v>
      </c>
      <c r="CN99" s="913">
        <v>3.63</v>
      </c>
      <c r="CO99" s="913">
        <v>3.6500000000000004</v>
      </c>
      <c r="CP99" s="913">
        <v>3.67</v>
      </c>
      <c r="CQ99" s="913">
        <v>3.6799999999999997</v>
      </c>
      <c r="CR99" s="913">
        <v>3.7</v>
      </c>
      <c r="CS99" s="913">
        <v>3.7199999999999998</v>
      </c>
      <c r="CT99" s="913">
        <v>3.7350000000000003</v>
      </c>
      <c r="CU99" s="913">
        <v>3.7549999999999999</v>
      </c>
      <c r="CV99" s="913">
        <v>3.77</v>
      </c>
      <c r="CW99" s="913">
        <v>3.7850000000000001</v>
      </c>
      <c r="CX99" s="913">
        <v>3.8049999999999997</v>
      </c>
      <c r="CY99" s="913">
        <v>3.8250000000000002</v>
      </c>
      <c r="CZ99" s="913">
        <v>3.835</v>
      </c>
      <c r="DA99" s="913">
        <v>3.855</v>
      </c>
      <c r="DB99" s="913">
        <v>3.875</v>
      </c>
      <c r="DC99" s="913">
        <v>3.89</v>
      </c>
      <c r="DD99" s="913">
        <v>3.9049999999999998</v>
      </c>
      <c r="DE99" s="913">
        <v>3.9249999999999998</v>
      </c>
      <c r="DF99" s="913">
        <v>3.94</v>
      </c>
      <c r="DG99" s="913">
        <v>3.96</v>
      </c>
      <c r="DH99" s="913">
        <v>3.9699999999999998</v>
      </c>
      <c r="DI99" s="913">
        <v>3.9899999999999998</v>
      </c>
      <c r="DJ99" s="913">
        <v>4.01</v>
      </c>
      <c r="DK99" s="913">
        <v>4.0250000000000004</v>
      </c>
      <c r="DL99" s="913">
        <v>4.04</v>
      </c>
      <c r="DM99" s="913">
        <v>4.0549999999999997</v>
      </c>
      <c r="DN99" s="913">
        <v>4.0750000000000002</v>
      </c>
      <c r="DO99" s="913">
        <v>4.085</v>
      </c>
      <c r="DP99" s="913">
        <v>4.1050000000000004</v>
      </c>
      <c r="DQ99" s="913">
        <v>4.12</v>
      </c>
      <c r="DR99" s="913">
        <v>4.1349999999999998</v>
      </c>
    </row>
    <row r="100" spans="1:122" s="127" customFormat="1" ht="12.75">
      <c r="A100" s="917">
        <v>98</v>
      </c>
      <c r="B100" s="913"/>
      <c r="C100" s="913"/>
      <c r="D100" s="913"/>
      <c r="E100" s="913"/>
      <c r="F100" s="913"/>
      <c r="G100" s="913"/>
      <c r="H100" s="913"/>
      <c r="I100" s="913"/>
      <c r="J100" s="913"/>
      <c r="K100" s="913"/>
      <c r="L100" s="913"/>
      <c r="M100" s="913"/>
      <c r="N100" s="913"/>
      <c r="O100" s="913"/>
      <c r="P100" s="913"/>
      <c r="Q100" s="913"/>
      <c r="R100" s="913"/>
      <c r="S100" s="913"/>
      <c r="T100" s="913"/>
      <c r="U100" s="913"/>
      <c r="V100" s="913"/>
      <c r="W100" s="913">
        <v>2.2549999999999999</v>
      </c>
      <c r="X100" s="913">
        <v>2.1799999999999997</v>
      </c>
      <c r="Y100" s="913">
        <v>2.2149999999999999</v>
      </c>
      <c r="Z100" s="913">
        <v>2.25</v>
      </c>
      <c r="AA100" s="913">
        <v>2.2599999999999998</v>
      </c>
      <c r="AB100" s="913">
        <v>2.2800000000000002</v>
      </c>
      <c r="AC100" s="913">
        <v>2.2949999999999999</v>
      </c>
      <c r="AD100" s="913">
        <v>2.3150000000000004</v>
      </c>
      <c r="AE100" s="913">
        <v>2.33</v>
      </c>
      <c r="AF100" s="913">
        <v>2.35</v>
      </c>
      <c r="AG100" s="913">
        <v>2.3650000000000002</v>
      </c>
      <c r="AH100" s="913">
        <v>2.3849999999999998</v>
      </c>
      <c r="AI100" s="913">
        <v>2.4</v>
      </c>
      <c r="AJ100" s="913">
        <v>2.42</v>
      </c>
      <c r="AK100" s="913">
        <v>2.4349999999999996</v>
      </c>
      <c r="AL100" s="913">
        <v>2.4550000000000001</v>
      </c>
      <c r="AM100" s="913">
        <v>2.4699999999999998</v>
      </c>
      <c r="AN100" s="913">
        <v>2.4850000000000003</v>
      </c>
      <c r="AO100" s="913">
        <v>2.5049999999999999</v>
      </c>
      <c r="AP100" s="913">
        <v>2.5250000000000004</v>
      </c>
      <c r="AQ100" s="913">
        <v>2.5350000000000001</v>
      </c>
      <c r="AR100" s="913">
        <v>2.5549999999999997</v>
      </c>
      <c r="AS100" s="913">
        <v>2.5750000000000002</v>
      </c>
      <c r="AT100" s="913">
        <v>2.59</v>
      </c>
      <c r="AU100" s="913">
        <v>2.605</v>
      </c>
      <c r="AV100" s="913">
        <v>2.625</v>
      </c>
      <c r="AW100" s="913">
        <v>2.645</v>
      </c>
      <c r="AX100" s="913">
        <v>2.6550000000000002</v>
      </c>
      <c r="AY100" s="913">
        <v>2.6749999999999998</v>
      </c>
      <c r="AZ100" s="913">
        <v>2.6950000000000003</v>
      </c>
      <c r="BA100" s="913">
        <v>2.71</v>
      </c>
      <c r="BB100" s="913">
        <v>2.7249999999999996</v>
      </c>
      <c r="BC100" s="913">
        <v>2.7450000000000001</v>
      </c>
      <c r="BD100" s="913">
        <v>2.76</v>
      </c>
      <c r="BE100" s="913">
        <v>2.7800000000000002</v>
      </c>
      <c r="BF100" s="913">
        <v>2.7949999999999999</v>
      </c>
      <c r="BG100" s="913">
        <v>2.8150000000000004</v>
      </c>
      <c r="BH100" s="913">
        <v>2.83</v>
      </c>
      <c r="BI100" s="913">
        <v>2.8449999999999998</v>
      </c>
      <c r="BJ100" s="913">
        <v>2.8650000000000002</v>
      </c>
      <c r="BK100" s="913">
        <v>2.88</v>
      </c>
      <c r="BL100" s="913">
        <v>2.9</v>
      </c>
      <c r="BM100" s="913">
        <v>2.915</v>
      </c>
      <c r="BN100" s="913">
        <v>2.9299999999999997</v>
      </c>
      <c r="BO100" s="913">
        <v>2.95</v>
      </c>
      <c r="BP100" s="913">
        <v>2.9649999999999999</v>
      </c>
      <c r="BQ100" s="913">
        <v>2.98</v>
      </c>
      <c r="BR100" s="913">
        <v>3</v>
      </c>
      <c r="BS100" s="913">
        <v>3.01</v>
      </c>
      <c r="BT100" s="914">
        <v>3.0300000000000002</v>
      </c>
      <c r="BU100" s="913">
        <v>3.05</v>
      </c>
      <c r="BV100" s="913">
        <v>3.0649999999999999</v>
      </c>
      <c r="BW100" s="913">
        <v>3.08</v>
      </c>
      <c r="BX100" s="913">
        <v>3.1</v>
      </c>
      <c r="BY100" s="913">
        <v>3.1150000000000002</v>
      </c>
      <c r="BZ100" s="913">
        <v>3.13</v>
      </c>
      <c r="CA100" s="913">
        <v>3.145</v>
      </c>
      <c r="CB100" s="913">
        <v>3.165</v>
      </c>
      <c r="CC100" s="913">
        <v>3.1799999999999997</v>
      </c>
      <c r="CD100" s="913">
        <v>3.1949999999999998</v>
      </c>
      <c r="CE100" s="913">
        <v>3.2149999999999999</v>
      </c>
      <c r="CF100" s="913">
        <v>3.2250000000000001</v>
      </c>
      <c r="CG100" s="913">
        <v>3.2450000000000001</v>
      </c>
      <c r="CH100" s="913">
        <v>3.2650000000000001</v>
      </c>
      <c r="CI100" s="913">
        <v>3.2749999999999999</v>
      </c>
      <c r="CJ100" s="913">
        <v>3.2949999999999999</v>
      </c>
      <c r="CK100" s="913">
        <v>3.31</v>
      </c>
      <c r="CL100" s="913">
        <v>3.3250000000000002</v>
      </c>
      <c r="CM100" s="913">
        <v>3.34</v>
      </c>
      <c r="CN100" s="913">
        <v>3.3600000000000003</v>
      </c>
      <c r="CO100" s="913">
        <v>3.37</v>
      </c>
      <c r="CP100" s="913">
        <v>3.3899999999999997</v>
      </c>
      <c r="CQ100" s="913">
        <v>3.4</v>
      </c>
      <c r="CR100" s="913">
        <v>3.42</v>
      </c>
      <c r="CS100" s="913">
        <v>3.4349999999999996</v>
      </c>
      <c r="CT100" s="913">
        <v>3.45</v>
      </c>
      <c r="CU100" s="913">
        <v>3.4649999999999999</v>
      </c>
      <c r="CV100" s="913">
        <v>3.48</v>
      </c>
      <c r="CW100" s="913">
        <v>3.4950000000000001</v>
      </c>
      <c r="CX100" s="913">
        <v>3.5149999999999997</v>
      </c>
      <c r="CY100" s="913">
        <v>3.5250000000000004</v>
      </c>
      <c r="CZ100" s="913">
        <v>3.5449999999999999</v>
      </c>
      <c r="DA100" s="913">
        <v>3.5549999999999997</v>
      </c>
      <c r="DB100" s="913">
        <v>3.5750000000000002</v>
      </c>
      <c r="DC100" s="913">
        <v>3.585</v>
      </c>
      <c r="DD100" s="913">
        <v>3.6050000000000004</v>
      </c>
      <c r="DE100" s="913">
        <v>3.6150000000000002</v>
      </c>
      <c r="DF100" s="913">
        <v>3.63</v>
      </c>
      <c r="DG100" s="913">
        <v>3.65</v>
      </c>
      <c r="DH100" s="913">
        <v>3.66</v>
      </c>
      <c r="DI100" s="913">
        <v>3.6799999999999997</v>
      </c>
      <c r="DJ100" s="913">
        <v>3.69</v>
      </c>
      <c r="DK100" s="913">
        <v>3.7050000000000001</v>
      </c>
      <c r="DL100" s="913">
        <v>3.7199999999999998</v>
      </c>
      <c r="DM100" s="913">
        <v>3.7349999999999999</v>
      </c>
      <c r="DN100" s="913">
        <v>3.75</v>
      </c>
      <c r="DO100" s="913">
        <v>3.7650000000000001</v>
      </c>
      <c r="DP100" s="913">
        <v>3.7749999999999999</v>
      </c>
      <c r="DQ100" s="913">
        <v>3.7949999999999999</v>
      </c>
      <c r="DR100" s="913">
        <v>3.8050000000000002</v>
      </c>
    </row>
    <row r="101" spans="1:122" s="127" customFormat="1" ht="12.75">
      <c r="A101" s="917">
        <v>99</v>
      </c>
      <c r="B101" s="913"/>
      <c r="C101" s="913"/>
      <c r="D101" s="913"/>
      <c r="E101" s="913"/>
      <c r="F101" s="913"/>
      <c r="G101" s="913"/>
      <c r="H101" s="913"/>
      <c r="I101" s="913"/>
      <c r="J101" s="913"/>
      <c r="K101" s="913"/>
      <c r="L101" s="913"/>
      <c r="M101" s="913"/>
      <c r="N101" s="913"/>
      <c r="O101" s="913"/>
      <c r="P101" s="913"/>
      <c r="Q101" s="913"/>
      <c r="R101" s="913"/>
      <c r="S101" s="913"/>
      <c r="T101" s="913"/>
      <c r="U101" s="913"/>
      <c r="V101" s="913"/>
      <c r="W101" s="913">
        <v>2.12</v>
      </c>
      <c r="X101" s="913">
        <v>2.0549999999999997</v>
      </c>
      <c r="Y101" s="913">
        <v>2.08</v>
      </c>
      <c r="Z101" s="913">
        <v>2.1150000000000002</v>
      </c>
      <c r="AA101" s="913">
        <v>2.13</v>
      </c>
      <c r="AB101" s="913">
        <v>2.1399999999999997</v>
      </c>
      <c r="AC101" s="913">
        <v>2.16</v>
      </c>
      <c r="AD101" s="913">
        <v>2.1749999999999998</v>
      </c>
      <c r="AE101" s="913">
        <v>2.1949999999999998</v>
      </c>
      <c r="AF101" s="913">
        <v>2.2050000000000001</v>
      </c>
      <c r="AG101" s="913">
        <v>2.2199999999999998</v>
      </c>
      <c r="AH101" s="913">
        <v>2.2400000000000002</v>
      </c>
      <c r="AI101" s="913">
        <v>2.2549999999999999</v>
      </c>
      <c r="AJ101" s="913">
        <v>2.27</v>
      </c>
      <c r="AK101" s="913">
        <v>2.2850000000000001</v>
      </c>
      <c r="AL101" s="913">
        <v>2.2999999999999998</v>
      </c>
      <c r="AM101" s="913">
        <v>2.3200000000000003</v>
      </c>
      <c r="AN101" s="913">
        <v>2.33</v>
      </c>
      <c r="AO101" s="913">
        <v>2.35</v>
      </c>
      <c r="AP101" s="913">
        <v>2.3600000000000003</v>
      </c>
      <c r="AQ101" s="913">
        <v>2.38</v>
      </c>
      <c r="AR101" s="913">
        <v>2.3949999999999996</v>
      </c>
      <c r="AS101" s="913">
        <v>2.41</v>
      </c>
      <c r="AT101" s="913">
        <v>2.4249999999999998</v>
      </c>
      <c r="AU101" s="913">
        <v>2.44</v>
      </c>
      <c r="AV101" s="913">
        <v>2.46</v>
      </c>
      <c r="AW101" s="913">
        <v>2.4699999999999998</v>
      </c>
      <c r="AX101" s="913">
        <v>2.4900000000000002</v>
      </c>
      <c r="AY101" s="913">
        <v>2.5049999999999999</v>
      </c>
      <c r="AZ101" s="913">
        <v>2.52</v>
      </c>
      <c r="BA101" s="913">
        <v>2.5350000000000001</v>
      </c>
      <c r="BB101" s="913">
        <v>2.5499999999999998</v>
      </c>
      <c r="BC101" s="913">
        <v>2.5650000000000004</v>
      </c>
      <c r="BD101" s="913">
        <v>2.58</v>
      </c>
      <c r="BE101" s="913">
        <v>2.5949999999999998</v>
      </c>
      <c r="BF101" s="913">
        <v>2.6100000000000003</v>
      </c>
      <c r="BG101" s="913">
        <v>2.625</v>
      </c>
      <c r="BH101" s="913">
        <v>2.6449999999999996</v>
      </c>
      <c r="BI101" s="913">
        <v>2.6550000000000002</v>
      </c>
      <c r="BJ101" s="913">
        <v>2.6749999999999998</v>
      </c>
      <c r="BK101" s="913">
        <v>2.6849999999999996</v>
      </c>
      <c r="BL101" s="913">
        <v>2.7050000000000001</v>
      </c>
      <c r="BM101" s="913">
        <v>2.7149999999999999</v>
      </c>
      <c r="BN101" s="913">
        <v>2.7350000000000003</v>
      </c>
      <c r="BO101" s="913">
        <v>2.75</v>
      </c>
      <c r="BP101" s="913">
        <v>2.7649999999999997</v>
      </c>
      <c r="BQ101" s="913">
        <v>2.7800000000000002</v>
      </c>
      <c r="BR101" s="913">
        <v>2.7949999999999999</v>
      </c>
      <c r="BS101" s="913">
        <v>2.81</v>
      </c>
      <c r="BT101" s="914">
        <v>2.8250000000000002</v>
      </c>
      <c r="BU101" s="913">
        <v>2.84</v>
      </c>
      <c r="BV101" s="913">
        <v>2.8550000000000004</v>
      </c>
      <c r="BW101" s="913">
        <v>2.87</v>
      </c>
      <c r="BX101" s="913">
        <v>2.8849999999999998</v>
      </c>
      <c r="BY101" s="913">
        <v>2.9</v>
      </c>
      <c r="BZ101" s="913">
        <v>2.915</v>
      </c>
      <c r="CA101" s="913">
        <v>2.9299999999999997</v>
      </c>
      <c r="CB101" s="913">
        <v>2.94</v>
      </c>
      <c r="CC101" s="913">
        <v>2.96</v>
      </c>
      <c r="CD101" s="913">
        <v>2.9699999999999998</v>
      </c>
      <c r="CE101" s="913">
        <v>2.99</v>
      </c>
      <c r="CF101" s="913">
        <v>3</v>
      </c>
      <c r="CG101" s="913">
        <v>3.02</v>
      </c>
      <c r="CH101" s="913">
        <v>3.0300000000000002</v>
      </c>
      <c r="CI101" s="913">
        <v>3.0449999999999999</v>
      </c>
      <c r="CJ101" s="913">
        <v>3.06</v>
      </c>
      <c r="CK101" s="913">
        <v>3.0750000000000002</v>
      </c>
      <c r="CL101" s="913">
        <v>3.085</v>
      </c>
      <c r="CM101" s="913">
        <v>3.105</v>
      </c>
      <c r="CN101" s="913">
        <v>3.1150000000000002</v>
      </c>
      <c r="CO101" s="913">
        <v>3.1349999999999998</v>
      </c>
      <c r="CP101" s="913">
        <v>3.145</v>
      </c>
      <c r="CQ101" s="913">
        <v>3.16</v>
      </c>
      <c r="CR101" s="913">
        <v>3.1749999999999998</v>
      </c>
      <c r="CS101" s="913">
        <v>3.19</v>
      </c>
      <c r="CT101" s="913">
        <v>3.2</v>
      </c>
      <c r="CU101" s="913">
        <v>3.2149999999999999</v>
      </c>
      <c r="CV101" s="913">
        <v>3.23</v>
      </c>
      <c r="CW101" s="913">
        <v>3.24</v>
      </c>
      <c r="CX101" s="913">
        <v>3.26</v>
      </c>
      <c r="CY101" s="913">
        <v>3.27</v>
      </c>
      <c r="CZ101" s="913">
        <v>3.2850000000000001</v>
      </c>
      <c r="DA101" s="913">
        <v>3.3</v>
      </c>
      <c r="DB101" s="913">
        <v>3.31</v>
      </c>
      <c r="DC101" s="913">
        <v>3.3250000000000002</v>
      </c>
      <c r="DD101" s="913">
        <v>3.335</v>
      </c>
      <c r="DE101" s="913">
        <v>3.35</v>
      </c>
      <c r="DF101" s="913">
        <v>3.3650000000000002</v>
      </c>
      <c r="DG101" s="913">
        <v>3.375</v>
      </c>
      <c r="DH101" s="913">
        <v>3.3899999999999997</v>
      </c>
      <c r="DI101" s="913">
        <v>3.4050000000000002</v>
      </c>
      <c r="DJ101" s="913">
        <v>3.415</v>
      </c>
      <c r="DK101" s="913">
        <v>3.4299999999999997</v>
      </c>
      <c r="DL101" s="913">
        <v>3.44</v>
      </c>
      <c r="DM101" s="913">
        <v>3.4550000000000001</v>
      </c>
      <c r="DN101" s="913">
        <v>3.4699999999999998</v>
      </c>
      <c r="DO101" s="913">
        <v>3.48</v>
      </c>
      <c r="DP101" s="913">
        <v>3.49</v>
      </c>
      <c r="DQ101" s="913">
        <v>3.5049999999999999</v>
      </c>
      <c r="DR101" s="913">
        <v>3.52</v>
      </c>
    </row>
    <row r="102" spans="1:122" s="127" customFormat="1" ht="12.75">
      <c r="A102" s="917">
        <v>100</v>
      </c>
      <c r="B102" s="913"/>
      <c r="C102" s="913"/>
      <c r="D102" s="913"/>
      <c r="E102" s="913"/>
      <c r="F102" s="913"/>
      <c r="G102" s="913"/>
      <c r="H102" s="913"/>
      <c r="I102" s="913"/>
      <c r="J102" s="913"/>
      <c r="K102" s="913"/>
      <c r="L102" s="913"/>
      <c r="M102" s="913"/>
      <c r="N102" s="913"/>
      <c r="O102" s="913"/>
      <c r="P102" s="913"/>
      <c r="Q102" s="913"/>
      <c r="R102" s="913"/>
      <c r="S102" s="913"/>
      <c r="T102" s="913"/>
      <c r="U102" s="913"/>
      <c r="V102" s="913"/>
      <c r="W102" s="913">
        <v>2</v>
      </c>
      <c r="X102" s="913">
        <v>1.9350000000000001</v>
      </c>
      <c r="Y102" s="913">
        <v>1.97</v>
      </c>
      <c r="Z102" s="913">
        <v>1.9949999999999999</v>
      </c>
      <c r="AA102" s="913">
        <v>2.0049999999999999</v>
      </c>
      <c r="AB102" s="913">
        <v>2.02</v>
      </c>
      <c r="AC102" s="913">
        <v>2.04</v>
      </c>
      <c r="AD102" s="913">
        <v>2.0499999999999998</v>
      </c>
      <c r="AE102" s="913">
        <v>2.0649999999999999</v>
      </c>
      <c r="AF102" s="913">
        <v>2.08</v>
      </c>
      <c r="AG102" s="913">
        <v>2.0949999999999998</v>
      </c>
      <c r="AH102" s="913">
        <v>2.11</v>
      </c>
      <c r="AI102" s="913">
        <v>2.12</v>
      </c>
      <c r="AJ102" s="913">
        <v>2.1349999999999998</v>
      </c>
      <c r="AK102" s="913">
        <v>2.1549999999999998</v>
      </c>
      <c r="AL102" s="913">
        <v>2.165</v>
      </c>
      <c r="AM102" s="913">
        <v>2.1799999999999997</v>
      </c>
      <c r="AN102" s="913">
        <v>2.1949999999999998</v>
      </c>
      <c r="AO102" s="913">
        <v>2.2050000000000001</v>
      </c>
      <c r="AP102" s="913">
        <v>2.2250000000000001</v>
      </c>
      <c r="AQ102" s="913">
        <v>2.2349999999999999</v>
      </c>
      <c r="AR102" s="913">
        <v>2.2549999999999999</v>
      </c>
      <c r="AS102" s="913">
        <v>2.2650000000000001</v>
      </c>
      <c r="AT102" s="913">
        <v>2.2800000000000002</v>
      </c>
      <c r="AU102" s="913">
        <v>2.2949999999999999</v>
      </c>
      <c r="AV102" s="913">
        <v>2.3050000000000002</v>
      </c>
      <c r="AW102" s="913">
        <v>2.3250000000000002</v>
      </c>
      <c r="AX102" s="913">
        <v>2.335</v>
      </c>
      <c r="AY102" s="913">
        <v>2.355</v>
      </c>
      <c r="AZ102" s="913">
        <v>2.3650000000000002</v>
      </c>
      <c r="BA102" s="913">
        <v>2.38</v>
      </c>
      <c r="BB102" s="913">
        <v>2.395</v>
      </c>
      <c r="BC102" s="913">
        <v>2.4049999999999998</v>
      </c>
      <c r="BD102" s="913">
        <v>2.4249999999999998</v>
      </c>
      <c r="BE102" s="913">
        <v>2.4350000000000001</v>
      </c>
      <c r="BF102" s="913">
        <v>2.4500000000000002</v>
      </c>
      <c r="BG102" s="913">
        <v>2.4649999999999999</v>
      </c>
      <c r="BH102" s="913">
        <v>2.48</v>
      </c>
      <c r="BI102" s="913">
        <v>2.4900000000000002</v>
      </c>
      <c r="BJ102" s="913">
        <v>2.5049999999999999</v>
      </c>
      <c r="BK102" s="913">
        <v>2.52</v>
      </c>
      <c r="BL102" s="913">
        <v>2.5350000000000001</v>
      </c>
      <c r="BM102" s="913">
        <v>2.5499999999999998</v>
      </c>
      <c r="BN102" s="913">
        <v>2.56</v>
      </c>
      <c r="BO102" s="913">
        <v>2.58</v>
      </c>
      <c r="BP102" s="913">
        <v>2.59</v>
      </c>
      <c r="BQ102" s="913">
        <v>2.6</v>
      </c>
      <c r="BR102" s="913">
        <v>2.62</v>
      </c>
      <c r="BS102" s="913">
        <v>2.63</v>
      </c>
      <c r="BT102" s="914">
        <v>2.6449999999999996</v>
      </c>
      <c r="BU102" s="913">
        <v>2.66</v>
      </c>
      <c r="BV102" s="913">
        <v>2.67</v>
      </c>
      <c r="BW102" s="913">
        <v>2.6849999999999996</v>
      </c>
      <c r="BX102" s="913">
        <v>2.7</v>
      </c>
      <c r="BY102" s="913">
        <v>2.7149999999999999</v>
      </c>
      <c r="BZ102" s="913">
        <v>2.7249999999999996</v>
      </c>
      <c r="CA102" s="913">
        <v>2.7350000000000003</v>
      </c>
      <c r="CB102" s="913">
        <v>2.7549999999999999</v>
      </c>
      <c r="CC102" s="913">
        <v>2.7649999999999997</v>
      </c>
      <c r="CD102" s="913">
        <v>2.7750000000000004</v>
      </c>
      <c r="CE102" s="913">
        <v>2.7949999999999999</v>
      </c>
      <c r="CF102" s="913">
        <v>2.8049999999999997</v>
      </c>
      <c r="CG102" s="913">
        <v>2.8150000000000004</v>
      </c>
      <c r="CH102" s="913">
        <v>2.83</v>
      </c>
      <c r="CI102" s="913">
        <v>2.8449999999999998</v>
      </c>
      <c r="CJ102" s="913">
        <v>2.8600000000000003</v>
      </c>
      <c r="CK102" s="913">
        <v>2.87</v>
      </c>
      <c r="CL102" s="913">
        <v>2.88</v>
      </c>
      <c r="CM102" s="913">
        <v>2.9</v>
      </c>
      <c r="CN102" s="913">
        <v>2.91</v>
      </c>
      <c r="CO102" s="913">
        <v>2.92</v>
      </c>
      <c r="CP102" s="913">
        <v>2.9350000000000001</v>
      </c>
      <c r="CQ102" s="913">
        <v>2.95</v>
      </c>
      <c r="CR102" s="913">
        <v>2.96</v>
      </c>
      <c r="CS102" s="913">
        <v>2.9699999999999998</v>
      </c>
      <c r="CT102" s="913">
        <v>2.9849999999999999</v>
      </c>
      <c r="CU102" s="913">
        <v>2.9950000000000001</v>
      </c>
      <c r="CV102" s="913">
        <v>3.01</v>
      </c>
      <c r="CW102" s="913">
        <v>3.0249999999999999</v>
      </c>
      <c r="CX102" s="913">
        <v>3.0350000000000001</v>
      </c>
      <c r="CY102" s="913">
        <v>3.0449999999999999</v>
      </c>
      <c r="CZ102" s="913">
        <v>3.0550000000000002</v>
      </c>
      <c r="DA102" s="913">
        <v>3.0700000000000003</v>
      </c>
      <c r="DB102" s="913">
        <v>3.085</v>
      </c>
      <c r="DC102" s="913">
        <v>3.0950000000000002</v>
      </c>
      <c r="DD102" s="913">
        <v>3.11</v>
      </c>
      <c r="DE102" s="913">
        <v>3.12</v>
      </c>
      <c r="DF102" s="913">
        <v>3.13</v>
      </c>
      <c r="DG102" s="913">
        <v>3.14</v>
      </c>
      <c r="DH102" s="913">
        <v>3.15</v>
      </c>
      <c r="DI102" s="913">
        <v>3.165</v>
      </c>
      <c r="DJ102" s="913">
        <v>3.1799999999999997</v>
      </c>
      <c r="DK102" s="913">
        <v>3.19</v>
      </c>
      <c r="DL102" s="913">
        <v>3.2</v>
      </c>
      <c r="DM102" s="913">
        <v>3.2149999999999999</v>
      </c>
      <c r="DN102" s="913">
        <v>3.2249999999999996</v>
      </c>
      <c r="DO102" s="913">
        <v>3.2350000000000003</v>
      </c>
      <c r="DP102" s="913">
        <v>3.2450000000000001</v>
      </c>
      <c r="DQ102" s="913">
        <v>3.2549999999999999</v>
      </c>
      <c r="DR102" s="913">
        <v>3.27</v>
      </c>
    </row>
    <row r="103" spans="1:122" s="127" customFormat="1" ht="12.75">
      <c r="A103" s="348"/>
      <c r="BT103" s="915"/>
    </row>
    <row r="104" spans="1:122" s="127" customFormat="1" ht="12.75">
      <c r="A104" s="348"/>
      <c r="BT104" s="915"/>
    </row>
    <row r="105" spans="1:122" s="127" customFormat="1" ht="12.75">
      <c r="A105" s="348"/>
      <c r="BT105" s="915"/>
    </row>
    <row r="106" spans="1:122" s="127" customFormat="1" ht="12.75">
      <c r="A106" s="348"/>
      <c r="BT106" s="915"/>
    </row>
    <row r="107" spans="1:122" s="127" customFormat="1" ht="12.75">
      <c r="A107" s="348"/>
      <c r="BT107" s="915"/>
    </row>
    <row r="108" spans="1:122" s="127" customFormat="1" ht="12.75">
      <c r="A108" s="348"/>
      <c r="BT108" s="915"/>
    </row>
    <row r="109" spans="1:122" s="127" customFormat="1" ht="12.75">
      <c r="A109" s="348"/>
      <c r="BT109" s="915"/>
    </row>
    <row r="110" spans="1:122" s="127" customFormat="1" ht="12.75">
      <c r="A110" s="348"/>
      <c r="BT110" s="915"/>
    </row>
    <row r="111" spans="1:122" s="127" customFormat="1" ht="12.75">
      <c r="A111" s="348"/>
      <c r="BT111" s="915"/>
    </row>
    <row r="112" spans="1:122" s="127" customFormat="1" ht="12.75">
      <c r="A112" s="348"/>
      <c r="BT112" s="915"/>
    </row>
    <row r="113" spans="1:72" s="127" customFormat="1" ht="12.75">
      <c r="A113" s="348"/>
      <c r="BT113" s="915"/>
    </row>
    <row r="114" spans="1:72" s="127" customFormat="1" ht="12.75">
      <c r="A114" s="348"/>
      <c r="BT114" s="915"/>
    </row>
    <row r="115" spans="1:72" s="127" customFormat="1" ht="12.75">
      <c r="A115" s="348"/>
      <c r="BT115" s="915"/>
    </row>
    <row r="116" spans="1:72" s="127" customFormat="1" ht="12.75">
      <c r="A116" s="348"/>
      <c r="BT116" s="915"/>
    </row>
    <row r="117" spans="1:72" s="127" customFormat="1" ht="12.75">
      <c r="A117" s="348"/>
      <c r="BT117" s="915"/>
    </row>
    <row r="118" spans="1:72" s="127" customFormat="1" ht="12.75">
      <c r="A118" s="348"/>
      <c r="BT118" s="915"/>
    </row>
    <row r="119" spans="1:72" s="127" customFormat="1" ht="12.75">
      <c r="A119" s="348"/>
      <c r="BT119" s="915"/>
    </row>
    <row r="120" spans="1:72" s="127" customFormat="1" ht="12.75">
      <c r="A120" s="348"/>
      <c r="BT120" s="915"/>
    </row>
    <row r="121" spans="1:72" s="127" customFormat="1" ht="12.75">
      <c r="A121" s="348"/>
      <c r="BT121" s="915"/>
    </row>
    <row r="122" spans="1:72" s="127" customFormat="1" ht="12.75">
      <c r="A122" s="348"/>
      <c r="BT122" s="915"/>
    </row>
    <row r="123" spans="1:72" s="127" customFormat="1" ht="12.75">
      <c r="A123" s="348"/>
      <c r="BT123" s="915"/>
    </row>
    <row r="124" spans="1:72" s="127" customFormat="1" ht="12.75">
      <c r="A124" s="348"/>
      <c r="BT124" s="915"/>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activeCell="AY78" sqref="AY78"/>
    </sheetView>
  </sheetViews>
  <sheetFormatPr baseColWidth="10" defaultColWidth="11" defaultRowHeight="11.25"/>
  <cols>
    <col min="1" max="1" width="6.625" style="134" customWidth="1"/>
    <col min="2" max="119" width="6.625" style="133" customWidth="1"/>
    <col min="120" max="16384" width="11" style="133"/>
  </cols>
  <sheetData>
    <row r="1" spans="1:119" s="130" customFormat="1">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phoneticPr fontId="52"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1.25"/>
  <cols>
    <col min="1" max="1" width="2.625" style="137" customWidth="1"/>
    <col min="2" max="119" width="5.125" style="137" customWidth="1"/>
    <col min="120" max="16384" width="10" style="137"/>
  </cols>
  <sheetData>
    <row r="1" spans="1:119" s="135" customFormat="1">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phoneticPr fontId="52" type="noConversion"/>
  <conditionalFormatting sqref="AC1:DO150">
    <cfRule type="expression" dxfId="421"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502</vt:i4>
      </vt:variant>
    </vt:vector>
  </HeadingPairs>
  <TitlesOfParts>
    <vt:vector size="554"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Verzinsung!Druckbereich</vt:lpstr>
      <vt:lpstr>DruckbereichII</vt:lpstr>
      <vt:lpstr>'HRIR-Zuschläge'!Drucktitel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Joern Hauss</cp:lastModifiedBy>
  <cp:lastPrinted>2024-11-25T08:58:51Z</cp:lastPrinted>
  <dcterms:created xsi:type="dcterms:W3CDTF">2016-06-14T19:27:46Z</dcterms:created>
  <dcterms:modified xsi:type="dcterms:W3CDTF">2025-04-01T20:48:11Z</dcterms:modified>
</cp:coreProperties>
</file>